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09415495\OneDrive - csulb\Desktop\"/>
    </mc:Choice>
  </mc:AlternateContent>
  <bookViews>
    <workbookView xWindow="0" yWindow="0" windowWidth="20490" windowHeight="582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310 (2)_5...3d931dee_QNK8R2" sheetId="17" state="hidden" r:id="rId14"/>
    <sheet name="OSR_300 &amp; 317_1C00ID4" sheetId="19" state="hidden" r:id="rId15"/>
    <sheet name="OSR_300 (2)_...6aa5a22d_14M6XO4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...853a34aa_1UNC34K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)...32d16c57_IVJ1QO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3" r:id="rId51"/>
    <sheet name="330" sheetId="24" r:id="rId52"/>
    <sheet name="307" sheetId="68" r:id="rId53"/>
    <sheet name="308" sheetId="27" r:id="rId54"/>
    <sheet name="311" sheetId="70" r:id="rId55"/>
    <sheet name="324" sheetId="82" r:id="rId56"/>
    <sheet name="331" sheetId="30" r:id="rId57"/>
    <sheet name="315" sheetId="74" r:id="rId58"/>
    <sheet name="326" sheetId="84" r:id="rId59"/>
    <sheet name="332" sheetId="33" r:id="rId60"/>
    <sheet name="316" sheetId="75" r:id="rId61"/>
    <sheet name="Div 6" sheetId="51" r:id="rId62"/>
    <sheet name="317" sheetId="76" r:id="rId63"/>
    <sheet name="310" sheetId="21" r:id="rId64"/>
    <sheet name="309" sheetId="69" r:id="rId65"/>
    <sheet name="313" sheetId="72" r:id="rId66"/>
    <sheet name="321" sheetId="79" r:id="rId67"/>
    <sheet name="322" sheetId="80" r:id="rId68"/>
    <sheet name="325" sheetId="83" r:id="rId69"/>
    <sheet name="327" sheetId="85" r:id="rId70"/>
    <sheet name="Div 4" sheetId="36" r:id="rId71"/>
    <sheet name="310 &amp; 491" sheetId="39" r:id="rId72"/>
    <sheet name="491" sheetId="42" r:id="rId73"/>
    <sheet name="405" sheetId="87" r:id="rId74"/>
    <sheet name="406" sheetId="88" r:id="rId75"/>
    <sheet name="411" sheetId="91" r:id="rId76"/>
    <sheet name="412" sheetId="92" r:id="rId77"/>
    <sheet name="413" sheetId="93" r:id="rId78"/>
    <sheet name="414" sheetId="94" r:id="rId79"/>
    <sheet name="415" sheetId="95" r:id="rId80"/>
    <sheet name="418" sheetId="97" r:id="rId81"/>
    <sheet name="420" sheetId="98" r:id="rId82"/>
    <sheet name="423" sheetId="99" r:id="rId83"/>
    <sheet name="424" sheetId="100" r:id="rId84"/>
    <sheet name="425" sheetId="101" r:id="rId85"/>
    <sheet name="455" sheetId="108" r:id="rId86"/>
    <sheet name="492" sheetId="45" r:id="rId87"/>
    <sheet name="430" sheetId="102" r:id="rId88"/>
    <sheet name="433" sheetId="103" r:id="rId89"/>
    <sheet name="435" sheetId="104" r:id="rId90"/>
    <sheet name="444" sheetId="105" r:id="rId91"/>
    <sheet name="450" sheetId="107" r:id="rId92"/>
    <sheet name="Div 5" sheetId="48" r:id="rId93"/>
    <sheet name="501" sheetId="109" r:id="rId94"/>
    <sheet name="Dept" sheetId="110" state="hidden" r:id="rId95"/>
    <sheet name="OSR_Dept_Y0WUKY" sheetId="111" state="hidden" r:id="rId96"/>
    <sheet name="OSR_Summary (...56e5d78f_5JEYZH" sheetId="112" state="hidden" r:id="rId97"/>
  </sheets>
  <definedNames>
    <definedName name="OSRRefD13x_0" localSheetId="41">'201'!$D$13</definedName>
    <definedName name="OSRRefD13x_0" localSheetId="42">'202'!$D$13</definedName>
    <definedName name="OSRRefD13x_0" localSheetId="48">'300'!$D$13:$D$74</definedName>
    <definedName name="OSRRefD13x_0" localSheetId="49">'300 &amp; 317'!$D$13:$D$88</definedName>
    <definedName name="OSRRefD13x_0" localSheetId="52">'307'!$D$13:$D$23</definedName>
    <definedName name="OSRRefD13x_0" localSheetId="53">'308'!$D$13:$D$33</definedName>
    <definedName name="OSRRefD13x_0" localSheetId="64">'309'!$D$13</definedName>
    <definedName name="OSRRefD13x_0" localSheetId="63">'310'!$D$13:$D$17</definedName>
    <definedName name="OSRRefD13x_0" localSheetId="71">'310 &amp; 491'!$D$13:$D$21</definedName>
    <definedName name="OSRRefD13x_0" localSheetId="54">'311'!$D$13:$D$32</definedName>
    <definedName name="OSRRefD13x_0" localSheetId="65">'313'!$D$13</definedName>
    <definedName name="OSRRefD13x_0" localSheetId="57">'315'!$D$13:$D$50</definedName>
    <definedName name="OSRRefD13x_0" localSheetId="60">'316'!$D$13:$D$22</definedName>
    <definedName name="OSRRefD13x_0" localSheetId="62">'317'!$D$13:$D$30</definedName>
    <definedName name="OSRRefD13x_0" localSheetId="66">'321'!$D$13:$D$15</definedName>
    <definedName name="OSRRefD13x_0" localSheetId="67">'322'!$D$13</definedName>
    <definedName name="OSRRefD13x_0" localSheetId="55">'324'!$D$13:$D$16</definedName>
    <definedName name="OSRRefD13x_0" localSheetId="68">'325'!$D$13:$D$14</definedName>
    <definedName name="OSRRefD13x_0" localSheetId="58">'326'!$D$13:$D$33</definedName>
    <definedName name="OSRRefD13x_0" localSheetId="69">'327'!$D$13:$D$14</definedName>
    <definedName name="OSRRefD13x_0" localSheetId="51">'330'!$D$13:$D$23</definedName>
    <definedName name="OSRRefD13x_0" localSheetId="56">'331'!$D$13:$D$50</definedName>
    <definedName name="OSRRefD13x_0" localSheetId="59">'332'!$D$13:$D$22</definedName>
    <definedName name="OSRRefD13x_0" localSheetId="73">'405'!$D$13:$D$14</definedName>
    <definedName name="OSRRefD13x_0" localSheetId="76">'412'!$D$13</definedName>
    <definedName name="OSRRefD13x_0" localSheetId="77">'413'!$D$13:$D$14</definedName>
    <definedName name="OSRRefD13x_0" localSheetId="78">'414'!$D$13:$D$15</definedName>
    <definedName name="OSRRefD13x_0" localSheetId="79">'415'!$D$13:$D$16</definedName>
    <definedName name="OSRRefD13x_0" localSheetId="80">'418'!$D$13:$D$14</definedName>
    <definedName name="OSRRefD13x_0" localSheetId="81">'420'!$D$13</definedName>
    <definedName name="OSRRefD13x_0" localSheetId="88">'433'!$D$13:$D$16</definedName>
    <definedName name="OSRRefD13x_0" localSheetId="90">'444'!$D$13:$D$16</definedName>
    <definedName name="OSRRefD13x_0" localSheetId="91">'450'!$D$13:$D$14</definedName>
    <definedName name="OSRRefD13x_0" localSheetId="72">'491'!$D$13:$D$18</definedName>
    <definedName name="OSRRefD13x_0" localSheetId="86">'492'!$D$13:$D$16</definedName>
    <definedName name="OSRRefD13x_0" localSheetId="93">'501'!$D$13</definedName>
    <definedName name="OSRRefD13x_0" localSheetId="39">'Div 2'!$D$13</definedName>
    <definedName name="OSRRefD13x_0" localSheetId="47">'Div 3'!$D$13:$D$76</definedName>
    <definedName name="OSRRefD13x_0" localSheetId="70">'Div 4'!$D$13:$D$20</definedName>
    <definedName name="OSRRefD13x_0" localSheetId="92">'Div 5'!$D$13</definedName>
    <definedName name="OSRRefD13x_0" localSheetId="61">'Div 6'!$D$13:$D$30</definedName>
    <definedName name="OSRRefD13x_0" localSheetId="2">Summary!$D$13:$D$95</definedName>
    <definedName name="OSRRefD16x_0" localSheetId="48">'300'!$D$77:$D$110</definedName>
    <definedName name="OSRRefD16x_0" localSheetId="49">'300 &amp; 317'!$D$91:$D$133</definedName>
    <definedName name="OSRRefD16x_0" localSheetId="52">'307'!$D$26:$D$33</definedName>
    <definedName name="OSRRefD16x_0" localSheetId="53">'308'!$D$36:$D$50</definedName>
    <definedName name="OSRRefD16x_0" localSheetId="64">'309'!$D$16</definedName>
    <definedName name="OSRRefD16x_0" localSheetId="63">'310'!$D$20:$D$22</definedName>
    <definedName name="OSRRefD16x_0" localSheetId="71">'310 &amp; 491'!$D$24:$D$26</definedName>
    <definedName name="OSRRefD16x_0" localSheetId="54">'311'!$D$35:$D$49</definedName>
    <definedName name="OSRRefD16x_0" localSheetId="65">'313'!$D$16:$D$17</definedName>
    <definedName name="OSRRefD16x_0" localSheetId="57">'315'!$D$53:$D$74</definedName>
    <definedName name="OSRRefD16x_0" localSheetId="62">'317'!$D$33:$D$44</definedName>
    <definedName name="OSRRefD16x_0" localSheetId="66">'321'!$D$18:$D$19</definedName>
    <definedName name="OSRRefD16x_0" localSheetId="67">'322'!$D$16:$D$17</definedName>
    <definedName name="OSRRefD16x_0" localSheetId="55">'324'!$D$19:$D$21</definedName>
    <definedName name="OSRRefD16x_0" localSheetId="68">'325'!$D$17:$D$19</definedName>
    <definedName name="OSRRefD16x_0" localSheetId="58">'326'!$D$36:$D$40</definedName>
    <definedName name="OSRRefD16x_0" localSheetId="69">'327'!$D$17:$D$18</definedName>
    <definedName name="OSRRefD16x_0" localSheetId="51">'330'!$D$26:$D$33</definedName>
    <definedName name="OSRRefD16x_0" localSheetId="56">'331'!$D$53:$D$74</definedName>
    <definedName name="OSRRefD16x_0" localSheetId="73">'405'!$D$17</definedName>
    <definedName name="OSRRefD16x_0" localSheetId="76">'412'!$D$16</definedName>
    <definedName name="OSRRefD16x_0" localSheetId="77">'413'!$D$17</definedName>
    <definedName name="OSRRefD16x_0" localSheetId="78">'414'!$D$18</definedName>
    <definedName name="OSRRefD16x_0" localSheetId="79">'415'!$D$19:$D$21</definedName>
    <definedName name="OSRRefD16x_0" localSheetId="80">'418'!$D$17</definedName>
    <definedName name="OSRRefD16x_0" localSheetId="88">'433'!$D$19:$D$21</definedName>
    <definedName name="OSRRefD16x_0" localSheetId="90">'444'!$D$19:$D$21</definedName>
    <definedName name="OSRRefD16x_0" localSheetId="91">'450'!$D$17</definedName>
    <definedName name="OSRRefD16x_0" localSheetId="72">'491'!$D$21:$D$23</definedName>
    <definedName name="OSRRefD16x_0" localSheetId="86">'492'!$D$19:$D$21</definedName>
    <definedName name="OSRRefD16x_0" localSheetId="47">'Div 3'!$D$79:$D$114</definedName>
    <definedName name="OSRRefD16x_0" localSheetId="70">'Div 4'!$D$23:$D$25</definedName>
    <definedName name="OSRRefD16x_0" localSheetId="61">'Div 6'!$D$33:$D$44</definedName>
    <definedName name="OSRRefD16x_0" localSheetId="2">Summary!$D$98:$D$142</definedName>
    <definedName name="OSRRefD22_0x_0" localSheetId="40">'200'!$D$20</definedName>
    <definedName name="OSRRefD22_0x_0" localSheetId="41">'201'!$D$21:$D$29</definedName>
    <definedName name="OSRRefD22_0x_0" localSheetId="42">'202'!$D$21:$D$29</definedName>
    <definedName name="OSRRefD22_0x_0" localSheetId="43">'203'!$D$20:$D$29</definedName>
    <definedName name="OSRRefD22_0x_0" localSheetId="44">'204'!$D$20:$D$29</definedName>
    <definedName name="OSRRefD22_0x_0" localSheetId="45">'205'!$D$20:$D$28</definedName>
    <definedName name="OSRRefD22_0x_0" localSheetId="46">'206'!$D$20:$D$28</definedName>
    <definedName name="OSRRefD22_0x_0" localSheetId="48">'300'!$D$116:$D$125</definedName>
    <definedName name="OSRRefD22_0x_0" localSheetId="49">'300 &amp; 317'!$D$139:$D$148</definedName>
    <definedName name="OSRRefD22_0x_0" localSheetId="50">'301'!$D$20:$D$29</definedName>
    <definedName name="OSRRefD22_0x_0" localSheetId="52">'307'!$D$39:$D$46</definedName>
    <definedName name="OSRRefD22_0x_0" localSheetId="53">'308'!$D$56:$D$65</definedName>
    <definedName name="OSRRefD22_0x_0" localSheetId="64">'309'!$D$22:$D$29</definedName>
    <definedName name="OSRRefD22_0x_0" localSheetId="63">'310'!$D$28:$D$36</definedName>
    <definedName name="OSRRefD22_0x_0" localSheetId="71">'310 &amp; 491'!$D$32:$D$40</definedName>
    <definedName name="OSRRefD22_0x_0" localSheetId="54">'311'!$D$55:$D$64</definedName>
    <definedName name="OSRRefD22_0x_0" localSheetId="65">'313'!$D$23:$D$31</definedName>
    <definedName name="OSRRefD22_0x_0" localSheetId="57">'315'!$D$80:$D$88</definedName>
    <definedName name="OSRRefD22_0x_0" localSheetId="60">'316'!$D$30:$D$38</definedName>
    <definedName name="OSRRefD22_0x_0" localSheetId="62">'317'!$D$50:$D$59</definedName>
    <definedName name="OSRRefD22_0x_0" localSheetId="66">'321'!$D$25:$D$33</definedName>
    <definedName name="OSRRefD22_0x_0" localSheetId="67">'322'!$D$23:$D$30</definedName>
    <definedName name="OSRRefD22_0x_0" localSheetId="55">'324'!$D$27:$D$34</definedName>
    <definedName name="OSRRefD22_0x_0" localSheetId="68">'325'!$D$25:$D$32</definedName>
    <definedName name="OSRRefD22_0x_0" localSheetId="58">'326'!$D$46:$D$54</definedName>
    <definedName name="OSRRefD22_0x_0" localSheetId="69">'327'!$D$24</definedName>
    <definedName name="OSRRefD22_0x_0" localSheetId="51">'330'!$D$39:$D$46</definedName>
    <definedName name="OSRRefD22_0x_0" localSheetId="56">'331'!$D$80:$D$88</definedName>
    <definedName name="OSRRefD22_0x_0" localSheetId="59">'332'!$D$30:$D$38</definedName>
    <definedName name="OSRRefD22_0x_0" localSheetId="73">'405'!$D$23:$D$30</definedName>
    <definedName name="OSRRefD22_0x_0" localSheetId="74">'406'!$D$20</definedName>
    <definedName name="OSRRefD22_0x_0" localSheetId="75">'411'!$D$20:$D$28</definedName>
    <definedName name="OSRRefD22_0x_0" localSheetId="76">'412'!$D$22:$D$29</definedName>
    <definedName name="OSRRefD22_0x_0" localSheetId="77">'413'!$D$23:$D$31</definedName>
    <definedName name="OSRRefD22_0x_0" localSheetId="78">'414'!$D$24:$D$32</definedName>
    <definedName name="OSRRefD22_0x_0" localSheetId="79">'415'!$D$27:$D$35</definedName>
    <definedName name="OSRRefD22_0x_0" localSheetId="80">'418'!$D$23:$D$30</definedName>
    <definedName name="OSRRefD22_0x_0" localSheetId="81">'420'!$D$21</definedName>
    <definedName name="OSRRefD22_0x_0" localSheetId="82">'423'!$D$20:$D$27</definedName>
    <definedName name="OSRRefD22_0x_0" localSheetId="83">'424'!$D$20</definedName>
    <definedName name="OSRRefD22_0x_0" localSheetId="84">'425'!$D$20:$D$24</definedName>
    <definedName name="OSRRefD22_0x_0" localSheetId="87">'430'!$D$20:$D$28</definedName>
    <definedName name="OSRRefD22_0x_0" localSheetId="88">'433'!$D$27:$D$36</definedName>
    <definedName name="OSRRefD22_0x_0" localSheetId="89">'435'!$D$20</definedName>
    <definedName name="OSRRefD22_0x_0" localSheetId="90">'444'!$D$27:$D$36</definedName>
    <definedName name="OSRRefD22_0x_0" localSheetId="91">'450'!$D$23:$D$32</definedName>
    <definedName name="OSRRefD22_0x_0" localSheetId="72">'491'!$D$29:$D$37</definedName>
    <definedName name="OSRRefD22_0x_0" localSheetId="86">'492'!$D$27:$D$36</definedName>
    <definedName name="OSRRefD22_0x_0" localSheetId="93">'501'!$D$21:$D$30</definedName>
    <definedName name="OSRRefD22_0x_0" localSheetId="39">'Div 2'!$D$21:$D$31</definedName>
    <definedName name="OSRRefD22_0x_0" localSheetId="47">'Div 3'!$D$120:$D$129</definedName>
    <definedName name="OSRRefD22_0x_0" localSheetId="70">'Div 4'!$D$31:$D$40</definedName>
    <definedName name="OSRRefD22_0x_0" localSheetId="92">'Div 5'!$D$21:$D$30</definedName>
    <definedName name="OSRRefD22_0x_0" localSheetId="61">'Div 6'!$D$50:$D$59</definedName>
    <definedName name="OSRRefD22_0x_0" localSheetId="2">Summary!$D$148:$D$157</definedName>
    <definedName name="OSRRefD22_10x_0" localSheetId="41">'201'!$D$58:$D$60</definedName>
    <definedName name="OSRRefD22_10x_0" localSheetId="42">'202'!$D$62</definedName>
    <definedName name="OSRRefD22_10x_0" localSheetId="43">'203'!$D$62</definedName>
    <definedName name="OSRRefD22_10x_0" localSheetId="44">'204'!$D$62:$D$63</definedName>
    <definedName name="OSRRefD22_10x_0" localSheetId="48">'300'!$D$158:$D$159</definedName>
    <definedName name="OSRRefD22_10x_0" localSheetId="49">'300 &amp; 317'!$D$181:$D$182</definedName>
    <definedName name="OSRRefD22_10x_0" localSheetId="50">'301'!$D$60</definedName>
    <definedName name="OSRRefD22_10x_0" localSheetId="52">'307'!$D$77:$D$78</definedName>
    <definedName name="OSRRefD22_10x_0" localSheetId="53">'308'!$D$97</definedName>
    <definedName name="OSRRefD22_10x_0" localSheetId="64">'309'!$D$61</definedName>
    <definedName name="OSRRefD22_10x_0" localSheetId="63">'310'!$D$66</definedName>
    <definedName name="OSRRefD22_10x_0" localSheetId="71">'310 &amp; 491'!$D$72</definedName>
    <definedName name="OSRRefD22_10x_0" localSheetId="54">'311'!$D$96</definedName>
    <definedName name="OSRRefD22_10x_0" localSheetId="65">'313'!$D$64</definedName>
    <definedName name="OSRRefD22_10x_0" localSheetId="57">'315'!$D$118</definedName>
    <definedName name="OSRRefD22_10x_0" localSheetId="60">'316'!$D$73</definedName>
    <definedName name="OSRRefD22_10x_0" localSheetId="62">'317'!$D$89:$D$91</definedName>
    <definedName name="OSRRefD22_10x_0" localSheetId="66">'321'!$D$65:$D$67</definedName>
    <definedName name="OSRRefD22_10x_0" localSheetId="67">'322'!$D$64</definedName>
    <definedName name="OSRRefD22_10x_0" localSheetId="68">'325'!$D$62</definedName>
    <definedName name="OSRRefD22_10x_0" localSheetId="58">'326'!$D$84</definedName>
    <definedName name="OSRRefD22_10x_0" localSheetId="51">'330'!$D$77:$D$78</definedName>
    <definedName name="OSRRefD22_10x_0" localSheetId="56">'331'!$D$119</definedName>
    <definedName name="OSRRefD22_10x_0" localSheetId="59">'332'!$D$73</definedName>
    <definedName name="OSRRefD22_10x_0" localSheetId="73">'405'!$D$61</definedName>
    <definedName name="OSRRefD22_10x_0" localSheetId="75">'411'!$D$59:$D$62</definedName>
    <definedName name="OSRRefD22_10x_0" localSheetId="76">'412'!$D$60:$D$63</definedName>
    <definedName name="OSRRefD22_10x_0" localSheetId="77">'413'!$D$63:$D$70</definedName>
    <definedName name="OSRRefD22_10x_0" localSheetId="78">'414'!$D$62</definedName>
    <definedName name="OSRRefD22_10x_0" localSheetId="79">'415'!$D$65</definedName>
    <definedName name="OSRRefD22_10x_0" localSheetId="80">'418'!$D$63:$D$64</definedName>
    <definedName name="OSRRefD22_10x_0" localSheetId="88">'433'!$D$65</definedName>
    <definedName name="OSRRefD22_10x_0" localSheetId="90">'444'!$D$65</definedName>
    <definedName name="OSRRefD22_10x_0" localSheetId="91">'450'!$D$61</definedName>
    <definedName name="OSRRefD22_10x_0" localSheetId="72">'491'!$D$68</definedName>
    <definedName name="OSRRefD22_10x_0" localSheetId="86">'492'!$D$65</definedName>
    <definedName name="OSRRefD22_10x_0" localSheetId="93">'501'!$D$63:$D$64</definedName>
    <definedName name="OSRRefD22_10x_0" localSheetId="39">'Div 2'!$D$62</definedName>
    <definedName name="OSRRefD22_10x_0" localSheetId="47">'Div 3'!$D$162:$D$163</definedName>
    <definedName name="OSRRefD22_10x_0" localSheetId="70">'Div 4'!$D$71</definedName>
    <definedName name="OSRRefD22_10x_0" localSheetId="92">'Div 5'!$D$63:$D$64</definedName>
    <definedName name="OSRRefD22_10x_0" localSheetId="61">'Div 6'!$D$89:$D$91</definedName>
    <definedName name="OSRRefD22_10x_0" localSheetId="2">Summary!$D$191:$D$192</definedName>
    <definedName name="OSRRefD22_11x_0" localSheetId="41">'201'!$D$62</definedName>
    <definedName name="OSRRefD22_11x_0" localSheetId="42">'202'!$D$64</definedName>
    <definedName name="OSRRefD22_11x_0" localSheetId="43">'203'!$D$64:$D$66</definedName>
    <definedName name="OSRRefD22_11x_0" localSheetId="44">'204'!$D$65</definedName>
    <definedName name="OSRRefD22_11x_0" localSheetId="48">'300'!$D$161:$D$163</definedName>
    <definedName name="OSRRefD22_11x_0" localSheetId="49">'300 &amp; 317'!$D$184:$D$186</definedName>
    <definedName name="OSRRefD22_11x_0" localSheetId="50">'301'!$D$62</definedName>
    <definedName name="OSRRefD22_11x_0" localSheetId="52">'307'!$D$80:$D$83</definedName>
    <definedName name="OSRRefD22_11x_0" localSheetId="53">'308'!$D$99:$D$101</definedName>
    <definedName name="OSRRefD22_11x_0" localSheetId="63">'310'!$D$68</definedName>
    <definedName name="OSRRefD22_11x_0" localSheetId="71">'310 &amp; 491'!$D$74</definedName>
    <definedName name="OSRRefD22_11x_0" localSheetId="54">'311'!$D$98:$D$100</definedName>
    <definedName name="OSRRefD22_11x_0" localSheetId="65">'313'!$D$66</definedName>
    <definedName name="OSRRefD22_11x_0" localSheetId="57">'315'!$D$120</definedName>
    <definedName name="OSRRefD22_11x_0" localSheetId="60">'316'!$D$75</definedName>
    <definedName name="OSRRefD22_11x_0" localSheetId="62">'317'!$D$93</definedName>
    <definedName name="OSRRefD22_11x_0" localSheetId="66">'321'!$D$69:$D$70</definedName>
    <definedName name="OSRRefD22_11x_0" localSheetId="67">'322'!$D$66</definedName>
    <definedName name="OSRRefD22_11x_0" localSheetId="68">'325'!$D$64:$D$67</definedName>
    <definedName name="OSRRefD22_11x_0" localSheetId="58">'326'!$D$86</definedName>
    <definedName name="OSRRefD22_11x_0" localSheetId="51">'330'!$D$80:$D$83</definedName>
    <definedName name="OSRRefD22_11x_0" localSheetId="56">'331'!$D$121</definedName>
    <definedName name="OSRRefD22_11x_0" localSheetId="59">'332'!$D$75</definedName>
    <definedName name="OSRRefD22_11x_0" localSheetId="73">'405'!$D$63:$D$66</definedName>
    <definedName name="OSRRefD22_11x_0" localSheetId="75">'411'!$D$64</definedName>
    <definedName name="OSRRefD22_11x_0" localSheetId="76">'412'!$D$65:$D$69</definedName>
    <definedName name="OSRRefD22_11x_0" localSheetId="77">'413'!$D$72:$D$73</definedName>
    <definedName name="OSRRefD22_11x_0" localSheetId="78">'414'!$D$64</definedName>
    <definedName name="OSRRefD22_11x_0" localSheetId="79">'415'!$D$67:$D$68</definedName>
    <definedName name="OSRRefD22_11x_0" localSheetId="80">'418'!$D$66:$D$75</definedName>
    <definedName name="OSRRefD22_11x_0" localSheetId="88">'433'!$D$67:$D$68</definedName>
    <definedName name="OSRRefD22_11x_0" localSheetId="90">'444'!$D$67:$D$70</definedName>
    <definedName name="OSRRefD22_11x_0" localSheetId="91">'450'!$D$63</definedName>
    <definedName name="OSRRefD22_11x_0" localSheetId="72">'491'!$D$70</definedName>
    <definedName name="OSRRefD22_11x_0" localSheetId="86">'492'!$D$67</definedName>
    <definedName name="OSRRefD22_11x_0" localSheetId="93">'501'!$D$66</definedName>
    <definedName name="OSRRefD22_11x_0" localSheetId="39">'Div 2'!$D$64:$D$65</definedName>
    <definedName name="OSRRefD22_11x_0" localSheetId="47">'Div 3'!$D$165:$D$167</definedName>
    <definedName name="OSRRefD22_11x_0" localSheetId="70">'Div 4'!$D$73</definedName>
    <definedName name="OSRRefD22_11x_0" localSheetId="92">'Div 5'!$D$66</definedName>
    <definedName name="OSRRefD22_11x_0" localSheetId="61">'Div 6'!$D$93</definedName>
    <definedName name="OSRRefD22_11x_0" localSheetId="2">Summary!$D$194:$D$196</definedName>
    <definedName name="OSRRefD22_12x_0" localSheetId="41">'201'!$D$64</definedName>
    <definedName name="OSRRefD22_12x_0" localSheetId="42">'202'!$D$66</definedName>
    <definedName name="OSRRefD22_12x_0" localSheetId="43">'203'!$D$68</definedName>
    <definedName name="OSRRefD22_12x_0" localSheetId="44">'204'!$D$67</definedName>
    <definedName name="OSRRefD22_12x_0" localSheetId="48">'300'!$D$165</definedName>
    <definedName name="OSRRefD22_12x_0" localSheetId="49">'300 &amp; 317'!$D$188</definedName>
    <definedName name="OSRRefD22_12x_0" localSheetId="50">'301'!$D$64</definedName>
    <definedName name="OSRRefD22_12x_0" localSheetId="52">'307'!$D$85:$D$86</definedName>
    <definedName name="OSRRefD22_12x_0" localSheetId="53">'308'!$D$103:$D$104</definedName>
    <definedName name="OSRRefD22_12x_0" localSheetId="63">'310'!$D$70</definedName>
    <definedName name="OSRRefD22_12x_0" localSheetId="71">'310 &amp; 491'!$D$76</definedName>
    <definedName name="OSRRefD22_12x_0" localSheetId="54">'311'!$D$102:$D$103</definedName>
    <definedName name="OSRRefD22_12x_0" localSheetId="57">'315'!$D$122:$D$124</definedName>
    <definedName name="OSRRefD22_12x_0" localSheetId="62">'317'!$D$95</definedName>
    <definedName name="OSRRefD22_12x_0" localSheetId="66">'321'!$D$72</definedName>
    <definedName name="OSRRefD22_12x_0" localSheetId="68">'325'!$D$69:$D$71</definedName>
    <definedName name="OSRRefD22_12x_0" localSheetId="58">'326'!$D$88</definedName>
    <definedName name="OSRRefD22_12x_0" localSheetId="51">'330'!$D$85:$D$86</definedName>
    <definedName name="OSRRefD22_12x_0" localSheetId="56">'331'!$D$123</definedName>
    <definedName name="OSRRefD22_12x_0" localSheetId="73">'405'!$D$68</definedName>
    <definedName name="OSRRefD22_12x_0" localSheetId="75">'411'!$D$66:$D$72</definedName>
    <definedName name="OSRRefD22_12x_0" localSheetId="76">'412'!$D$71:$D$72</definedName>
    <definedName name="OSRRefD22_12x_0" localSheetId="77">'413'!$D$75</definedName>
    <definedName name="OSRRefD22_12x_0" localSheetId="78">'414'!$D$66:$D$68</definedName>
    <definedName name="OSRRefD22_12x_0" localSheetId="79">'415'!$D$70:$D$74</definedName>
    <definedName name="OSRRefD22_12x_0" localSheetId="80">'418'!$D$77:$D$78</definedName>
    <definedName name="OSRRefD22_12x_0" localSheetId="88">'433'!$D$70:$D$73</definedName>
    <definedName name="OSRRefD22_12x_0" localSheetId="90">'444'!$D$72:$D$75</definedName>
    <definedName name="OSRRefD22_12x_0" localSheetId="91">'450'!$D$65</definedName>
    <definedName name="OSRRefD22_12x_0" localSheetId="72">'491'!$D$72</definedName>
    <definedName name="OSRRefD22_12x_0" localSheetId="86">'492'!$D$69:$D$72</definedName>
    <definedName name="OSRRefD22_12x_0" localSheetId="39">'Div 2'!$D$67:$D$70</definedName>
    <definedName name="OSRRefD22_12x_0" localSheetId="47">'Div 3'!$D$169</definedName>
    <definedName name="OSRRefD22_12x_0" localSheetId="70">'Div 4'!$D$75</definedName>
    <definedName name="OSRRefD22_12x_0" localSheetId="61">'Div 6'!$D$95</definedName>
    <definedName name="OSRRefD22_12x_0" localSheetId="2">Summary!$D$198</definedName>
    <definedName name="OSRRefD22_13x_0" localSheetId="41">'201'!$D$66:$D$68</definedName>
    <definedName name="OSRRefD22_13x_0" localSheetId="43">'203'!$D$70</definedName>
    <definedName name="OSRRefD22_13x_0" localSheetId="48">'300'!$D$167</definedName>
    <definedName name="OSRRefD22_13x_0" localSheetId="49">'300 &amp; 317'!$D$190</definedName>
    <definedName name="OSRRefD22_13x_0" localSheetId="50">'301'!$D$66</definedName>
    <definedName name="OSRRefD22_13x_0" localSheetId="52">'307'!$D$88</definedName>
    <definedName name="OSRRefD22_13x_0" localSheetId="53">'308'!$D$106</definedName>
    <definedName name="OSRRefD22_13x_0" localSheetId="63">'310'!$D$72:$D$75</definedName>
    <definedName name="OSRRefD22_13x_0" localSheetId="71">'310 &amp; 491'!$D$78:$D$81</definedName>
    <definedName name="OSRRefD22_13x_0" localSheetId="54">'311'!$D$105</definedName>
    <definedName name="OSRRefD22_13x_0" localSheetId="57">'315'!$D$126:$D$127</definedName>
    <definedName name="OSRRefD22_13x_0" localSheetId="66">'321'!$D$74</definedName>
    <definedName name="OSRRefD22_13x_0" localSheetId="68">'325'!$D$73</definedName>
    <definedName name="OSRRefD22_13x_0" localSheetId="58">'326'!$D$90:$D$91</definedName>
    <definedName name="OSRRefD22_13x_0" localSheetId="51">'330'!$D$88</definedName>
    <definedName name="OSRRefD22_13x_0" localSheetId="56">'331'!$D$125</definedName>
    <definedName name="OSRRefD22_13x_0" localSheetId="73">'405'!$D$70:$D$78</definedName>
    <definedName name="OSRRefD22_13x_0" localSheetId="75">'411'!$D$74</definedName>
    <definedName name="OSRRefD22_13x_0" localSheetId="76">'412'!$D$74</definedName>
    <definedName name="OSRRefD22_13x_0" localSheetId="78">'414'!$D$70</definedName>
    <definedName name="OSRRefD22_13x_0" localSheetId="79">'415'!$D$76</definedName>
    <definedName name="OSRRefD22_13x_0" localSheetId="80">'418'!$D$80</definedName>
    <definedName name="OSRRefD22_13x_0" localSheetId="88">'433'!$D$75:$D$82</definedName>
    <definedName name="OSRRefD22_13x_0" localSheetId="90">'444'!$D$77</definedName>
    <definedName name="OSRRefD22_13x_0" localSheetId="91">'450'!$D$67:$D$69</definedName>
    <definedName name="OSRRefD22_13x_0" localSheetId="72">'491'!$D$74:$D$77</definedName>
    <definedName name="OSRRefD22_13x_0" localSheetId="86">'492'!$D$74:$D$77</definedName>
    <definedName name="OSRRefD22_13x_0" localSheetId="39">'Div 2'!$D$72:$D$75</definedName>
    <definedName name="OSRRefD22_13x_0" localSheetId="47">'Div 3'!$D$171</definedName>
    <definedName name="OSRRefD22_13x_0" localSheetId="70">'Div 4'!$D$77</definedName>
    <definedName name="OSRRefD22_13x_0" localSheetId="2">Summary!$D$200</definedName>
    <definedName name="OSRRefD22_14x_0" localSheetId="41">'201'!$D$70</definedName>
    <definedName name="OSRRefD22_14x_0" localSheetId="43">'203'!$D$72</definedName>
    <definedName name="OSRRefD22_14x_0" localSheetId="48">'300'!$D$169</definedName>
    <definedName name="OSRRefD22_14x_0" localSheetId="49">'300 &amp; 317'!$D$192</definedName>
    <definedName name="OSRRefD22_14x_0" localSheetId="50">'301'!$D$68:$D$71</definedName>
    <definedName name="OSRRefD22_14x_0" localSheetId="63">'310'!$D$77:$D$78</definedName>
    <definedName name="OSRRefD22_14x_0" localSheetId="71">'310 &amp; 491'!$D$83:$D$84</definedName>
    <definedName name="OSRRefD22_14x_0" localSheetId="57">'315'!$D$129:$D$135</definedName>
    <definedName name="OSRRefD22_14x_0" localSheetId="68">'325'!$D$75:$D$79</definedName>
    <definedName name="OSRRefD22_14x_0" localSheetId="58">'326'!$D$93:$D$95</definedName>
    <definedName name="OSRRefD22_14x_0" localSheetId="56">'331'!$D$127:$D$128</definedName>
    <definedName name="OSRRefD22_14x_0" localSheetId="73">'405'!$D$80</definedName>
    <definedName name="OSRRefD22_14x_0" localSheetId="75">'411'!$D$76</definedName>
    <definedName name="OSRRefD22_14x_0" localSheetId="78">'414'!$D$72</definedName>
    <definedName name="OSRRefD22_14x_0" localSheetId="79">'415'!$D$78:$D$84</definedName>
    <definedName name="OSRRefD22_14x_0" localSheetId="88">'433'!$D$84</definedName>
    <definedName name="OSRRefD22_14x_0" localSheetId="90">'444'!$D$79:$D$87</definedName>
    <definedName name="OSRRefD22_14x_0" localSheetId="91">'450'!$D$71:$D$77</definedName>
    <definedName name="OSRRefD22_14x_0" localSheetId="72">'491'!$D$79:$D$80</definedName>
    <definedName name="OSRRefD22_14x_0" localSheetId="86">'492'!$D$79</definedName>
    <definedName name="OSRRefD22_14x_0" localSheetId="39">'Div 2'!$D$77:$D$78</definedName>
    <definedName name="OSRRefD22_14x_0" localSheetId="47">'Div 3'!$D$173</definedName>
    <definedName name="OSRRefD22_14x_0" localSheetId="70">'Div 4'!$D$79</definedName>
    <definedName name="OSRRefD22_14x_0" localSheetId="2">Summary!$D$202</definedName>
    <definedName name="OSRRefD22_15x_0" localSheetId="41">'201'!$D$72</definedName>
    <definedName name="OSRRefD22_15x_0" localSheetId="48">'300'!$D$171</definedName>
    <definedName name="OSRRefD22_15x_0" localSheetId="49">'300 &amp; 317'!$D$194</definedName>
    <definedName name="OSRRefD22_15x_0" localSheetId="50">'301'!$D$73:$D$75</definedName>
    <definedName name="OSRRefD22_15x_0" localSheetId="63">'310'!$D$80:$D$83</definedName>
    <definedName name="OSRRefD22_15x_0" localSheetId="71">'310 &amp; 491'!$D$86:$D$90</definedName>
    <definedName name="OSRRefD22_15x_0" localSheetId="57">'315'!$D$137</definedName>
    <definedName name="OSRRefD22_15x_0" localSheetId="68">'325'!$D$81:$D$82</definedName>
    <definedName name="OSRRefD22_15x_0" localSheetId="58">'326'!$D$97:$D$98</definedName>
    <definedName name="OSRRefD22_15x_0" localSheetId="56">'331'!$D$130:$D$132</definedName>
    <definedName name="OSRRefD22_15x_0" localSheetId="73">'405'!$D$82</definedName>
    <definedName name="OSRRefD22_15x_0" localSheetId="75">'411'!$D$78</definedName>
    <definedName name="OSRRefD22_15x_0" localSheetId="78">'414'!$D$74</definedName>
    <definedName name="OSRRefD22_15x_0" localSheetId="79">'415'!$D$86:$D$87</definedName>
    <definedName name="OSRRefD22_15x_0" localSheetId="90">'444'!$D$89:$D$90</definedName>
    <definedName name="OSRRefD22_15x_0" localSheetId="91">'450'!$D$79:$D$80</definedName>
    <definedName name="OSRRefD22_15x_0" localSheetId="72">'491'!$D$82:$D$86</definedName>
    <definedName name="OSRRefD22_15x_0" localSheetId="86">'492'!$D$81:$D$90</definedName>
    <definedName name="OSRRefD22_15x_0" localSheetId="39">'Div 2'!$D$80:$D$81</definedName>
    <definedName name="OSRRefD22_15x_0" localSheetId="47">'Div 3'!$D$175</definedName>
    <definedName name="OSRRefD22_15x_0" localSheetId="70">'Div 4'!$D$81:$D$84</definedName>
    <definedName name="OSRRefD22_15x_0" localSheetId="2">Summary!$D$204</definedName>
    <definedName name="OSRRefD22_16x_0" localSheetId="41">'201'!$D$74</definedName>
    <definedName name="OSRRefD22_16x_0" localSheetId="48">'300'!$D$173:$D$176</definedName>
    <definedName name="OSRRefD22_16x_0" localSheetId="49">'300 &amp; 317'!$D$196:$D$199</definedName>
    <definedName name="OSRRefD22_16x_0" localSheetId="50">'301'!$D$77</definedName>
    <definedName name="OSRRefD22_16x_0" localSheetId="63">'310'!$D$85</definedName>
    <definedName name="OSRRefD22_16x_0" localSheetId="71">'310 &amp; 491'!$D$92:$D$93</definedName>
    <definedName name="OSRRefD22_16x_0" localSheetId="57">'315'!$D$139</definedName>
    <definedName name="OSRRefD22_16x_0" localSheetId="68">'325'!$D$84</definedName>
    <definedName name="OSRRefD22_16x_0" localSheetId="58">'326'!$D$100:$D$105</definedName>
    <definedName name="OSRRefD22_16x_0" localSheetId="56">'331'!$D$134:$D$136</definedName>
    <definedName name="OSRRefD22_16x_0" localSheetId="73">'405'!$D$84</definedName>
    <definedName name="OSRRefD22_16x_0" localSheetId="79">'415'!$D$89</definedName>
    <definedName name="OSRRefD22_16x_0" localSheetId="90">'444'!$D$92</definedName>
    <definedName name="OSRRefD22_16x_0" localSheetId="91">'450'!$D$82</definedName>
    <definedName name="OSRRefD22_16x_0" localSheetId="72">'491'!$D$88:$D$89</definedName>
    <definedName name="OSRRefD22_16x_0" localSheetId="86">'492'!$D$92:$D$93</definedName>
    <definedName name="OSRRefD22_16x_0" localSheetId="39">'Div 2'!$D$83:$D$87</definedName>
    <definedName name="OSRRefD22_16x_0" localSheetId="47">'Div 3'!$D$177</definedName>
    <definedName name="OSRRefD22_16x_0" localSheetId="70">'Div 4'!$D$86:$D$87</definedName>
    <definedName name="OSRRefD22_16x_0" localSheetId="2">Summary!$D$206</definedName>
    <definedName name="OSRRefD22_17x_0" localSheetId="48">'300'!$D$178:$D$181</definedName>
    <definedName name="OSRRefD22_17x_0" localSheetId="49">'300 &amp; 317'!$D$201:$D$204</definedName>
    <definedName name="OSRRefD22_17x_0" localSheetId="50">'301'!$D$79:$D$85</definedName>
    <definedName name="OSRRefD22_17x_0" localSheetId="63">'310'!$D$87:$D$93</definedName>
    <definedName name="OSRRefD22_17x_0" localSheetId="71">'310 &amp; 491'!$D$95:$D$105</definedName>
    <definedName name="OSRRefD22_17x_0" localSheetId="57">'315'!$D$141:$D$142</definedName>
    <definedName name="OSRRefD22_17x_0" localSheetId="68">'325'!$D$86</definedName>
    <definedName name="OSRRefD22_17x_0" localSheetId="58">'326'!$D$107:$D$108</definedName>
    <definedName name="OSRRefD22_17x_0" localSheetId="56">'331'!$D$138:$D$139</definedName>
    <definedName name="OSRRefD22_17x_0" localSheetId="79">'415'!$D$91:$D$92</definedName>
    <definedName name="OSRRefD22_17x_0" localSheetId="72">'491'!$D$91:$D$101</definedName>
    <definedName name="OSRRefD22_17x_0" localSheetId="86">'492'!$D$95</definedName>
    <definedName name="OSRRefD22_17x_0" localSheetId="39">'Div 2'!$D$89:$D$90</definedName>
    <definedName name="OSRRefD22_17x_0" localSheetId="47">'Div 3'!$D$179:$D$182</definedName>
    <definedName name="OSRRefD22_17x_0" localSheetId="70">'Div 4'!$D$89:$D$93</definedName>
    <definedName name="OSRRefD22_17x_0" localSheetId="2">Summary!$D$208</definedName>
    <definedName name="OSRRefD22_18x_0" localSheetId="48">'300'!$D$183:$D$186</definedName>
    <definedName name="OSRRefD22_18x_0" localSheetId="49">'300 &amp; 317'!$D$206:$D$209</definedName>
    <definedName name="OSRRefD22_18x_0" localSheetId="50">'301'!$D$87</definedName>
    <definedName name="OSRRefD22_18x_0" localSheetId="63">'310'!$D$95:$D$96</definedName>
    <definedName name="OSRRefD22_18x_0" localSheetId="71">'310 &amp; 491'!$D$107:$D$108</definedName>
    <definedName name="OSRRefD22_18x_0" localSheetId="58">'326'!$D$110</definedName>
    <definedName name="OSRRefD22_18x_0" localSheetId="56">'331'!$D$141:$D$148</definedName>
    <definedName name="OSRRefD22_18x_0" localSheetId="79">'415'!$D$94</definedName>
    <definedName name="OSRRefD22_18x_0" localSheetId="72">'491'!$D$103:$D$104</definedName>
    <definedName name="OSRRefD22_18x_0" localSheetId="86">'492'!$D$97</definedName>
    <definedName name="OSRRefD22_18x_0" localSheetId="39">'Div 2'!$D$92</definedName>
    <definedName name="OSRRefD22_18x_0" localSheetId="47">'Div 3'!$D$184:$D$187</definedName>
    <definedName name="OSRRefD22_18x_0" localSheetId="70">'Div 4'!$D$95:$D$96</definedName>
    <definedName name="OSRRefD22_18x_0" localSheetId="2">Summary!$D$210:$D$213</definedName>
    <definedName name="OSRRefD22_19x_0" localSheetId="48">'300'!$D$188:$D$189</definedName>
    <definedName name="OSRRefD22_19x_0" localSheetId="49">'300 &amp; 317'!$D$211:$D$212</definedName>
    <definedName name="OSRRefD22_19x_0" localSheetId="50">'301'!$D$89</definedName>
    <definedName name="OSRRefD22_19x_0" localSheetId="63">'310'!$D$98</definedName>
    <definedName name="OSRRefD22_19x_0" localSheetId="71">'310 &amp; 491'!$D$110</definedName>
    <definedName name="OSRRefD22_19x_0" localSheetId="58">'326'!$D$112:$D$113</definedName>
    <definedName name="OSRRefD22_19x_0" localSheetId="56">'331'!$D$150:$D$151</definedName>
    <definedName name="OSRRefD22_19x_0" localSheetId="72">'491'!$D$106</definedName>
    <definedName name="OSRRefD22_19x_0" localSheetId="39">'Div 2'!$D$94:$D$95</definedName>
    <definedName name="OSRRefD22_19x_0" localSheetId="47">'Div 3'!$D$189:$D$193</definedName>
    <definedName name="OSRRefD22_19x_0" localSheetId="70">'Div 4'!$D$98:$D$108</definedName>
    <definedName name="OSRRefD22_19x_0" localSheetId="2">Summary!$D$215:$D$218</definedName>
    <definedName name="OSRRefD22_1x_0" localSheetId="40">'200'!$D$22</definedName>
    <definedName name="OSRRefD22_1x_0" localSheetId="41">'201'!$D$31:$D$40</definedName>
    <definedName name="OSRRefD22_1x_0" localSheetId="42">'202'!$D$31:$D$40</definedName>
    <definedName name="OSRRefD22_1x_0" localSheetId="43">'203'!$D$31:$D$40</definedName>
    <definedName name="OSRRefD22_1x_0" localSheetId="44">'204'!$D$31:$D$40</definedName>
    <definedName name="OSRRefD22_1x_0" localSheetId="45">'205'!$D$30:$D$39</definedName>
    <definedName name="OSRRefD22_1x_0" localSheetId="46">'206'!$D$30:$D$39</definedName>
    <definedName name="OSRRefD22_1x_0" localSheetId="48">'300'!$D$127:$D$136</definedName>
    <definedName name="OSRRefD22_1x_0" localSheetId="49">'300 &amp; 317'!$D$150:$D$159</definedName>
    <definedName name="OSRRefD22_1x_0" localSheetId="50">'301'!$D$31:$D$40</definedName>
    <definedName name="OSRRefD22_1x_0" localSheetId="52">'307'!$D$48:$D$57</definedName>
    <definedName name="OSRRefD22_1x_0" localSheetId="53">'308'!$D$67:$D$76</definedName>
    <definedName name="OSRRefD22_1x_0" localSheetId="64">'309'!$D$31:$D$40</definedName>
    <definedName name="OSRRefD22_1x_0" localSheetId="63">'310'!$D$38:$D$47</definedName>
    <definedName name="OSRRefD22_1x_0" localSheetId="71">'310 &amp; 491'!$D$42:$D$51</definedName>
    <definedName name="OSRRefD22_1x_0" localSheetId="54">'311'!$D$66:$D$75</definedName>
    <definedName name="OSRRefD22_1x_0" localSheetId="65">'313'!$D$33:$D$42</definedName>
    <definedName name="OSRRefD22_1x_0" localSheetId="57">'315'!$D$90:$D$99</definedName>
    <definedName name="OSRRefD22_1x_0" localSheetId="60">'316'!$D$40:$D$49</definedName>
    <definedName name="OSRRefD22_1x_0" localSheetId="62">'317'!$D$61:$D$70</definedName>
    <definedName name="OSRRefD22_1x_0" localSheetId="66">'321'!$D$35:$D$44</definedName>
    <definedName name="OSRRefD22_1x_0" localSheetId="67">'322'!$D$32:$D$41</definedName>
    <definedName name="OSRRefD22_1x_0" localSheetId="55">'324'!$D$36:$D$45</definedName>
    <definedName name="OSRRefD22_1x_0" localSheetId="68">'325'!$D$34:$D$43</definedName>
    <definedName name="OSRRefD22_1x_0" localSheetId="58">'326'!$D$56:$D$65</definedName>
    <definedName name="OSRRefD22_1x_0" localSheetId="51">'330'!$D$48:$D$57</definedName>
    <definedName name="OSRRefD22_1x_0" localSheetId="56">'331'!$D$90:$D$99</definedName>
    <definedName name="OSRRefD22_1x_0" localSheetId="59">'332'!$D$40:$D$49</definedName>
    <definedName name="OSRRefD22_1x_0" localSheetId="73">'405'!$D$32:$D$41</definedName>
    <definedName name="OSRRefD22_1x_0" localSheetId="74">'406'!$D$22</definedName>
    <definedName name="OSRRefD22_1x_0" localSheetId="75">'411'!$D$30:$D$39</definedName>
    <definedName name="OSRRefD22_1x_0" localSheetId="76">'412'!$D$31:$D$40</definedName>
    <definedName name="OSRRefD22_1x_0" localSheetId="77">'413'!$D$33:$D$42</definedName>
    <definedName name="OSRRefD22_1x_0" localSheetId="78">'414'!$D$34:$D$43</definedName>
    <definedName name="OSRRefD22_1x_0" localSheetId="79">'415'!$D$37:$D$46</definedName>
    <definedName name="OSRRefD22_1x_0" localSheetId="80">'418'!$D$32:$D$41</definedName>
    <definedName name="OSRRefD22_1x_0" localSheetId="82">'423'!$D$29:$D$38</definedName>
    <definedName name="OSRRefD22_1x_0" localSheetId="83">'424'!$D$22</definedName>
    <definedName name="OSRRefD22_1x_0" localSheetId="84">'425'!$D$26</definedName>
    <definedName name="OSRRefD22_1x_0" localSheetId="87">'430'!$D$30:$D$39</definedName>
    <definedName name="OSRRefD22_1x_0" localSheetId="88">'433'!$D$38:$D$47</definedName>
    <definedName name="OSRRefD22_1x_0" localSheetId="90">'444'!$D$38:$D$47</definedName>
    <definedName name="OSRRefD22_1x_0" localSheetId="91">'450'!$D$34:$D$43</definedName>
    <definedName name="OSRRefD22_1x_0" localSheetId="72">'491'!$D$39:$D$48</definedName>
    <definedName name="OSRRefD22_1x_0" localSheetId="86">'492'!$D$38:$D$47</definedName>
    <definedName name="OSRRefD22_1x_0" localSheetId="93">'501'!$D$32:$D$41</definedName>
    <definedName name="OSRRefD22_1x_0" localSheetId="39">'Div 2'!$D$33:$D$42</definedName>
    <definedName name="OSRRefD22_1x_0" localSheetId="47">'Div 3'!$D$131:$D$140</definedName>
    <definedName name="OSRRefD22_1x_0" localSheetId="70">'Div 4'!$D$42:$D$51</definedName>
    <definedName name="OSRRefD22_1x_0" localSheetId="92">'Div 5'!$D$32:$D$41</definedName>
    <definedName name="OSRRefD22_1x_0" localSheetId="61">'Div 6'!$D$61:$D$70</definedName>
    <definedName name="OSRRefD22_1x_0" localSheetId="2">Summary!$D$159:$D$168</definedName>
    <definedName name="OSRRefD22_20x_0" localSheetId="48">'300'!$D$191:$D$199</definedName>
    <definedName name="OSRRefD22_20x_0" localSheetId="49">'300 &amp; 317'!$D$214:$D$222</definedName>
    <definedName name="OSRRefD22_20x_0" localSheetId="50">'301'!$D$91:$D$92</definedName>
    <definedName name="OSRRefD22_20x_0" localSheetId="63">'310'!$D$100</definedName>
    <definedName name="OSRRefD22_20x_0" localSheetId="71">'310 &amp; 491'!$D$112:$D$114</definedName>
    <definedName name="OSRRefD22_20x_0" localSheetId="58">'326'!$D$115</definedName>
    <definedName name="OSRRefD22_20x_0" localSheetId="56">'331'!$D$153</definedName>
    <definedName name="OSRRefD22_20x_0" localSheetId="72">'491'!$D$108:$D$110</definedName>
    <definedName name="OSRRefD22_20x_0" localSheetId="47">'Div 3'!$D$195:$D$196</definedName>
    <definedName name="OSRRefD22_20x_0" localSheetId="70">'Div 4'!$D$110:$D$111</definedName>
    <definedName name="OSRRefD22_20x_0" localSheetId="2">Summary!$D$220:$D$224</definedName>
    <definedName name="OSRRefD22_21x_0" localSheetId="48">'300'!$D$201:$D$202</definedName>
    <definedName name="OSRRefD22_21x_0" localSheetId="49">'300 &amp; 317'!$D$224:$D$225</definedName>
    <definedName name="OSRRefD22_21x_0" localSheetId="50">'301'!$D$94</definedName>
    <definedName name="OSRRefD22_21x_0" localSheetId="63">'310'!$D$102</definedName>
    <definedName name="OSRRefD22_21x_0" localSheetId="71">'310 &amp; 491'!$D$116</definedName>
    <definedName name="OSRRefD22_21x_0" localSheetId="56">'331'!$D$155:$D$156</definedName>
    <definedName name="OSRRefD22_21x_0" localSheetId="72">'491'!$D$112</definedName>
    <definedName name="OSRRefD22_21x_0" localSheetId="47">'Div 3'!$D$198:$D$206</definedName>
    <definedName name="OSRRefD22_21x_0" localSheetId="70">'Div 4'!$D$113</definedName>
    <definedName name="OSRRefD22_21x_0" localSheetId="2">Summary!$D$226:$D$227</definedName>
    <definedName name="OSRRefD22_22x_0" localSheetId="48">'300'!$D$204</definedName>
    <definedName name="OSRRefD22_22x_0" localSheetId="49">'300 &amp; 317'!$D$227</definedName>
    <definedName name="OSRRefD22_22x_0" localSheetId="56">'331'!$D$158</definedName>
    <definedName name="OSRRefD22_22x_0" localSheetId="47">'Div 3'!$D$208:$D$209</definedName>
    <definedName name="OSRRefD22_22x_0" localSheetId="70">'Div 4'!$D$115:$D$117</definedName>
    <definedName name="OSRRefD22_22x_0" localSheetId="2">Summary!$D$229:$D$239</definedName>
    <definedName name="OSRRefD22_23x_0" localSheetId="48">'300'!$D$206:$D$208</definedName>
    <definedName name="OSRRefD22_23x_0" localSheetId="49">'300 &amp; 317'!$D$229:$D$231</definedName>
    <definedName name="OSRRefD22_23x_0" localSheetId="47">'Div 3'!$D$211</definedName>
    <definedName name="OSRRefD22_23x_0" localSheetId="70">'Div 4'!$D$119</definedName>
    <definedName name="OSRRefD22_23x_0" localSheetId="2">Summary!$D$241:$D$242</definedName>
    <definedName name="OSRRefD22_24x_0" localSheetId="48">'300'!$D$210</definedName>
    <definedName name="OSRRefD22_24x_0" localSheetId="49">'300 &amp; 317'!$D$233</definedName>
    <definedName name="OSRRefD22_24x_0" localSheetId="47">'Div 3'!$D$213:$D$215</definedName>
    <definedName name="OSRRefD22_24x_0" localSheetId="2">Summary!$D$244</definedName>
    <definedName name="OSRRefD22_25x_0" localSheetId="47">'Div 3'!$D$217</definedName>
    <definedName name="OSRRefD22_25x_0" localSheetId="2">Summary!$D$246:$D$248</definedName>
    <definedName name="OSRRefD22_26x_0" localSheetId="2">Summary!$D$250</definedName>
    <definedName name="OSRRefD22_2x_0" localSheetId="40">'200'!$D$24</definedName>
    <definedName name="OSRRefD22_2x_0" localSheetId="41">'201'!$D$42</definedName>
    <definedName name="OSRRefD22_2x_0" localSheetId="42">'202'!$D$42</definedName>
    <definedName name="OSRRefD22_2x_0" localSheetId="43">'203'!$D$42</definedName>
    <definedName name="OSRRefD22_2x_0" localSheetId="44">'204'!$D$42</definedName>
    <definedName name="OSRRefD22_2x_0" localSheetId="45">'205'!$D$41</definedName>
    <definedName name="OSRRefD22_2x_0" localSheetId="46">'206'!$D$41</definedName>
    <definedName name="OSRRefD22_2x_0" localSheetId="48">'300'!$D$138</definedName>
    <definedName name="OSRRefD22_2x_0" localSheetId="49">'300 &amp; 317'!$D$161</definedName>
    <definedName name="OSRRefD22_2x_0" localSheetId="50">'301'!$D$42</definedName>
    <definedName name="OSRRefD22_2x_0" localSheetId="52">'307'!$D$59</definedName>
    <definedName name="OSRRefD22_2x_0" localSheetId="53">'308'!$D$78</definedName>
    <definedName name="OSRRefD22_2x_0" localSheetId="64">'309'!$D$42</definedName>
    <definedName name="OSRRefD22_2x_0" localSheetId="63">'310'!$D$49</definedName>
    <definedName name="OSRRefD22_2x_0" localSheetId="71">'310 &amp; 491'!$D$53</definedName>
    <definedName name="OSRRefD22_2x_0" localSheetId="54">'311'!$D$77</definedName>
    <definedName name="OSRRefD22_2x_0" localSheetId="65">'313'!$D$44</definedName>
    <definedName name="OSRRefD22_2x_0" localSheetId="57">'315'!$D$101</definedName>
    <definedName name="OSRRefD22_2x_0" localSheetId="60">'316'!$D$51</definedName>
    <definedName name="OSRRefD22_2x_0" localSheetId="62">'317'!$D$72</definedName>
    <definedName name="OSRRefD22_2x_0" localSheetId="66">'321'!$D$46</definedName>
    <definedName name="OSRRefD22_2x_0" localSheetId="67">'322'!$D$43</definedName>
    <definedName name="OSRRefD22_2x_0" localSheetId="68">'325'!$D$45</definedName>
    <definedName name="OSRRefD22_2x_0" localSheetId="58">'326'!$D$67</definedName>
    <definedName name="OSRRefD22_2x_0" localSheetId="51">'330'!$D$59</definedName>
    <definedName name="OSRRefD22_2x_0" localSheetId="56">'331'!$D$101</definedName>
    <definedName name="OSRRefD22_2x_0" localSheetId="59">'332'!$D$51</definedName>
    <definedName name="OSRRefD22_2x_0" localSheetId="73">'405'!$D$43</definedName>
    <definedName name="OSRRefD22_2x_0" localSheetId="74">'406'!$D$24</definedName>
    <definedName name="OSRRefD22_2x_0" localSheetId="75">'411'!$D$41</definedName>
    <definedName name="OSRRefD22_2x_0" localSheetId="76">'412'!$D$42</definedName>
    <definedName name="OSRRefD22_2x_0" localSheetId="77">'413'!$D$44</definedName>
    <definedName name="OSRRefD22_2x_0" localSheetId="78">'414'!$D$45</definedName>
    <definedName name="OSRRefD22_2x_0" localSheetId="79">'415'!$D$48</definedName>
    <definedName name="OSRRefD22_2x_0" localSheetId="80">'418'!$D$43</definedName>
    <definedName name="OSRRefD22_2x_0" localSheetId="82">'423'!$D$40</definedName>
    <definedName name="OSRRefD22_2x_0" localSheetId="83">'424'!$D$24</definedName>
    <definedName name="OSRRefD22_2x_0" localSheetId="84">'425'!$D$28</definedName>
    <definedName name="OSRRefD22_2x_0" localSheetId="87">'430'!$D$41</definedName>
    <definedName name="OSRRefD22_2x_0" localSheetId="88">'433'!$D$49</definedName>
    <definedName name="OSRRefD22_2x_0" localSheetId="90">'444'!$D$49</definedName>
    <definedName name="OSRRefD22_2x_0" localSheetId="91">'450'!$D$45</definedName>
    <definedName name="OSRRefD22_2x_0" localSheetId="72">'491'!$D$50</definedName>
    <definedName name="OSRRefD22_2x_0" localSheetId="86">'492'!$D$49</definedName>
    <definedName name="OSRRefD22_2x_0" localSheetId="93">'501'!$D$43</definedName>
    <definedName name="OSRRefD22_2x_0" localSheetId="39">'Div 2'!$D$44</definedName>
    <definedName name="OSRRefD22_2x_0" localSheetId="47">'Div 3'!$D$142</definedName>
    <definedName name="OSRRefD22_2x_0" localSheetId="70">'Div 4'!$D$53</definedName>
    <definedName name="OSRRefD22_2x_0" localSheetId="92">'Div 5'!$D$43</definedName>
    <definedName name="OSRRefD22_2x_0" localSheetId="61">'Div 6'!$D$72</definedName>
    <definedName name="OSRRefD22_2x_0" localSheetId="2">Summary!$D$170</definedName>
    <definedName name="OSRRefD22_3x_0" localSheetId="40">'200'!$D$26</definedName>
    <definedName name="OSRRefD22_3x_0" localSheetId="41">'201'!$D$44</definedName>
    <definedName name="OSRRefD22_3x_0" localSheetId="42">'202'!$D$44</definedName>
    <definedName name="OSRRefD22_3x_0" localSheetId="43">'203'!$D$44</definedName>
    <definedName name="OSRRefD22_3x_0" localSheetId="44">'204'!$D$44:$D$45</definedName>
    <definedName name="OSRRefD22_3x_0" localSheetId="45">'205'!$D$43</definedName>
    <definedName name="OSRRefD22_3x_0" localSheetId="46">'206'!$D$43</definedName>
    <definedName name="OSRRefD22_3x_0" localSheetId="48">'300'!$D$140:$D$141</definedName>
    <definedName name="OSRRefD22_3x_0" localSheetId="49">'300 &amp; 317'!$D$163:$D$164</definedName>
    <definedName name="OSRRefD22_3x_0" localSheetId="50">'301'!$D$44:$D$45</definedName>
    <definedName name="OSRRefD22_3x_0" localSheetId="52">'307'!$D$61</definedName>
    <definedName name="OSRRefD22_3x_0" localSheetId="53">'308'!$D$80</definedName>
    <definedName name="OSRRefD22_3x_0" localSheetId="64">'309'!$D$44</definedName>
    <definedName name="OSRRefD22_3x_0" localSheetId="63">'310'!$D$51</definedName>
    <definedName name="OSRRefD22_3x_0" localSheetId="71">'310 &amp; 491'!$D$55</definedName>
    <definedName name="OSRRefD22_3x_0" localSheetId="54">'311'!$D$79</definedName>
    <definedName name="OSRRefD22_3x_0" localSheetId="65">'313'!$D$46</definedName>
    <definedName name="OSRRefD22_3x_0" localSheetId="57">'315'!$D$103</definedName>
    <definedName name="OSRRefD22_3x_0" localSheetId="60">'316'!$D$53</definedName>
    <definedName name="OSRRefD22_3x_0" localSheetId="62">'317'!$D$74</definedName>
    <definedName name="OSRRefD22_3x_0" localSheetId="66">'321'!$D$48</definedName>
    <definedName name="OSRRefD22_3x_0" localSheetId="67">'322'!$D$45</definedName>
    <definedName name="OSRRefD22_3x_0" localSheetId="68">'325'!$D$47</definedName>
    <definedName name="OSRRefD22_3x_0" localSheetId="58">'326'!$D$69</definedName>
    <definedName name="OSRRefD22_3x_0" localSheetId="51">'330'!$D$61</definedName>
    <definedName name="OSRRefD22_3x_0" localSheetId="56">'331'!$D$103</definedName>
    <definedName name="OSRRefD22_3x_0" localSheetId="59">'332'!$D$53</definedName>
    <definedName name="OSRRefD22_3x_0" localSheetId="73">'405'!$D$45</definedName>
    <definedName name="OSRRefD22_3x_0" localSheetId="74">'406'!$D$26</definedName>
    <definedName name="OSRRefD22_3x_0" localSheetId="75">'411'!$D$43</definedName>
    <definedName name="OSRRefD22_3x_0" localSheetId="76">'412'!$D$44</definedName>
    <definedName name="OSRRefD22_3x_0" localSheetId="77">'413'!$D$46</definedName>
    <definedName name="OSRRefD22_3x_0" localSheetId="78">'414'!$D$47</definedName>
    <definedName name="OSRRefD22_3x_0" localSheetId="79">'415'!$D$50</definedName>
    <definedName name="OSRRefD22_3x_0" localSheetId="80">'418'!$D$45</definedName>
    <definedName name="OSRRefD22_3x_0" localSheetId="82">'423'!$D$42:$D$43</definedName>
    <definedName name="OSRRefD22_3x_0" localSheetId="83">'424'!$D$26</definedName>
    <definedName name="OSRRefD22_3x_0" localSheetId="84">'425'!$D$30</definedName>
    <definedName name="OSRRefD22_3x_0" localSheetId="87">'430'!$D$43</definedName>
    <definedName name="OSRRefD22_3x_0" localSheetId="88">'433'!$D$51</definedName>
    <definedName name="OSRRefD22_3x_0" localSheetId="90">'444'!$D$51</definedName>
    <definedName name="OSRRefD22_3x_0" localSheetId="91">'450'!$D$47</definedName>
    <definedName name="OSRRefD22_3x_0" localSheetId="72">'491'!$D$52</definedName>
    <definedName name="OSRRefD22_3x_0" localSheetId="86">'492'!$D$51</definedName>
    <definedName name="OSRRefD22_3x_0" localSheetId="93">'501'!$D$45</definedName>
    <definedName name="OSRRefD22_3x_0" localSheetId="39">'Div 2'!$D$46</definedName>
    <definedName name="OSRRefD22_3x_0" localSheetId="47">'Div 3'!$D$144:$D$145</definedName>
    <definedName name="OSRRefD22_3x_0" localSheetId="70">'Div 4'!$D$55</definedName>
    <definedName name="OSRRefD22_3x_0" localSheetId="92">'Div 5'!$D$45</definedName>
    <definedName name="OSRRefD22_3x_0" localSheetId="61">'Div 6'!$D$74</definedName>
    <definedName name="OSRRefD22_3x_0" localSheetId="2">Summary!$D$172:$D$173</definedName>
    <definedName name="OSRRefD22_4x_0" localSheetId="40">'200'!$D$28:$D$29</definedName>
    <definedName name="OSRRefD22_4x_0" localSheetId="41">'201'!$D$46</definedName>
    <definedName name="OSRRefD22_4x_0" localSheetId="42">'202'!$D$46:$D$47</definedName>
    <definedName name="OSRRefD22_4x_0" localSheetId="43">'203'!$D$46</definedName>
    <definedName name="OSRRefD22_4x_0" localSheetId="44">'204'!$D$47</definedName>
    <definedName name="OSRRefD22_4x_0" localSheetId="45">'205'!$D$45:$D$46</definedName>
    <definedName name="OSRRefD22_4x_0" localSheetId="46">'206'!$D$45</definedName>
    <definedName name="OSRRefD22_4x_0" localSheetId="48">'300'!$D$143</definedName>
    <definedName name="OSRRefD22_4x_0" localSheetId="49">'300 &amp; 317'!$D$166</definedName>
    <definedName name="OSRRefD22_4x_0" localSheetId="50">'301'!$D$47</definedName>
    <definedName name="OSRRefD22_4x_0" localSheetId="52">'307'!$D$63</definedName>
    <definedName name="OSRRefD22_4x_0" localSheetId="53">'308'!$D$82</definedName>
    <definedName name="OSRRefD22_4x_0" localSheetId="64">'309'!$D$46</definedName>
    <definedName name="OSRRefD22_4x_0" localSheetId="63">'310'!$D$53</definedName>
    <definedName name="OSRRefD22_4x_0" localSheetId="71">'310 &amp; 491'!$D$57</definedName>
    <definedName name="OSRRefD22_4x_0" localSheetId="54">'311'!$D$81</definedName>
    <definedName name="OSRRefD22_4x_0" localSheetId="65">'313'!$D$48</definedName>
    <definedName name="OSRRefD22_4x_0" localSheetId="57">'315'!$D$105</definedName>
    <definedName name="OSRRefD22_4x_0" localSheetId="60">'316'!$D$55</definedName>
    <definedName name="OSRRefD22_4x_0" localSheetId="62">'317'!$D$76</definedName>
    <definedName name="OSRRefD22_4x_0" localSheetId="66">'321'!$D$50</definedName>
    <definedName name="OSRRefD22_4x_0" localSheetId="67">'322'!$D$47</definedName>
    <definedName name="OSRRefD22_4x_0" localSheetId="68">'325'!$D$49</definedName>
    <definedName name="OSRRefD22_4x_0" localSheetId="58">'326'!$D$71</definedName>
    <definedName name="OSRRefD22_4x_0" localSheetId="51">'330'!$D$63</definedName>
    <definedName name="OSRRefD22_4x_0" localSheetId="56">'331'!$D$105</definedName>
    <definedName name="OSRRefD22_4x_0" localSheetId="59">'332'!$D$55</definedName>
    <definedName name="OSRRefD22_4x_0" localSheetId="73">'405'!$D$47:$D$48</definedName>
    <definedName name="OSRRefD22_4x_0" localSheetId="74">'406'!$D$28</definedName>
    <definedName name="OSRRefD22_4x_0" localSheetId="75">'411'!$D$45:$D$46</definedName>
    <definedName name="OSRRefD22_4x_0" localSheetId="76">'412'!$D$46:$D$47</definedName>
    <definedName name="OSRRefD22_4x_0" localSheetId="77">'413'!$D$48</definedName>
    <definedName name="OSRRefD22_4x_0" localSheetId="78">'414'!$D$49</definedName>
    <definedName name="OSRRefD22_4x_0" localSheetId="79">'415'!$D$52</definedName>
    <definedName name="OSRRefD22_4x_0" localSheetId="80">'418'!$D$47:$D$48</definedName>
    <definedName name="OSRRefD22_4x_0" localSheetId="82">'423'!$D$45</definedName>
    <definedName name="OSRRefD22_4x_0" localSheetId="84">'425'!$D$32:$D$33</definedName>
    <definedName name="OSRRefD22_4x_0" localSheetId="87">'430'!$D$45:$D$47</definedName>
    <definedName name="OSRRefD22_4x_0" localSheetId="88">'433'!$D$53</definedName>
    <definedName name="OSRRefD22_4x_0" localSheetId="90">'444'!$D$53</definedName>
    <definedName name="OSRRefD22_4x_0" localSheetId="91">'450'!$D$49</definedName>
    <definedName name="OSRRefD22_4x_0" localSheetId="72">'491'!$D$54</definedName>
    <definedName name="OSRRefD22_4x_0" localSheetId="86">'492'!$D$53</definedName>
    <definedName name="OSRRefD22_4x_0" localSheetId="93">'501'!$D$47</definedName>
    <definedName name="OSRRefD22_4x_0" localSheetId="39">'Div 2'!$D$48</definedName>
    <definedName name="OSRRefD22_4x_0" localSheetId="47">'Div 3'!$D$147</definedName>
    <definedName name="OSRRefD22_4x_0" localSheetId="70">'Div 4'!$D$57</definedName>
    <definedName name="OSRRefD22_4x_0" localSheetId="92">'Div 5'!$D$47</definedName>
    <definedName name="OSRRefD22_4x_0" localSheetId="61">'Div 6'!$D$76</definedName>
    <definedName name="OSRRefD22_4x_0" localSheetId="2">Summary!$D$175</definedName>
    <definedName name="OSRRefD22_5x_0" localSheetId="41">'201'!$D$48</definedName>
    <definedName name="OSRRefD22_5x_0" localSheetId="42">'202'!$D$49</definedName>
    <definedName name="OSRRefD22_5x_0" localSheetId="43">'203'!$D$48</definedName>
    <definedName name="OSRRefD22_5x_0" localSheetId="44">'204'!$D$49</definedName>
    <definedName name="OSRRefD22_5x_0" localSheetId="45">'205'!$D$48</definedName>
    <definedName name="OSRRefD22_5x_0" localSheetId="46">'206'!$D$47</definedName>
    <definedName name="OSRRefD22_5x_0" localSheetId="48">'300'!$D$145:$D$146</definedName>
    <definedName name="OSRRefD22_5x_0" localSheetId="49">'300 &amp; 317'!$D$168:$D$169</definedName>
    <definedName name="OSRRefD22_5x_0" localSheetId="50">'301'!$D$49:$D$50</definedName>
    <definedName name="OSRRefD22_5x_0" localSheetId="52">'307'!$D$65:$D$66</definedName>
    <definedName name="OSRRefD22_5x_0" localSheetId="53">'308'!$D$84</definedName>
    <definedName name="OSRRefD22_5x_0" localSheetId="64">'309'!$D$48</definedName>
    <definedName name="OSRRefD22_5x_0" localSheetId="63">'310'!$D$55:$D$56</definedName>
    <definedName name="OSRRefD22_5x_0" localSheetId="71">'310 &amp; 491'!$D$59:$D$61</definedName>
    <definedName name="OSRRefD22_5x_0" localSheetId="54">'311'!$D$83</definedName>
    <definedName name="OSRRefD22_5x_0" localSheetId="65">'313'!$D$50</definedName>
    <definedName name="OSRRefD22_5x_0" localSheetId="57">'315'!$D$107</definedName>
    <definedName name="OSRRefD22_5x_0" localSheetId="60">'316'!$D$57</definedName>
    <definedName name="OSRRefD22_5x_0" localSheetId="62">'317'!$D$78</definedName>
    <definedName name="OSRRefD22_5x_0" localSheetId="66">'321'!$D$52</definedName>
    <definedName name="OSRRefD22_5x_0" localSheetId="67">'322'!$D$49</definedName>
    <definedName name="OSRRefD22_5x_0" localSheetId="68">'325'!$D$51:$D$52</definedName>
    <definedName name="OSRRefD22_5x_0" localSheetId="58">'326'!$D$73</definedName>
    <definedName name="OSRRefD22_5x_0" localSheetId="51">'330'!$D$65:$D$66</definedName>
    <definedName name="OSRRefD22_5x_0" localSheetId="56">'331'!$D$107</definedName>
    <definedName name="OSRRefD22_5x_0" localSheetId="59">'332'!$D$57</definedName>
    <definedName name="OSRRefD22_5x_0" localSheetId="73">'405'!$D$50</definedName>
    <definedName name="OSRRefD22_5x_0" localSheetId="75">'411'!$D$48</definedName>
    <definedName name="OSRRefD22_5x_0" localSheetId="76">'412'!$D$49</definedName>
    <definedName name="OSRRefD22_5x_0" localSheetId="77">'413'!$D$50</definedName>
    <definedName name="OSRRefD22_5x_0" localSheetId="78">'414'!$D$51</definedName>
    <definedName name="OSRRefD22_5x_0" localSheetId="79">'415'!$D$54:$D$55</definedName>
    <definedName name="OSRRefD22_5x_0" localSheetId="80">'418'!$D$50</definedName>
    <definedName name="OSRRefD22_5x_0" localSheetId="82">'423'!$D$47</definedName>
    <definedName name="OSRRefD22_5x_0" localSheetId="84">'425'!$D$35</definedName>
    <definedName name="OSRRefD22_5x_0" localSheetId="87">'430'!$D$49:$D$50</definedName>
    <definedName name="OSRRefD22_5x_0" localSheetId="88">'433'!$D$55</definedName>
    <definedName name="OSRRefD22_5x_0" localSheetId="90">'444'!$D$55</definedName>
    <definedName name="OSRRefD22_5x_0" localSheetId="91">'450'!$D$51</definedName>
    <definedName name="OSRRefD22_5x_0" localSheetId="72">'491'!$D$56:$D$58</definedName>
    <definedName name="OSRRefD22_5x_0" localSheetId="86">'492'!$D$55</definedName>
    <definedName name="OSRRefD22_5x_0" localSheetId="93">'501'!$D$49:$D$50</definedName>
    <definedName name="OSRRefD22_5x_0" localSheetId="39">'Div 2'!$D$50:$D$51</definedName>
    <definedName name="OSRRefD22_5x_0" localSheetId="47">'Div 3'!$D$149:$D$150</definedName>
    <definedName name="OSRRefD22_5x_0" localSheetId="70">'Div 4'!$D$59:$D$61</definedName>
    <definedName name="OSRRefD22_5x_0" localSheetId="92">'Div 5'!$D$49:$D$50</definedName>
    <definedName name="OSRRefD22_5x_0" localSheetId="61">'Div 6'!$D$78</definedName>
    <definedName name="OSRRefD22_5x_0" localSheetId="2">Summary!$D$177:$D$179</definedName>
    <definedName name="OSRRefD22_6x_0" localSheetId="41">'201'!$D$50</definedName>
    <definedName name="OSRRefD22_6x_0" localSheetId="42">'202'!$D$51</definedName>
    <definedName name="OSRRefD22_6x_0" localSheetId="43">'203'!$D$50</definedName>
    <definedName name="OSRRefD22_6x_0" localSheetId="44">'204'!$D$51</definedName>
    <definedName name="OSRRefD22_6x_0" localSheetId="45">'205'!$D$50:$D$52</definedName>
    <definedName name="OSRRefD22_6x_0" localSheetId="46">'206'!$D$49</definedName>
    <definedName name="OSRRefD22_6x_0" localSheetId="48">'300'!$D$148:$D$149</definedName>
    <definedName name="OSRRefD22_6x_0" localSheetId="49">'300 &amp; 317'!$D$171:$D$172</definedName>
    <definedName name="OSRRefD22_6x_0" localSheetId="50">'301'!$D$52</definedName>
    <definedName name="OSRRefD22_6x_0" localSheetId="52">'307'!$D$68</definedName>
    <definedName name="OSRRefD22_6x_0" localSheetId="53">'308'!$D$86:$D$87</definedName>
    <definedName name="OSRRefD22_6x_0" localSheetId="64">'309'!$D$50</definedName>
    <definedName name="OSRRefD22_6x_0" localSheetId="63">'310'!$D$58</definedName>
    <definedName name="OSRRefD22_6x_0" localSheetId="71">'310 &amp; 491'!$D$63</definedName>
    <definedName name="OSRRefD22_6x_0" localSheetId="54">'311'!$D$85:$D$86</definedName>
    <definedName name="OSRRefD22_6x_0" localSheetId="65">'313'!$D$52:$D$53</definedName>
    <definedName name="OSRRefD22_6x_0" localSheetId="57">'315'!$D$109</definedName>
    <definedName name="OSRRefD22_6x_0" localSheetId="60">'316'!$D$59:$D$60</definedName>
    <definedName name="OSRRefD22_6x_0" localSheetId="62">'317'!$D$80:$D$81</definedName>
    <definedName name="OSRRefD22_6x_0" localSheetId="66">'321'!$D$54</definedName>
    <definedName name="OSRRefD22_6x_0" localSheetId="67">'322'!$D$51</definedName>
    <definedName name="OSRRefD22_6x_0" localSheetId="68">'325'!$D$54</definedName>
    <definedName name="OSRRefD22_6x_0" localSheetId="58">'326'!$D$75</definedName>
    <definedName name="OSRRefD22_6x_0" localSheetId="51">'330'!$D$68</definedName>
    <definedName name="OSRRefD22_6x_0" localSheetId="56">'331'!$D$109</definedName>
    <definedName name="OSRRefD22_6x_0" localSheetId="59">'332'!$D$59:$D$60</definedName>
    <definedName name="OSRRefD22_6x_0" localSheetId="73">'405'!$D$52</definedName>
    <definedName name="OSRRefD22_6x_0" localSheetId="75">'411'!$D$50</definedName>
    <definedName name="OSRRefD22_6x_0" localSheetId="76">'412'!$D$51</definedName>
    <definedName name="OSRRefD22_6x_0" localSheetId="77">'413'!$D$52</definedName>
    <definedName name="OSRRefD22_6x_0" localSheetId="78">'414'!$D$53</definedName>
    <definedName name="OSRRefD22_6x_0" localSheetId="79">'415'!$D$57</definedName>
    <definedName name="OSRRefD22_6x_0" localSheetId="80">'418'!$D$52</definedName>
    <definedName name="OSRRefD22_6x_0" localSheetId="82">'423'!$D$49</definedName>
    <definedName name="OSRRefD22_6x_0" localSheetId="87">'430'!$D$52</definedName>
    <definedName name="OSRRefD22_6x_0" localSheetId="88">'433'!$D$57</definedName>
    <definedName name="OSRRefD22_6x_0" localSheetId="90">'444'!$D$57</definedName>
    <definedName name="OSRRefD22_6x_0" localSheetId="91">'450'!$D$53</definedName>
    <definedName name="OSRRefD22_6x_0" localSheetId="72">'491'!$D$60</definedName>
    <definedName name="OSRRefD22_6x_0" localSheetId="86">'492'!$D$57</definedName>
    <definedName name="OSRRefD22_6x_0" localSheetId="93">'501'!$D$52</definedName>
    <definedName name="OSRRefD22_6x_0" localSheetId="39">'Div 2'!$D$53</definedName>
    <definedName name="OSRRefD22_6x_0" localSheetId="47">'Div 3'!$D$152:$D$153</definedName>
    <definedName name="OSRRefD22_6x_0" localSheetId="70">'Div 4'!$D$63</definedName>
    <definedName name="OSRRefD22_6x_0" localSheetId="92">'Div 5'!$D$52</definedName>
    <definedName name="OSRRefD22_6x_0" localSheetId="61">'Div 6'!$D$80:$D$81</definedName>
    <definedName name="OSRRefD22_6x_0" localSheetId="2">Summary!$D$181:$D$182</definedName>
    <definedName name="OSRRefD22_7x_0" localSheetId="41">'201'!$D$52</definedName>
    <definedName name="OSRRefD22_7x_0" localSheetId="42">'202'!$D$53:$D$54</definedName>
    <definedName name="OSRRefD22_7x_0" localSheetId="43">'203'!$D$52:$D$53</definedName>
    <definedName name="OSRRefD22_7x_0" localSheetId="44">'204'!$D$53:$D$55</definedName>
    <definedName name="OSRRefD22_7x_0" localSheetId="45">'205'!$D$54</definedName>
    <definedName name="OSRRefD22_7x_0" localSheetId="46">'206'!$D$51</definedName>
    <definedName name="OSRRefD22_7x_0" localSheetId="48">'300'!$D$151:$D$152</definedName>
    <definedName name="OSRRefD22_7x_0" localSheetId="49">'300 &amp; 317'!$D$174:$D$175</definedName>
    <definedName name="OSRRefD22_7x_0" localSheetId="50">'301'!$D$54</definedName>
    <definedName name="OSRRefD22_7x_0" localSheetId="52">'307'!$D$70</definedName>
    <definedName name="OSRRefD22_7x_0" localSheetId="53">'308'!$D$89:$D$90</definedName>
    <definedName name="OSRRefD22_7x_0" localSheetId="64">'309'!$D$52:$D$53</definedName>
    <definedName name="OSRRefD22_7x_0" localSheetId="63">'310'!$D$60</definedName>
    <definedName name="OSRRefD22_7x_0" localSheetId="71">'310 &amp; 491'!$D$65</definedName>
    <definedName name="OSRRefD22_7x_0" localSheetId="54">'311'!$D$88:$D$89</definedName>
    <definedName name="OSRRefD22_7x_0" localSheetId="65">'313'!$D$55</definedName>
    <definedName name="OSRRefD22_7x_0" localSheetId="57">'315'!$D$111:$D$112</definedName>
    <definedName name="OSRRefD22_7x_0" localSheetId="60">'316'!$D$62:$D$63</definedName>
    <definedName name="OSRRefD22_7x_0" localSheetId="62">'317'!$D$83</definedName>
    <definedName name="OSRRefD22_7x_0" localSheetId="66">'321'!$D$56:$D$57</definedName>
    <definedName name="OSRRefD22_7x_0" localSheetId="67">'322'!$D$53:$D$54</definedName>
    <definedName name="OSRRefD22_7x_0" localSheetId="68">'325'!$D$56</definedName>
    <definedName name="OSRRefD22_7x_0" localSheetId="58">'326'!$D$77</definedName>
    <definedName name="OSRRefD22_7x_0" localSheetId="51">'330'!$D$70</definedName>
    <definedName name="OSRRefD22_7x_0" localSheetId="56">'331'!$D$111</definedName>
    <definedName name="OSRRefD22_7x_0" localSheetId="59">'332'!$D$62:$D$63</definedName>
    <definedName name="OSRRefD22_7x_0" localSheetId="73">'405'!$D$54</definedName>
    <definedName name="OSRRefD22_7x_0" localSheetId="75">'411'!$D$52</definedName>
    <definedName name="OSRRefD22_7x_0" localSheetId="76">'412'!$D$53</definedName>
    <definedName name="OSRRefD22_7x_0" localSheetId="77">'413'!$D$54</definedName>
    <definedName name="OSRRefD22_7x_0" localSheetId="78">'414'!$D$55</definedName>
    <definedName name="OSRRefD22_7x_0" localSheetId="79">'415'!$D$59</definedName>
    <definedName name="OSRRefD22_7x_0" localSheetId="80">'418'!$D$54</definedName>
    <definedName name="OSRRefD22_7x_0" localSheetId="87">'430'!$D$54</definedName>
    <definedName name="OSRRefD22_7x_0" localSheetId="88">'433'!$D$59</definedName>
    <definedName name="OSRRefD22_7x_0" localSheetId="90">'444'!$D$59</definedName>
    <definedName name="OSRRefD22_7x_0" localSheetId="91">'450'!$D$55</definedName>
    <definedName name="OSRRefD22_7x_0" localSheetId="72">'491'!$D$62</definedName>
    <definedName name="OSRRefD22_7x_0" localSheetId="86">'492'!$D$59</definedName>
    <definedName name="OSRRefD22_7x_0" localSheetId="93">'501'!$D$54</definedName>
    <definedName name="OSRRefD22_7x_0" localSheetId="39">'Div 2'!$D$55</definedName>
    <definedName name="OSRRefD22_7x_0" localSheetId="47">'Div 3'!$D$155:$D$156</definedName>
    <definedName name="OSRRefD22_7x_0" localSheetId="70">'Div 4'!$D$65</definedName>
    <definedName name="OSRRefD22_7x_0" localSheetId="92">'Div 5'!$D$54</definedName>
    <definedName name="OSRRefD22_7x_0" localSheetId="61">'Div 6'!$D$83</definedName>
    <definedName name="OSRRefD22_7x_0" localSheetId="2">Summary!$D$184:$D$185</definedName>
    <definedName name="OSRRefD22_8x_0" localSheetId="41">'201'!$D$54</definedName>
    <definedName name="OSRRefD22_8x_0" localSheetId="42">'202'!$D$56</definedName>
    <definedName name="OSRRefD22_8x_0" localSheetId="43">'203'!$D$55:$D$57</definedName>
    <definedName name="OSRRefD22_8x_0" localSheetId="44">'204'!$D$57:$D$58</definedName>
    <definedName name="OSRRefD22_8x_0" localSheetId="46">'206'!$D$53:$D$54</definedName>
    <definedName name="OSRRefD22_8x_0" localSheetId="48">'300'!$D$154</definedName>
    <definedName name="OSRRefD22_8x_0" localSheetId="49">'300 &amp; 317'!$D$177</definedName>
    <definedName name="OSRRefD22_8x_0" localSheetId="50">'301'!$D$56</definedName>
    <definedName name="OSRRefD22_8x_0" localSheetId="52">'307'!$D$72</definedName>
    <definedName name="OSRRefD22_8x_0" localSheetId="53">'308'!$D$92</definedName>
    <definedName name="OSRRefD22_8x_0" localSheetId="64">'309'!$D$55:$D$56</definedName>
    <definedName name="OSRRefD22_8x_0" localSheetId="63">'310'!$D$62</definedName>
    <definedName name="OSRRefD22_8x_0" localSheetId="71">'310 &amp; 491'!$D$67:$D$68</definedName>
    <definedName name="OSRRefD22_8x_0" localSheetId="54">'311'!$D$91</definedName>
    <definedName name="OSRRefD22_8x_0" localSheetId="65">'313'!$D$57:$D$59</definedName>
    <definedName name="OSRRefD22_8x_0" localSheetId="57">'315'!$D$114</definedName>
    <definedName name="OSRRefD22_8x_0" localSheetId="60">'316'!$D$65</definedName>
    <definedName name="OSRRefD22_8x_0" localSheetId="62">'317'!$D$85</definedName>
    <definedName name="OSRRefD22_8x_0" localSheetId="66">'321'!$D$59:$D$60</definedName>
    <definedName name="OSRRefD22_8x_0" localSheetId="67">'322'!$D$56:$D$57</definedName>
    <definedName name="OSRRefD22_8x_0" localSheetId="68">'325'!$D$58</definedName>
    <definedName name="OSRRefD22_8x_0" localSheetId="58">'326'!$D$79:$D$80</definedName>
    <definedName name="OSRRefD22_8x_0" localSheetId="51">'330'!$D$72</definedName>
    <definedName name="OSRRefD22_8x_0" localSheetId="56">'331'!$D$113:$D$114</definedName>
    <definedName name="OSRRefD22_8x_0" localSheetId="59">'332'!$D$65</definedName>
    <definedName name="OSRRefD22_8x_0" localSheetId="73">'405'!$D$56</definedName>
    <definedName name="OSRRefD22_8x_0" localSheetId="75">'411'!$D$54</definedName>
    <definedName name="OSRRefD22_8x_0" localSheetId="76">'412'!$D$55:$D$56</definedName>
    <definedName name="OSRRefD22_8x_0" localSheetId="77">'413'!$D$56:$D$58</definedName>
    <definedName name="OSRRefD22_8x_0" localSheetId="78">'414'!$D$57:$D$58</definedName>
    <definedName name="OSRRefD22_8x_0" localSheetId="79">'415'!$D$61</definedName>
    <definedName name="OSRRefD22_8x_0" localSheetId="80">'418'!$D$56:$D$58</definedName>
    <definedName name="OSRRefD22_8x_0" localSheetId="88">'433'!$D$61</definedName>
    <definedName name="OSRRefD22_8x_0" localSheetId="90">'444'!$D$61</definedName>
    <definedName name="OSRRefD22_8x_0" localSheetId="91">'450'!$D$57</definedName>
    <definedName name="OSRRefD22_8x_0" localSheetId="72">'491'!$D$64</definedName>
    <definedName name="OSRRefD22_8x_0" localSheetId="86">'492'!$D$61</definedName>
    <definedName name="OSRRefD22_8x_0" localSheetId="93">'501'!$D$56</definedName>
    <definedName name="OSRRefD22_8x_0" localSheetId="39">'Div 2'!$D$57</definedName>
    <definedName name="OSRRefD22_8x_0" localSheetId="47">'Div 3'!$D$158</definedName>
    <definedName name="OSRRefD22_8x_0" localSheetId="70">'Div 4'!$D$67</definedName>
    <definedName name="OSRRefD22_8x_0" localSheetId="92">'Div 5'!$D$56</definedName>
    <definedName name="OSRRefD22_8x_0" localSheetId="61">'Div 6'!$D$85</definedName>
    <definedName name="OSRRefD22_8x_0" localSheetId="2">Summary!$D$187</definedName>
    <definedName name="OSRRefD22_9x_0" localSheetId="41">'201'!$D$56</definedName>
    <definedName name="OSRRefD22_9x_0" localSheetId="42">'202'!$D$58:$D$60</definedName>
    <definedName name="OSRRefD22_9x_0" localSheetId="43">'203'!$D$59:$D$60</definedName>
    <definedName name="OSRRefD22_9x_0" localSheetId="44">'204'!$D$60</definedName>
    <definedName name="OSRRefD22_9x_0" localSheetId="46">'206'!$D$56</definedName>
    <definedName name="OSRRefD22_9x_0" localSheetId="48">'300'!$D$156</definedName>
    <definedName name="OSRRefD22_9x_0" localSheetId="49">'300 &amp; 317'!$D$179</definedName>
    <definedName name="OSRRefD22_9x_0" localSheetId="50">'301'!$D$58</definedName>
    <definedName name="OSRRefD22_9x_0" localSheetId="52">'307'!$D$74:$D$75</definedName>
    <definedName name="OSRRefD22_9x_0" localSheetId="53">'308'!$D$94:$D$95</definedName>
    <definedName name="OSRRefD22_9x_0" localSheetId="64">'309'!$D$58:$D$59</definedName>
    <definedName name="OSRRefD22_9x_0" localSheetId="63">'310'!$D$64</definedName>
    <definedName name="OSRRefD22_9x_0" localSheetId="71">'310 &amp; 491'!$D$70</definedName>
    <definedName name="OSRRefD22_9x_0" localSheetId="54">'311'!$D$93:$D$94</definedName>
    <definedName name="OSRRefD22_9x_0" localSheetId="65">'313'!$D$61:$D$62</definedName>
    <definedName name="OSRRefD22_9x_0" localSheetId="57">'315'!$D$116</definedName>
    <definedName name="OSRRefD22_9x_0" localSheetId="60">'316'!$D$67:$D$71</definedName>
    <definedName name="OSRRefD22_9x_0" localSheetId="62">'317'!$D$87</definedName>
    <definedName name="OSRRefD22_9x_0" localSheetId="66">'321'!$D$62:$D$63</definedName>
    <definedName name="OSRRefD22_9x_0" localSheetId="67">'322'!$D$59:$D$62</definedName>
    <definedName name="OSRRefD22_9x_0" localSheetId="68">'325'!$D$60</definedName>
    <definedName name="OSRRefD22_9x_0" localSheetId="58">'326'!$D$82</definedName>
    <definedName name="OSRRefD22_9x_0" localSheetId="51">'330'!$D$74:$D$75</definedName>
    <definedName name="OSRRefD22_9x_0" localSheetId="56">'331'!$D$116:$D$117</definedName>
    <definedName name="OSRRefD22_9x_0" localSheetId="59">'332'!$D$67:$D$71</definedName>
    <definedName name="OSRRefD22_9x_0" localSheetId="73">'405'!$D$58:$D$59</definedName>
    <definedName name="OSRRefD22_9x_0" localSheetId="75">'411'!$D$56:$D$57</definedName>
    <definedName name="OSRRefD22_9x_0" localSheetId="76">'412'!$D$58</definedName>
    <definedName name="OSRRefD22_9x_0" localSheetId="77">'413'!$D$60:$D$61</definedName>
    <definedName name="OSRRefD22_9x_0" localSheetId="78">'414'!$D$60</definedName>
    <definedName name="OSRRefD22_9x_0" localSheetId="79">'415'!$D$63</definedName>
    <definedName name="OSRRefD22_9x_0" localSheetId="80">'418'!$D$60:$D$61</definedName>
    <definedName name="OSRRefD22_9x_0" localSheetId="88">'433'!$D$63</definedName>
    <definedName name="OSRRefD22_9x_0" localSheetId="90">'444'!$D$63</definedName>
    <definedName name="OSRRefD22_9x_0" localSheetId="91">'450'!$D$59</definedName>
    <definedName name="OSRRefD22_9x_0" localSheetId="72">'491'!$D$66</definedName>
    <definedName name="OSRRefD22_9x_0" localSheetId="86">'492'!$D$63</definedName>
    <definedName name="OSRRefD22_9x_0" localSheetId="93">'501'!$D$58:$D$61</definedName>
    <definedName name="OSRRefD22_9x_0" localSheetId="39">'Div 2'!$D$59:$D$60</definedName>
    <definedName name="OSRRefD22_9x_0" localSheetId="47">'Div 3'!$D$160</definedName>
    <definedName name="OSRRefD22_9x_0" localSheetId="70">'Div 4'!$D$69</definedName>
    <definedName name="OSRRefD22_9x_0" localSheetId="92">'Div 5'!$D$58:$D$61</definedName>
    <definedName name="OSRRefD22_9x_0" localSheetId="61">'Div 6'!$D$87</definedName>
    <definedName name="OSRRefD22_9x_0" localSheetId="2">Summary!$D$189</definedName>
    <definedName name="OSRRefD22x_0" localSheetId="40">'200'!$D$20,'200'!$D$22,'200'!$D$24,'200'!$D$26,'200'!$D$28:$D$29</definedName>
    <definedName name="OSRRefD22x_0" localSheetId="41">'201'!$D$21:$D$29,'201'!$D$31:$D$40,'201'!$D$42,'201'!$D$44,'201'!$D$46,'201'!$D$48,'201'!$D$50,'201'!$D$52,'201'!$D$54,'201'!$D$56,'201'!$D$58:$D$60,'201'!$D$62,'201'!$D$64,'201'!$D$66:$D$68,'201'!$D$70,'201'!$D$72,'201'!$D$74</definedName>
    <definedName name="OSRRefD22x_0" localSheetId="42">'202'!$D$21:$D$29,'202'!$D$31:$D$40,'202'!$D$42,'202'!$D$44,'202'!$D$46:$D$47,'202'!$D$49,'202'!$D$51,'202'!$D$53:$D$54,'202'!$D$56,'202'!$D$58:$D$60,'202'!$D$62,'202'!$D$64,'202'!$D$66</definedName>
    <definedName name="OSRRefD22x_0" localSheetId="43">'203'!$D$20:$D$29,'203'!$D$31:$D$40,'203'!$D$42,'203'!$D$44,'203'!$D$46,'203'!$D$48,'203'!$D$50,'203'!$D$52:$D$53,'203'!$D$55:$D$57,'203'!$D$59:$D$60,'203'!$D$62,'203'!$D$64:$D$66,'203'!$D$68,'203'!$D$70,'203'!$D$72</definedName>
    <definedName name="OSRRefD22x_0" localSheetId="44">'204'!$D$20:$D$29,'204'!$D$31:$D$40,'204'!$D$42,'204'!$D$44:$D$45,'204'!$D$47,'204'!$D$49,'204'!$D$51,'204'!$D$53:$D$55,'204'!$D$57:$D$58,'204'!$D$60,'204'!$D$62:$D$63,'204'!$D$65,'204'!$D$67</definedName>
    <definedName name="OSRRefD22x_0" localSheetId="45">'205'!$D$20:$D$28,'205'!$D$30:$D$39,'205'!$D$41,'205'!$D$43,'205'!$D$45:$D$46,'205'!$D$48,'205'!$D$50:$D$52,'205'!$D$54</definedName>
    <definedName name="OSRRefD22x_0" localSheetId="46">'206'!$D$20:$D$28,'206'!$D$30:$D$39,'206'!$D$41,'206'!$D$43,'206'!$D$45,'206'!$D$47,'206'!$D$49,'206'!$D$51,'206'!$D$53:$D$54,'206'!$D$56</definedName>
    <definedName name="OSRRefD22x_0" localSheetId="48">'300'!$D$116:$D$125,'300'!$D$127:$D$136,'300'!$D$138,'300'!$D$140:$D$141,'300'!$D$143,'300'!$D$145:$D$146,'300'!$D$148:$D$149,'300'!$D$151:$D$152,'300'!$D$154,'300'!$D$156,'300'!$D$158:$D$159,'300'!$D$161:$D$163,'300'!$D$165,'300'!$D$167,'300'!$D$169,'300'!$D$171,'300'!$D$173:$D$176,'300'!$D$178:$D$181,'300'!$D$183:$D$186,'300'!$D$188:$D$189,'300'!$D$191:$D$199,'300'!$D$201:$D$202,'300'!$D$204,'300'!$D$206:$D$208,'300'!$D$210</definedName>
    <definedName name="OSRRefD22x_0" localSheetId="49">'300 &amp; 317'!$D$139:$D$148,'300 &amp; 317'!$D$150:$D$159,'300 &amp; 317'!$D$161,'300 &amp; 317'!$D$163:$D$164,'300 &amp; 317'!$D$166,'300 &amp; 317'!$D$168:$D$169,'300 &amp; 317'!$D$171:$D$172,'300 &amp; 317'!$D$174:$D$175,'300 &amp; 317'!$D$177,'300 &amp; 317'!$D$179,'300 &amp; 317'!$D$181:$D$182,'300 &amp; 317'!$D$184:$D$186,'300 &amp; 317'!$D$188,'300 &amp; 317'!$D$190,'300 &amp; 317'!$D$192,'300 &amp; 317'!$D$194,'300 &amp; 317'!$D$196:$D$199,'300 &amp; 317'!$D$201:$D$204,'300 &amp; 317'!$D$206:$D$209,'300 &amp; 317'!$D$211:$D$212,'300 &amp; 317'!$D$214:$D$222,'300 &amp; 317'!$D$224:$D$225,'300 &amp; 317'!$D$227,'300 &amp; 317'!$D$229:$D$231,'300 &amp; 317'!$D$233</definedName>
    <definedName name="OSRRefD22x_0" localSheetId="50">'301'!$D$20:$D$29,'301'!$D$31:$D$40,'301'!$D$42,'301'!$D$44:$D$45,'301'!$D$47,'301'!$D$49:$D$50,'301'!$D$52,'301'!$D$54,'301'!$D$56,'301'!$D$58,'301'!$D$60,'301'!$D$62,'301'!$D$64,'301'!$D$66,'301'!$D$68:$D$71,'301'!$D$73:$D$75,'301'!$D$77,'301'!$D$79:$D$85,'301'!$D$87,'301'!$D$89,'301'!$D$91:$D$92,'301'!$D$94</definedName>
    <definedName name="OSRRefD22x_0" localSheetId="52">'307'!$D$39:$D$46,'307'!$D$48:$D$57,'307'!$D$59,'307'!$D$61,'307'!$D$63,'307'!$D$65:$D$66,'307'!$D$68,'307'!$D$70,'307'!$D$72,'307'!$D$74:$D$75,'307'!$D$77:$D$78,'307'!$D$80:$D$83,'307'!$D$85:$D$86,'307'!$D$88</definedName>
    <definedName name="OSRRefD22x_0" localSheetId="53">'308'!$D$56:$D$65,'308'!$D$67:$D$76,'308'!$D$78,'308'!$D$80,'308'!$D$82,'308'!$D$84,'308'!$D$86:$D$87,'308'!$D$89:$D$90,'308'!$D$92,'308'!$D$94:$D$95,'308'!$D$97,'308'!$D$99:$D$101,'308'!$D$103:$D$104,'308'!$D$106</definedName>
    <definedName name="OSRRefD22x_0" localSheetId="64">'309'!$D$22:$D$29,'309'!$D$31:$D$40,'309'!$D$42,'309'!$D$44,'309'!$D$46,'309'!$D$48,'309'!$D$50,'309'!$D$52:$D$53,'309'!$D$55:$D$56,'309'!$D$58:$D$59,'309'!$D$61</definedName>
    <definedName name="OSRRefD22x_0" localSheetId="63">'310'!$D$28:$D$36,'310'!$D$38:$D$47,'310'!$D$49,'310'!$D$51,'310'!$D$53,'310'!$D$55:$D$56,'310'!$D$58,'310'!$D$60,'310'!$D$62,'310'!$D$64,'310'!$D$66,'310'!$D$68,'310'!$D$70,'310'!$D$72:$D$75,'310'!$D$77:$D$78,'310'!$D$80:$D$83,'310'!$D$85,'310'!$D$87:$D$93,'310'!$D$95:$D$96,'310'!$D$98,'310'!$D$100,'310'!$D$102</definedName>
    <definedName name="OSRRefD22x_0" localSheetId="71">'310 &amp; 491'!$D$32:$D$40,'310 &amp; 491'!$D$42:$D$51,'310 &amp; 491'!$D$53,'310 &amp; 491'!$D$55,'310 &amp; 491'!$D$57,'310 &amp; 491'!$D$59:$D$61,'310 &amp; 491'!$D$63,'310 &amp; 491'!$D$65,'310 &amp; 491'!$D$67:$D$68,'310 &amp; 491'!$D$70,'310 &amp; 491'!$D$72,'310 &amp; 491'!$D$74,'310 &amp; 491'!$D$76,'310 &amp; 491'!$D$78:$D$81,'310 &amp; 491'!$D$83:$D$84,'310 &amp; 491'!$D$86:$D$90,'310 &amp; 491'!$D$92:$D$93,'310 &amp; 491'!$D$95:$D$105,'310 &amp; 491'!$D$107:$D$108,'310 &amp; 491'!$D$110,'310 &amp; 491'!$D$112:$D$114,'310 &amp; 491'!$D$116</definedName>
    <definedName name="OSRRefD22x_0" localSheetId="54">'311'!$D$55:$D$64,'311'!$D$66:$D$75,'311'!$D$77,'311'!$D$79,'311'!$D$81,'311'!$D$83,'311'!$D$85:$D$86,'311'!$D$88:$D$89,'311'!$D$91,'311'!$D$93:$D$94,'311'!$D$96,'311'!$D$98:$D$100,'311'!$D$102:$D$103,'311'!$D$105</definedName>
    <definedName name="OSRRefD22x_0" localSheetId="65">'313'!$D$23:$D$31,'313'!$D$33:$D$42,'313'!$D$44,'313'!$D$46,'313'!$D$48,'313'!$D$50,'313'!$D$52:$D$53,'313'!$D$55,'313'!$D$57:$D$59,'313'!$D$61:$D$62,'313'!$D$64,'313'!$D$66</definedName>
    <definedName name="OSRRefD22x_0" localSheetId="57">'315'!$D$80:$D$88,'315'!$D$90:$D$99,'315'!$D$101,'315'!$D$103,'315'!$D$105,'315'!$D$107,'315'!$D$109,'315'!$D$111:$D$112,'315'!$D$114,'315'!$D$116,'315'!$D$118,'315'!$D$120,'315'!$D$122:$D$124,'315'!$D$126:$D$127,'315'!$D$129:$D$135,'315'!$D$137,'315'!$D$139,'315'!$D$141:$D$142</definedName>
    <definedName name="OSRRefD22x_0" localSheetId="60">'316'!$D$30:$D$38,'316'!$D$40:$D$49,'316'!$D$51,'316'!$D$53,'316'!$D$55,'316'!$D$57,'316'!$D$59:$D$60,'316'!$D$62:$D$63,'316'!$D$65,'316'!$D$67:$D$71,'316'!$D$73,'316'!$D$75</definedName>
    <definedName name="OSRRefD22x_0" localSheetId="62">'317'!$D$50:$D$59,'317'!$D$61:$D$70,'317'!$D$72,'317'!$D$74,'317'!$D$76,'317'!$D$78,'317'!$D$80:$D$81,'317'!$D$83,'317'!$D$85,'317'!$D$87,'317'!$D$89:$D$91,'317'!$D$93,'317'!$D$95</definedName>
    <definedName name="OSRRefD22x_0" localSheetId="66">'321'!$D$25:$D$33,'321'!$D$35:$D$44,'321'!$D$46,'321'!$D$48,'321'!$D$50,'321'!$D$52,'321'!$D$54,'321'!$D$56:$D$57,'321'!$D$59:$D$60,'321'!$D$62:$D$63,'321'!$D$65:$D$67,'321'!$D$69:$D$70,'321'!$D$72,'321'!$D$74</definedName>
    <definedName name="OSRRefD22x_0" localSheetId="67">'322'!$D$23:$D$30,'322'!$D$32:$D$41,'322'!$D$43,'322'!$D$45,'322'!$D$47,'322'!$D$49,'322'!$D$51,'322'!$D$53:$D$54,'322'!$D$56:$D$57,'322'!$D$59:$D$62,'322'!$D$64,'322'!$D$66</definedName>
    <definedName name="OSRRefD22x_0" localSheetId="55">'324'!$D$27:$D$34,'324'!$D$36:$D$45</definedName>
    <definedName name="OSRRefD22x_0" localSheetId="68">'325'!$D$25:$D$32,'325'!$D$34:$D$43,'325'!$D$45,'325'!$D$47,'325'!$D$49,'325'!$D$51:$D$52,'325'!$D$54,'325'!$D$56,'325'!$D$58,'325'!$D$60,'325'!$D$62,'325'!$D$64:$D$67,'325'!$D$69:$D$71,'325'!$D$73,'325'!$D$75:$D$79,'325'!$D$81:$D$82,'325'!$D$84,'325'!$D$86</definedName>
    <definedName name="OSRRefD22x_0" localSheetId="58">'326'!$D$46:$D$54,'326'!$D$56:$D$65,'326'!$D$67,'326'!$D$69,'326'!$D$71,'326'!$D$73,'326'!$D$75,'326'!$D$77,'326'!$D$79:$D$80,'326'!$D$82,'326'!$D$84,'326'!$D$86,'326'!$D$88,'326'!$D$90:$D$91,'326'!$D$93:$D$95,'326'!$D$97:$D$98,'326'!$D$100:$D$105,'326'!$D$107:$D$108,'326'!$D$110,'326'!$D$112:$D$113,'326'!$D$115</definedName>
    <definedName name="OSRRefD22x_0" localSheetId="69">'327'!$D$24</definedName>
    <definedName name="OSRRefD22x_0" localSheetId="51">'330'!$D$39:$D$46,'330'!$D$48:$D$57,'330'!$D$59,'330'!$D$61,'330'!$D$63,'330'!$D$65:$D$66,'330'!$D$68,'330'!$D$70,'330'!$D$72,'330'!$D$74:$D$75,'330'!$D$77:$D$78,'330'!$D$80:$D$83,'330'!$D$85:$D$86,'330'!$D$88</definedName>
    <definedName name="OSRRefD22x_0" localSheetId="56">'331'!$D$80:$D$88,'331'!$D$90:$D$99,'331'!$D$101,'331'!$D$103,'331'!$D$105,'331'!$D$107,'331'!$D$109,'331'!$D$111,'331'!$D$113:$D$114,'331'!$D$116:$D$117,'331'!$D$119,'331'!$D$121,'331'!$D$123,'331'!$D$125,'331'!$D$127:$D$128,'331'!$D$130:$D$132,'331'!$D$134:$D$136,'331'!$D$138:$D$139,'331'!$D$141:$D$148,'331'!$D$150:$D$151,'331'!$D$153,'331'!$D$155:$D$156,'331'!$D$158</definedName>
    <definedName name="OSRRefD22x_0" localSheetId="59">'332'!$D$30:$D$38,'332'!$D$40:$D$49,'332'!$D$51,'332'!$D$53,'332'!$D$55,'332'!$D$57,'332'!$D$59:$D$60,'332'!$D$62:$D$63,'332'!$D$65,'332'!$D$67:$D$71,'332'!$D$73,'332'!$D$75</definedName>
    <definedName name="OSRRefD22x_0" localSheetId="73">'405'!$D$23:$D$30,'405'!$D$32:$D$41,'405'!$D$43,'405'!$D$45,'405'!$D$47:$D$48,'405'!$D$50,'405'!$D$52,'405'!$D$54,'405'!$D$56,'405'!$D$58:$D$59,'405'!$D$61,'405'!$D$63:$D$66,'405'!$D$68,'405'!$D$70:$D$78,'405'!$D$80,'405'!$D$82,'405'!$D$84</definedName>
    <definedName name="OSRRefD22x_0" localSheetId="74">'406'!$D$20,'406'!$D$22,'406'!$D$24,'406'!$D$26,'406'!$D$28</definedName>
    <definedName name="OSRRefD22x_0" localSheetId="75">'411'!$D$20:$D$28,'411'!$D$30:$D$39,'411'!$D$41,'411'!$D$43,'411'!$D$45:$D$46,'411'!$D$48,'411'!$D$50,'411'!$D$52,'411'!$D$54,'411'!$D$56:$D$57,'411'!$D$59:$D$62,'411'!$D$64,'411'!$D$66:$D$72,'411'!$D$74,'411'!$D$76,'411'!$D$78</definedName>
    <definedName name="OSRRefD22x_0" localSheetId="76">'412'!$D$22:$D$29,'412'!$D$31:$D$40,'412'!$D$42,'412'!$D$44,'412'!$D$46:$D$47,'412'!$D$49,'412'!$D$51,'412'!$D$53,'412'!$D$55:$D$56,'412'!$D$58,'412'!$D$60:$D$63,'412'!$D$65:$D$69,'412'!$D$71:$D$72,'412'!$D$74</definedName>
    <definedName name="OSRRefD22x_0" localSheetId="77">'413'!$D$23:$D$31,'413'!$D$33:$D$42,'413'!$D$44,'413'!$D$46,'413'!$D$48,'413'!$D$50,'413'!$D$52,'413'!$D$54,'413'!$D$56:$D$58,'413'!$D$60:$D$61,'413'!$D$63:$D$70,'413'!$D$72:$D$73,'413'!$D$75</definedName>
    <definedName name="OSRRefD22x_0" localSheetId="78">'414'!$D$24:$D$32,'414'!$D$34:$D$43,'414'!$D$45,'414'!$D$47,'414'!$D$49,'414'!$D$51,'414'!$D$53,'414'!$D$55,'414'!$D$57:$D$58,'414'!$D$60,'414'!$D$62,'414'!$D$64,'414'!$D$66:$D$68,'414'!$D$70,'414'!$D$72,'414'!$D$74</definedName>
    <definedName name="OSRRefD22x_0" localSheetId="79">'415'!$D$27:$D$35,'415'!$D$37:$D$46,'415'!$D$48,'415'!$D$50,'415'!$D$52,'415'!$D$54:$D$55,'415'!$D$57,'415'!$D$59,'415'!$D$61,'415'!$D$63,'415'!$D$65,'415'!$D$67:$D$68,'415'!$D$70:$D$74,'415'!$D$76,'415'!$D$78:$D$84,'415'!$D$86:$D$87,'415'!$D$89,'415'!$D$91:$D$92,'415'!$D$94</definedName>
    <definedName name="OSRRefD22x_0" localSheetId="80">'418'!$D$23:$D$30,'418'!$D$32:$D$41,'418'!$D$43,'418'!$D$45,'418'!$D$47:$D$48,'418'!$D$50,'418'!$D$52,'418'!$D$54,'418'!$D$56:$D$58,'418'!$D$60:$D$61,'418'!$D$63:$D$64,'418'!$D$66:$D$75,'418'!$D$77:$D$78,'418'!$D$80</definedName>
    <definedName name="OSRRefD22x_0" localSheetId="81">'420'!$D$21</definedName>
    <definedName name="OSRRefD22x_0" localSheetId="82">'423'!$D$20:$D$27,'423'!$D$29:$D$38,'423'!$D$40,'423'!$D$42:$D$43,'423'!$D$45,'423'!$D$47,'423'!$D$49</definedName>
    <definedName name="OSRRefD22x_0" localSheetId="83">'424'!$D$20,'424'!$D$22,'424'!$D$24,'424'!$D$26</definedName>
    <definedName name="OSRRefD22x_0" localSheetId="84">'425'!$D$20:$D$24,'425'!$D$26,'425'!$D$28,'425'!$D$30,'425'!$D$32:$D$33,'425'!$D$35</definedName>
    <definedName name="OSRRefD22x_0" localSheetId="87">'430'!$D$20:$D$28,'430'!$D$30:$D$39,'430'!$D$41,'430'!$D$43,'430'!$D$45:$D$47,'430'!$D$49:$D$50,'430'!$D$52,'430'!$D$54</definedName>
    <definedName name="OSRRefD22x_0" localSheetId="88">'433'!$D$27:$D$36,'433'!$D$38:$D$47,'433'!$D$49,'433'!$D$51,'433'!$D$53,'433'!$D$55,'433'!$D$57,'433'!$D$59,'433'!$D$61,'433'!$D$63,'433'!$D$65,'433'!$D$67:$D$68,'433'!$D$70:$D$73,'433'!$D$75:$D$82,'433'!$D$84</definedName>
    <definedName name="OSRRefD22x_0" localSheetId="89">'435'!$D$20</definedName>
    <definedName name="OSRRefD22x_0" localSheetId="90">'444'!$D$27:$D$36,'444'!$D$38:$D$47,'444'!$D$49,'444'!$D$51,'444'!$D$53,'444'!$D$55,'444'!$D$57,'444'!$D$59,'444'!$D$61,'444'!$D$63,'444'!$D$65,'444'!$D$67:$D$70,'444'!$D$72:$D$75,'444'!$D$77,'444'!$D$79:$D$87,'444'!$D$89:$D$90,'444'!$D$92</definedName>
    <definedName name="OSRRefD22x_0" localSheetId="91">'450'!$D$23:$D$32,'450'!$D$34:$D$43,'450'!$D$45,'450'!$D$47,'450'!$D$49,'450'!$D$51,'450'!$D$53,'450'!$D$55,'450'!$D$57,'450'!$D$59,'450'!$D$61,'450'!$D$63,'450'!$D$65,'450'!$D$67:$D$69,'450'!$D$71:$D$77,'450'!$D$79:$D$80,'450'!$D$82</definedName>
    <definedName name="OSRRefD22x_0" localSheetId="72">'491'!$D$29:$D$37,'491'!$D$39:$D$48,'491'!$D$50,'491'!$D$52,'491'!$D$54,'491'!$D$56:$D$58,'491'!$D$60,'491'!$D$62,'491'!$D$64,'491'!$D$66,'491'!$D$68,'491'!$D$70,'491'!$D$72,'491'!$D$74:$D$77,'491'!$D$79:$D$80,'491'!$D$82:$D$86,'491'!$D$88:$D$89,'491'!$D$91:$D$101,'491'!$D$103:$D$104,'491'!$D$106,'491'!$D$108:$D$110,'491'!$D$112</definedName>
    <definedName name="OSRRefD22x_0" localSheetId="86">'492'!$D$27:$D$36,'492'!$D$38:$D$47,'492'!$D$49,'492'!$D$51,'492'!$D$53,'492'!$D$55,'492'!$D$57,'492'!$D$59,'492'!$D$61,'492'!$D$63,'492'!$D$65,'492'!$D$67,'492'!$D$69:$D$72,'492'!$D$74:$D$77,'492'!$D$79,'492'!$D$81:$D$90,'492'!$D$92:$D$93,'492'!$D$95,'492'!$D$97</definedName>
    <definedName name="OSRRefD22x_0" localSheetId="93">'501'!$D$21:$D$30,'501'!$D$32:$D$41,'501'!$D$43,'501'!$D$45,'501'!$D$47,'501'!$D$49:$D$50,'501'!$D$52,'501'!$D$54,'501'!$D$56,'501'!$D$58:$D$61,'501'!$D$63:$D$64,'501'!$D$66</definedName>
    <definedName name="OSRRefD22x_0" localSheetId="39">'Div 2'!$D$21:$D$31,'Div 2'!$D$33:$D$42,'Div 2'!$D$44,'Div 2'!$D$46,'Div 2'!$D$48,'Div 2'!$D$50:$D$51,'Div 2'!$D$53,'Div 2'!$D$55,'Div 2'!$D$57,'Div 2'!$D$59:$D$60,'Div 2'!$D$62,'Div 2'!$D$64:$D$65,'Div 2'!$D$67:$D$70,'Div 2'!$D$72:$D$75,'Div 2'!$D$77:$D$78,'Div 2'!$D$80:$D$81,'Div 2'!$D$83:$D$87,'Div 2'!$D$89:$D$90,'Div 2'!$D$92,'Div 2'!$D$94:$D$95</definedName>
    <definedName name="OSRRefD22x_0" localSheetId="47">'Div 3'!$D$120:$D$129,'Div 3'!$D$131:$D$140,'Div 3'!$D$142,'Div 3'!$D$144:$D$145,'Div 3'!$D$147,'Div 3'!$D$149:$D$150,'Div 3'!$D$152:$D$153,'Div 3'!$D$155:$D$156,'Div 3'!$D$158,'Div 3'!$D$160,'Div 3'!$D$162:$D$163,'Div 3'!$D$165:$D$167,'Div 3'!$D$169,'Div 3'!$D$171,'Div 3'!$D$173,'Div 3'!$D$175,'Div 3'!$D$177,'Div 3'!$D$179:$D$182,'Div 3'!$D$184:$D$187,'Div 3'!$D$189:$D$193,'Div 3'!$D$195:$D$196,'Div 3'!$D$198:$D$206,'Div 3'!$D$208:$D$209,'Div 3'!$D$211,'Div 3'!$D$213:$D$215,'Div 3'!$D$217</definedName>
    <definedName name="OSRRefD22x_0" localSheetId="70">'Div 4'!$D$31:$D$40,'Div 4'!$D$42:$D$51,'Div 4'!$D$53,'Div 4'!$D$55,'Div 4'!$D$57,'Div 4'!$D$59:$D$61,'Div 4'!$D$63,'Div 4'!$D$65,'Div 4'!$D$67,'Div 4'!$D$69,'Div 4'!$D$71,'Div 4'!$D$73,'Div 4'!$D$75,'Div 4'!$D$77,'Div 4'!$D$79,'Div 4'!$D$81:$D$84,'Div 4'!$D$86:$D$87,'Div 4'!$D$89:$D$93,'Div 4'!$D$95:$D$96,'Div 4'!$D$98:$D$108,'Div 4'!$D$110:$D$111,'Div 4'!$D$113,'Div 4'!$D$115:$D$117,'Div 4'!$D$119</definedName>
    <definedName name="OSRRefD22x_0" localSheetId="92">'Div 5'!$D$21:$D$30,'Div 5'!$D$32:$D$41,'Div 5'!$D$43,'Div 5'!$D$45,'Div 5'!$D$47,'Div 5'!$D$49:$D$50,'Div 5'!$D$52,'Div 5'!$D$54,'Div 5'!$D$56,'Div 5'!$D$58:$D$61,'Div 5'!$D$63:$D$64,'Div 5'!$D$66</definedName>
    <definedName name="OSRRefD22x_0" localSheetId="61">'Div 6'!$D$50:$D$59,'Div 6'!$D$61:$D$70,'Div 6'!$D$72,'Div 6'!$D$74,'Div 6'!$D$76,'Div 6'!$D$78,'Div 6'!$D$80:$D$81,'Div 6'!$D$83,'Div 6'!$D$85,'Div 6'!$D$87,'Div 6'!$D$89:$D$91,'Div 6'!$D$93,'Div 6'!$D$95</definedName>
    <definedName name="OSRRefD22x_0" localSheetId="2">Summary!$D$148:$D$157,Summary!$D$159:$D$168,Summary!$D$170,Summary!$D$172:$D$173,Summary!$D$175,Summary!$D$177:$D$179,Summary!$D$181:$D$182,Summary!$D$184:$D$185,Summary!$D$187,Summary!$D$189,Summary!$D$191:$D$192,Summary!$D$194:$D$196,Summary!$D$198,Summary!$D$200,Summary!$D$202,Summary!$D$204,Summary!$D$206,Summary!$D$208,Summary!$D$210:$D$213,Summary!$D$215:$D$218,Summary!$D$220:$D$224,Summary!$D$226:$D$227,Summary!$D$229:$D$239,Summary!$D$241:$D$242,Summary!$D$244,Summary!$D$246:$D$248,Summary!$D$250</definedName>
    <definedName name="OSRRefD25x_0" localSheetId="42">'202'!$D$69:$D$71</definedName>
    <definedName name="OSRRefD25x_0" localSheetId="48">'300'!$D$213:$D$216</definedName>
    <definedName name="OSRRefD25x_0" localSheetId="49">'300 &amp; 317'!$D$236:$D$240</definedName>
    <definedName name="OSRRefD25x_0" localSheetId="50">'301'!$D$97:$D$98</definedName>
    <definedName name="OSRRefD25x_0" localSheetId="53">'308'!$D$109:$D$111</definedName>
    <definedName name="OSRRefD25x_0" localSheetId="71">'310 &amp; 491'!$D$119:$D$122</definedName>
    <definedName name="OSRRefD25x_0" localSheetId="54">'311'!$D$108:$D$110</definedName>
    <definedName name="OSRRefD25x_0" localSheetId="57">'315'!$D$145:$D$147</definedName>
    <definedName name="OSRRefD25x_0" localSheetId="60">'316'!$D$78</definedName>
    <definedName name="OSRRefD25x_0" localSheetId="62">'317'!$D$98:$D$99</definedName>
    <definedName name="OSRRefD25x_0" localSheetId="56">'331'!$D$161:$D$163</definedName>
    <definedName name="OSRRefD25x_0" localSheetId="59">'332'!$D$78</definedName>
    <definedName name="OSRRefD25x_0" localSheetId="75">'411'!$D$81:$D$82</definedName>
    <definedName name="OSRRefD25x_0" localSheetId="80">'418'!$D$83</definedName>
    <definedName name="OSRRefD25x_0" localSheetId="82">'423'!$D$52:$D$54</definedName>
    <definedName name="OSRRefD25x_0" localSheetId="85">'455'!$D$21:$D$22</definedName>
    <definedName name="OSRRefD25x_0" localSheetId="72">'491'!$D$115:$D$118</definedName>
    <definedName name="OSRRefD25x_0" localSheetId="93">'501'!$D$69</definedName>
    <definedName name="OSRRefD25x_0" localSheetId="39">'Div 2'!$D$98:$D$100</definedName>
    <definedName name="OSRRefD25x_0" localSheetId="47">'Div 3'!$D$220:$D$223</definedName>
    <definedName name="OSRRefD25x_0" localSheetId="70">'Div 4'!$D$122:$D$125</definedName>
    <definedName name="OSRRefD25x_0" localSheetId="92">'Div 5'!$D$69</definedName>
    <definedName name="OSRRefD25x_0" localSheetId="61">'Div 6'!$D$98:$D$99</definedName>
    <definedName name="OSRRefD25x_0" localSheetId="2">Summary!$D$253:$D$259</definedName>
    <definedName name="OSRRefH13x_0" localSheetId="41">'201'!$H$13</definedName>
    <definedName name="OSRRefH13x_0" localSheetId="42">'202'!$H$13</definedName>
    <definedName name="OSRRefH13x_0" localSheetId="48">'300'!$H$13:$H$74</definedName>
    <definedName name="OSRRefH13x_0" localSheetId="49">'300 &amp; 317'!$H$13:$H$88</definedName>
    <definedName name="OSRRefH13x_0" localSheetId="52">'307'!$H$13:$H$23</definedName>
    <definedName name="OSRRefH13x_0" localSheetId="53">'308'!$H$13:$H$33</definedName>
    <definedName name="OSRRefH13x_0" localSheetId="64">'309'!$H$13</definedName>
    <definedName name="OSRRefH13x_0" localSheetId="63">'310'!$H$13:$H$17</definedName>
    <definedName name="OSRRefH13x_0" localSheetId="71">'310 &amp; 491'!$H$13:$H$21</definedName>
    <definedName name="OSRRefH13x_0" localSheetId="54">'311'!$H$13:$H$32</definedName>
    <definedName name="OSRRefH13x_0" localSheetId="65">'313'!$H$13</definedName>
    <definedName name="OSRRefH13x_0" localSheetId="57">'315'!$H$13:$H$50</definedName>
    <definedName name="OSRRefH13x_0" localSheetId="60">'316'!$H$13:$H$22</definedName>
    <definedName name="OSRRefH13x_0" localSheetId="62">'317'!$H$13:$H$30</definedName>
    <definedName name="OSRRefH13x_0" localSheetId="66">'321'!$H$13:$H$15</definedName>
    <definedName name="OSRRefH13x_0" localSheetId="67">'322'!$H$13</definedName>
    <definedName name="OSRRefH13x_0" localSheetId="55">'324'!$H$13:$H$16</definedName>
    <definedName name="OSRRefH13x_0" localSheetId="68">'325'!$H$13:$H$14</definedName>
    <definedName name="OSRRefH13x_0" localSheetId="58">'326'!$H$13:$H$33</definedName>
    <definedName name="OSRRefH13x_0" localSheetId="69">'327'!$H$13:$H$14</definedName>
    <definedName name="OSRRefH13x_0" localSheetId="51">'330'!$H$13:$H$23</definedName>
    <definedName name="OSRRefH13x_0" localSheetId="56">'331'!$H$13:$H$50</definedName>
    <definedName name="OSRRefH13x_0" localSheetId="59">'332'!$H$13:$H$22</definedName>
    <definedName name="OSRRefH13x_0" localSheetId="73">'405'!$H$13:$H$14</definedName>
    <definedName name="OSRRefH13x_0" localSheetId="76">'412'!$H$13</definedName>
    <definedName name="OSRRefH13x_0" localSheetId="77">'413'!$H$13:$H$14</definedName>
    <definedName name="OSRRefH13x_0" localSheetId="78">'414'!$H$13:$H$15</definedName>
    <definedName name="OSRRefH13x_0" localSheetId="79">'415'!$H$13:$H$16</definedName>
    <definedName name="OSRRefH13x_0" localSheetId="80">'418'!$H$13:$H$14</definedName>
    <definedName name="OSRRefH13x_0" localSheetId="81">'420'!$H$13</definedName>
    <definedName name="OSRRefH13x_0" localSheetId="88">'433'!$H$13:$H$16</definedName>
    <definedName name="OSRRefH13x_0" localSheetId="90">'444'!$H$13:$H$16</definedName>
    <definedName name="OSRRefH13x_0" localSheetId="91">'450'!$H$13:$H$14</definedName>
    <definedName name="OSRRefH13x_0" localSheetId="72">'491'!$H$13:$H$18</definedName>
    <definedName name="OSRRefH13x_0" localSheetId="86">'492'!$H$13:$H$16</definedName>
    <definedName name="OSRRefH13x_0" localSheetId="93">'501'!$H$13</definedName>
    <definedName name="OSRRefH13x_0" localSheetId="39">'Div 2'!$H$13</definedName>
    <definedName name="OSRRefH13x_0" localSheetId="47">'Div 3'!$H$13:$H$76</definedName>
    <definedName name="OSRRefH13x_0" localSheetId="70">'Div 4'!$H$13:$H$20</definedName>
    <definedName name="OSRRefH13x_0" localSheetId="92">'Div 5'!$H$13</definedName>
    <definedName name="OSRRefH13x_0" localSheetId="61">'Div 6'!$H$13:$H$30</definedName>
    <definedName name="OSRRefH13x_0" localSheetId="2">Summary!$H$13:$H$95</definedName>
    <definedName name="OSRRefH16x_0" localSheetId="48">'300'!$H$77:$H$110</definedName>
    <definedName name="OSRRefH16x_0" localSheetId="49">'300 &amp; 317'!$H$91:$H$133</definedName>
    <definedName name="OSRRefH16x_0" localSheetId="52">'307'!$H$26:$H$33</definedName>
    <definedName name="OSRRefH16x_0" localSheetId="53">'308'!$H$36:$H$50</definedName>
    <definedName name="OSRRefH16x_0" localSheetId="64">'309'!$H$16</definedName>
    <definedName name="OSRRefH16x_0" localSheetId="63">'310'!$H$20:$H$22</definedName>
    <definedName name="OSRRefH16x_0" localSheetId="71">'310 &amp; 491'!$H$24:$H$26</definedName>
    <definedName name="OSRRefH16x_0" localSheetId="54">'311'!$H$35:$H$49</definedName>
    <definedName name="OSRRefH16x_0" localSheetId="65">'313'!$H$16:$H$17</definedName>
    <definedName name="OSRRefH16x_0" localSheetId="57">'315'!$H$53:$H$74</definedName>
    <definedName name="OSRRefH16x_0" localSheetId="62">'317'!$H$33:$H$44</definedName>
    <definedName name="OSRRefH16x_0" localSheetId="66">'321'!$H$18:$H$19</definedName>
    <definedName name="OSRRefH16x_0" localSheetId="67">'322'!$H$16:$H$17</definedName>
    <definedName name="OSRRefH16x_0" localSheetId="55">'324'!$H$19:$H$21</definedName>
    <definedName name="OSRRefH16x_0" localSheetId="68">'325'!$H$17:$H$19</definedName>
    <definedName name="OSRRefH16x_0" localSheetId="58">'326'!$H$36:$H$40</definedName>
    <definedName name="OSRRefH16x_0" localSheetId="69">'327'!$H$17:$H$18</definedName>
    <definedName name="OSRRefH16x_0" localSheetId="51">'330'!$H$26:$H$33</definedName>
    <definedName name="OSRRefH16x_0" localSheetId="56">'331'!$H$53:$H$74</definedName>
    <definedName name="OSRRefH16x_0" localSheetId="73">'405'!$H$17</definedName>
    <definedName name="OSRRefH16x_0" localSheetId="76">'412'!$H$16</definedName>
    <definedName name="OSRRefH16x_0" localSheetId="77">'413'!$H$17</definedName>
    <definedName name="OSRRefH16x_0" localSheetId="78">'414'!$H$18</definedName>
    <definedName name="OSRRefH16x_0" localSheetId="79">'415'!$H$19:$H$21</definedName>
    <definedName name="OSRRefH16x_0" localSheetId="80">'418'!$H$17</definedName>
    <definedName name="OSRRefH16x_0" localSheetId="88">'433'!$H$19:$H$21</definedName>
    <definedName name="OSRRefH16x_0" localSheetId="90">'444'!$H$19:$H$21</definedName>
    <definedName name="OSRRefH16x_0" localSheetId="91">'450'!$H$17</definedName>
    <definedName name="OSRRefH16x_0" localSheetId="72">'491'!$H$21:$H$23</definedName>
    <definedName name="OSRRefH16x_0" localSheetId="86">'492'!$H$19:$H$21</definedName>
    <definedName name="OSRRefH16x_0" localSheetId="47">'Div 3'!$H$79:$H$114</definedName>
    <definedName name="OSRRefH16x_0" localSheetId="70">'Div 4'!$H$23:$H$25</definedName>
    <definedName name="OSRRefH16x_0" localSheetId="61">'Div 6'!$H$33:$H$44</definedName>
    <definedName name="OSRRefH16x_0" localSheetId="2">Summary!$H$98:$H$142</definedName>
    <definedName name="OSRRefH22_0x_0" localSheetId="40">'200'!$H$20</definedName>
    <definedName name="OSRRefH22_0x_0" localSheetId="41">'201'!$H$21:$H$29</definedName>
    <definedName name="OSRRefH22_0x_0" localSheetId="42">'202'!$H$21:$H$29</definedName>
    <definedName name="OSRRefH22_0x_0" localSheetId="43">'203'!$H$20:$H$29</definedName>
    <definedName name="OSRRefH22_0x_0" localSheetId="44">'204'!$H$20:$H$29</definedName>
    <definedName name="OSRRefH22_0x_0" localSheetId="45">'205'!$H$20:$H$28</definedName>
    <definedName name="OSRRefH22_0x_0" localSheetId="46">'206'!$H$20:$H$28</definedName>
    <definedName name="OSRRefH22_0x_0" localSheetId="48">'300'!$H$116:$H$125</definedName>
    <definedName name="OSRRefH22_0x_0" localSheetId="49">'300 &amp; 317'!$H$139:$H$148</definedName>
    <definedName name="OSRRefH22_0x_0" localSheetId="50">'301'!$H$20:$H$29</definedName>
    <definedName name="OSRRefH22_0x_0" localSheetId="52">'307'!$H$39:$H$46</definedName>
    <definedName name="OSRRefH22_0x_0" localSheetId="53">'308'!$H$56:$H$65</definedName>
    <definedName name="OSRRefH22_0x_0" localSheetId="64">'309'!$H$22:$H$29</definedName>
    <definedName name="OSRRefH22_0x_0" localSheetId="63">'310'!$H$28:$H$36</definedName>
    <definedName name="OSRRefH22_0x_0" localSheetId="71">'310 &amp; 491'!$H$32:$H$40</definedName>
    <definedName name="OSRRefH22_0x_0" localSheetId="54">'311'!$H$55:$H$64</definedName>
    <definedName name="OSRRefH22_0x_0" localSheetId="65">'313'!$H$23:$H$31</definedName>
    <definedName name="OSRRefH22_0x_0" localSheetId="57">'315'!$H$80:$H$88</definedName>
    <definedName name="OSRRefH22_0x_0" localSheetId="60">'316'!$H$30:$H$38</definedName>
    <definedName name="OSRRefH22_0x_0" localSheetId="62">'317'!$H$50:$H$59</definedName>
    <definedName name="OSRRefH22_0x_0" localSheetId="66">'321'!$H$25:$H$33</definedName>
    <definedName name="OSRRefH22_0x_0" localSheetId="67">'322'!$H$23:$H$30</definedName>
    <definedName name="OSRRefH22_0x_0" localSheetId="55">'324'!$H$27:$H$34</definedName>
    <definedName name="OSRRefH22_0x_0" localSheetId="68">'325'!$H$25:$H$32</definedName>
    <definedName name="OSRRefH22_0x_0" localSheetId="58">'326'!$H$46:$H$54</definedName>
    <definedName name="OSRRefH22_0x_0" localSheetId="69">'327'!$H$24</definedName>
    <definedName name="OSRRefH22_0x_0" localSheetId="51">'330'!$H$39:$H$46</definedName>
    <definedName name="OSRRefH22_0x_0" localSheetId="56">'331'!$H$80:$H$88</definedName>
    <definedName name="OSRRefH22_0x_0" localSheetId="59">'332'!$H$30:$H$38</definedName>
    <definedName name="OSRRefH22_0x_0" localSheetId="73">'405'!$H$23:$H$30</definedName>
    <definedName name="OSRRefH22_0x_0" localSheetId="74">'406'!$H$20</definedName>
    <definedName name="OSRRefH22_0x_0" localSheetId="75">'411'!$H$20:$H$28</definedName>
    <definedName name="OSRRefH22_0x_0" localSheetId="76">'412'!$H$22:$H$29</definedName>
    <definedName name="OSRRefH22_0x_0" localSheetId="77">'413'!$H$23:$H$31</definedName>
    <definedName name="OSRRefH22_0x_0" localSheetId="78">'414'!$H$24:$H$32</definedName>
    <definedName name="OSRRefH22_0x_0" localSheetId="79">'415'!$H$27:$H$35</definedName>
    <definedName name="OSRRefH22_0x_0" localSheetId="80">'418'!$H$23:$H$30</definedName>
    <definedName name="OSRRefH22_0x_0" localSheetId="81">'420'!$H$21</definedName>
    <definedName name="OSRRefH22_0x_0" localSheetId="82">'423'!$H$20:$H$27</definedName>
    <definedName name="OSRRefH22_0x_0" localSheetId="83">'424'!$H$20</definedName>
    <definedName name="OSRRefH22_0x_0" localSheetId="84">'425'!$H$20:$H$24</definedName>
    <definedName name="OSRRefH22_0x_0" localSheetId="87">'430'!$H$20:$H$28</definedName>
    <definedName name="OSRRefH22_0x_0" localSheetId="88">'433'!$H$27:$H$36</definedName>
    <definedName name="OSRRefH22_0x_0" localSheetId="89">'435'!$H$20</definedName>
    <definedName name="OSRRefH22_0x_0" localSheetId="90">'444'!$H$27:$H$36</definedName>
    <definedName name="OSRRefH22_0x_0" localSheetId="91">'450'!$H$23:$H$32</definedName>
    <definedName name="OSRRefH22_0x_0" localSheetId="72">'491'!$H$29:$H$37</definedName>
    <definedName name="OSRRefH22_0x_0" localSheetId="86">'492'!$H$27:$H$36</definedName>
    <definedName name="OSRRefH22_0x_0" localSheetId="93">'501'!$H$21:$H$30</definedName>
    <definedName name="OSRRefH22_0x_0" localSheetId="39">'Div 2'!$H$21:$H$31</definedName>
    <definedName name="OSRRefH22_0x_0" localSheetId="47">'Div 3'!$H$120:$H$129</definedName>
    <definedName name="OSRRefH22_0x_0" localSheetId="70">'Div 4'!$H$31:$H$40</definedName>
    <definedName name="OSRRefH22_0x_0" localSheetId="92">'Div 5'!$H$21:$H$30</definedName>
    <definedName name="OSRRefH22_0x_0" localSheetId="61">'Div 6'!$H$50:$H$59</definedName>
    <definedName name="OSRRefH22_0x_0" localSheetId="2">Summary!$H$148:$H$157</definedName>
    <definedName name="OSRRefH22_10x_0" localSheetId="41">'201'!$H$58:$H$60</definedName>
    <definedName name="OSRRefH22_10x_0" localSheetId="42">'202'!$H$62</definedName>
    <definedName name="OSRRefH22_10x_0" localSheetId="43">'203'!$H$62</definedName>
    <definedName name="OSRRefH22_10x_0" localSheetId="44">'204'!$H$62:$H$63</definedName>
    <definedName name="OSRRefH22_10x_0" localSheetId="48">'300'!$H$158:$H$159</definedName>
    <definedName name="OSRRefH22_10x_0" localSheetId="49">'300 &amp; 317'!$H$181:$H$182</definedName>
    <definedName name="OSRRefH22_10x_0" localSheetId="50">'301'!$H$60</definedName>
    <definedName name="OSRRefH22_10x_0" localSheetId="52">'307'!$H$77:$H$78</definedName>
    <definedName name="OSRRefH22_10x_0" localSheetId="53">'308'!$H$97</definedName>
    <definedName name="OSRRefH22_10x_0" localSheetId="64">'309'!$H$61</definedName>
    <definedName name="OSRRefH22_10x_0" localSheetId="63">'310'!$H$66</definedName>
    <definedName name="OSRRefH22_10x_0" localSheetId="71">'310 &amp; 491'!$H$72</definedName>
    <definedName name="OSRRefH22_10x_0" localSheetId="54">'311'!$H$96</definedName>
    <definedName name="OSRRefH22_10x_0" localSheetId="65">'313'!$H$64</definedName>
    <definedName name="OSRRefH22_10x_0" localSheetId="57">'315'!$H$118</definedName>
    <definedName name="OSRRefH22_10x_0" localSheetId="60">'316'!$H$73</definedName>
    <definedName name="OSRRefH22_10x_0" localSheetId="62">'317'!$H$89:$H$91</definedName>
    <definedName name="OSRRefH22_10x_0" localSheetId="66">'321'!$H$65:$H$67</definedName>
    <definedName name="OSRRefH22_10x_0" localSheetId="67">'322'!$H$64</definedName>
    <definedName name="OSRRefH22_10x_0" localSheetId="68">'325'!$H$62</definedName>
    <definedName name="OSRRefH22_10x_0" localSheetId="58">'326'!$H$84</definedName>
    <definedName name="OSRRefH22_10x_0" localSheetId="51">'330'!$H$77:$H$78</definedName>
    <definedName name="OSRRefH22_10x_0" localSheetId="56">'331'!$H$119</definedName>
    <definedName name="OSRRefH22_10x_0" localSheetId="59">'332'!$H$73</definedName>
    <definedName name="OSRRefH22_10x_0" localSheetId="73">'405'!$H$61</definedName>
    <definedName name="OSRRefH22_10x_0" localSheetId="75">'411'!$H$59:$H$62</definedName>
    <definedName name="OSRRefH22_10x_0" localSheetId="76">'412'!$H$60:$H$63</definedName>
    <definedName name="OSRRefH22_10x_0" localSheetId="77">'413'!$H$63:$H$70</definedName>
    <definedName name="OSRRefH22_10x_0" localSheetId="78">'414'!$H$62</definedName>
    <definedName name="OSRRefH22_10x_0" localSheetId="79">'415'!$H$65</definedName>
    <definedName name="OSRRefH22_10x_0" localSheetId="80">'418'!$H$63:$H$64</definedName>
    <definedName name="OSRRefH22_10x_0" localSheetId="88">'433'!$H$65</definedName>
    <definedName name="OSRRefH22_10x_0" localSheetId="90">'444'!$H$65</definedName>
    <definedName name="OSRRefH22_10x_0" localSheetId="91">'450'!$H$61</definedName>
    <definedName name="OSRRefH22_10x_0" localSheetId="72">'491'!$H$68</definedName>
    <definedName name="OSRRefH22_10x_0" localSheetId="86">'492'!$H$65</definedName>
    <definedName name="OSRRefH22_10x_0" localSheetId="93">'501'!$H$63:$H$64</definedName>
    <definedName name="OSRRefH22_10x_0" localSheetId="39">'Div 2'!$H$62</definedName>
    <definedName name="OSRRefH22_10x_0" localSheetId="47">'Div 3'!$H$162:$H$163</definedName>
    <definedName name="OSRRefH22_10x_0" localSheetId="70">'Div 4'!$H$71</definedName>
    <definedName name="OSRRefH22_10x_0" localSheetId="92">'Div 5'!$H$63:$H$64</definedName>
    <definedName name="OSRRefH22_10x_0" localSheetId="61">'Div 6'!$H$89:$H$91</definedName>
    <definedName name="OSRRefH22_10x_0" localSheetId="2">Summary!$H$191:$H$192</definedName>
    <definedName name="OSRRefH22_11x_0" localSheetId="41">'201'!$H$62</definedName>
    <definedName name="OSRRefH22_11x_0" localSheetId="42">'202'!$H$64</definedName>
    <definedName name="OSRRefH22_11x_0" localSheetId="43">'203'!$H$64:$H$66</definedName>
    <definedName name="OSRRefH22_11x_0" localSheetId="44">'204'!$H$65</definedName>
    <definedName name="OSRRefH22_11x_0" localSheetId="48">'300'!$H$161:$H$163</definedName>
    <definedName name="OSRRefH22_11x_0" localSheetId="49">'300 &amp; 317'!$H$184:$H$186</definedName>
    <definedName name="OSRRefH22_11x_0" localSheetId="50">'301'!$H$62</definedName>
    <definedName name="OSRRefH22_11x_0" localSheetId="52">'307'!$H$80:$H$83</definedName>
    <definedName name="OSRRefH22_11x_0" localSheetId="53">'308'!$H$99:$H$101</definedName>
    <definedName name="OSRRefH22_11x_0" localSheetId="63">'310'!$H$68</definedName>
    <definedName name="OSRRefH22_11x_0" localSheetId="71">'310 &amp; 491'!$H$74</definedName>
    <definedName name="OSRRefH22_11x_0" localSheetId="54">'311'!$H$98:$H$100</definedName>
    <definedName name="OSRRefH22_11x_0" localSheetId="65">'313'!$H$66</definedName>
    <definedName name="OSRRefH22_11x_0" localSheetId="57">'315'!$H$120</definedName>
    <definedName name="OSRRefH22_11x_0" localSheetId="60">'316'!$H$75</definedName>
    <definedName name="OSRRefH22_11x_0" localSheetId="62">'317'!$H$93</definedName>
    <definedName name="OSRRefH22_11x_0" localSheetId="66">'321'!$H$69:$H$70</definedName>
    <definedName name="OSRRefH22_11x_0" localSheetId="67">'322'!$H$66</definedName>
    <definedName name="OSRRefH22_11x_0" localSheetId="68">'325'!$H$64:$H$67</definedName>
    <definedName name="OSRRefH22_11x_0" localSheetId="58">'326'!$H$86</definedName>
    <definedName name="OSRRefH22_11x_0" localSheetId="51">'330'!$H$80:$H$83</definedName>
    <definedName name="OSRRefH22_11x_0" localSheetId="56">'331'!$H$121</definedName>
    <definedName name="OSRRefH22_11x_0" localSheetId="59">'332'!$H$75</definedName>
    <definedName name="OSRRefH22_11x_0" localSheetId="73">'405'!$H$63:$H$66</definedName>
    <definedName name="OSRRefH22_11x_0" localSheetId="75">'411'!$H$64</definedName>
    <definedName name="OSRRefH22_11x_0" localSheetId="76">'412'!$H$65:$H$69</definedName>
    <definedName name="OSRRefH22_11x_0" localSheetId="77">'413'!$H$72:$H$73</definedName>
    <definedName name="OSRRefH22_11x_0" localSheetId="78">'414'!$H$64</definedName>
    <definedName name="OSRRefH22_11x_0" localSheetId="79">'415'!$H$67:$H$68</definedName>
    <definedName name="OSRRefH22_11x_0" localSheetId="80">'418'!$H$66:$H$75</definedName>
    <definedName name="OSRRefH22_11x_0" localSheetId="88">'433'!$H$67:$H$68</definedName>
    <definedName name="OSRRefH22_11x_0" localSheetId="90">'444'!$H$67:$H$70</definedName>
    <definedName name="OSRRefH22_11x_0" localSheetId="91">'450'!$H$63</definedName>
    <definedName name="OSRRefH22_11x_0" localSheetId="72">'491'!$H$70</definedName>
    <definedName name="OSRRefH22_11x_0" localSheetId="86">'492'!$H$67</definedName>
    <definedName name="OSRRefH22_11x_0" localSheetId="93">'501'!$H$66</definedName>
    <definedName name="OSRRefH22_11x_0" localSheetId="39">'Div 2'!$H$64:$H$65</definedName>
    <definedName name="OSRRefH22_11x_0" localSheetId="47">'Div 3'!$H$165:$H$167</definedName>
    <definedName name="OSRRefH22_11x_0" localSheetId="70">'Div 4'!$H$73</definedName>
    <definedName name="OSRRefH22_11x_0" localSheetId="92">'Div 5'!$H$66</definedName>
    <definedName name="OSRRefH22_11x_0" localSheetId="61">'Div 6'!$H$93</definedName>
    <definedName name="OSRRefH22_11x_0" localSheetId="2">Summary!$H$194:$H$196</definedName>
    <definedName name="OSRRefH22_12x_0" localSheetId="41">'201'!$H$64</definedName>
    <definedName name="OSRRefH22_12x_0" localSheetId="42">'202'!$H$66</definedName>
    <definedName name="OSRRefH22_12x_0" localSheetId="43">'203'!$H$68</definedName>
    <definedName name="OSRRefH22_12x_0" localSheetId="44">'204'!$H$67</definedName>
    <definedName name="OSRRefH22_12x_0" localSheetId="48">'300'!$H$165</definedName>
    <definedName name="OSRRefH22_12x_0" localSheetId="49">'300 &amp; 317'!$H$188</definedName>
    <definedName name="OSRRefH22_12x_0" localSheetId="50">'301'!$H$64</definedName>
    <definedName name="OSRRefH22_12x_0" localSheetId="52">'307'!$H$85:$H$86</definedName>
    <definedName name="OSRRefH22_12x_0" localSheetId="53">'308'!$H$103:$H$104</definedName>
    <definedName name="OSRRefH22_12x_0" localSheetId="63">'310'!$H$70</definedName>
    <definedName name="OSRRefH22_12x_0" localSheetId="71">'310 &amp; 491'!$H$76</definedName>
    <definedName name="OSRRefH22_12x_0" localSheetId="54">'311'!$H$102:$H$103</definedName>
    <definedName name="OSRRefH22_12x_0" localSheetId="57">'315'!$H$122:$H$124</definedName>
    <definedName name="OSRRefH22_12x_0" localSheetId="62">'317'!$H$95</definedName>
    <definedName name="OSRRefH22_12x_0" localSheetId="66">'321'!$H$72</definedName>
    <definedName name="OSRRefH22_12x_0" localSheetId="68">'325'!$H$69:$H$71</definedName>
    <definedName name="OSRRefH22_12x_0" localSheetId="58">'326'!$H$88</definedName>
    <definedName name="OSRRefH22_12x_0" localSheetId="51">'330'!$H$85:$H$86</definedName>
    <definedName name="OSRRefH22_12x_0" localSheetId="56">'331'!$H$123</definedName>
    <definedName name="OSRRefH22_12x_0" localSheetId="73">'405'!$H$68</definedName>
    <definedName name="OSRRefH22_12x_0" localSheetId="75">'411'!$H$66:$H$72</definedName>
    <definedName name="OSRRefH22_12x_0" localSheetId="76">'412'!$H$71:$H$72</definedName>
    <definedName name="OSRRefH22_12x_0" localSheetId="77">'413'!$H$75</definedName>
    <definedName name="OSRRefH22_12x_0" localSheetId="78">'414'!$H$66:$H$68</definedName>
    <definedName name="OSRRefH22_12x_0" localSheetId="79">'415'!$H$70:$H$74</definedName>
    <definedName name="OSRRefH22_12x_0" localSheetId="80">'418'!$H$77:$H$78</definedName>
    <definedName name="OSRRefH22_12x_0" localSheetId="88">'433'!$H$70:$H$73</definedName>
    <definedName name="OSRRefH22_12x_0" localSheetId="90">'444'!$H$72:$H$75</definedName>
    <definedName name="OSRRefH22_12x_0" localSheetId="91">'450'!$H$65</definedName>
    <definedName name="OSRRefH22_12x_0" localSheetId="72">'491'!$H$72</definedName>
    <definedName name="OSRRefH22_12x_0" localSheetId="86">'492'!$H$69:$H$72</definedName>
    <definedName name="OSRRefH22_12x_0" localSheetId="39">'Div 2'!$H$67:$H$70</definedName>
    <definedName name="OSRRefH22_12x_0" localSheetId="47">'Div 3'!$H$169</definedName>
    <definedName name="OSRRefH22_12x_0" localSheetId="70">'Div 4'!$H$75</definedName>
    <definedName name="OSRRefH22_12x_0" localSheetId="61">'Div 6'!$H$95</definedName>
    <definedName name="OSRRefH22_12x_0" localSheetId="2">Summary!$H$198</definedName>
    <definedName name="OSRRefH22_13x_0" localSheetId="41">'201'!$H$66:$H$68</definedName>
    <definedName name="OSRRefH22_13x_0" localSheetId="43">'203'!$H$70</definedName>
    <definedName name="OSRRefH22_13x_0" localSheetId="48">'300'!$H$167</definedName>
    <definedName name="OSRRefH22_13x_0" localSheetId="49">'300 &amp; 317'!$H$190</definedName>
    <definedName name="OSRRefH22_13x_0" localSheetId="50">'301'!$H$66</definedName>
    <definedName name="OSRRefH22_13x_0" localSheetId="52">'307'!$H$88</definedName>
    <definedName name="OSRRefH22_13x_0" localSheetId="53">'308'!$H$106</definedName>
    <definedName name="OSRRefH22_13x_0" localSheetId="63">'310'!$H$72:$H$75</definedName>
    <definedName name="OSRRefH22_13x_0" localSheetId="71">'310 &amp; 491'!$H$78:$H$81</definedName>
    <definedName name="OSRRefH22_13x_0" localSheetId="54">'311'!$H$105</definedName>
    <definedName name="OSRRefH22_13x_0" localSheetId="57">'315'!$H$126:$H$127</definedName>
    <definedName name="OSRRefH22_13x_0" localSheetId="66">'321'!$H$74</definedName>
    <definedName name="OSRRefH22_13x_0" localSheetId="68">'325'!$H$73</definedName>
    <definedName name="OSRRefH22_13x_0" localSheetId="58">'326'!$H$90:$H$91</definedName>
    <definedName name="OSRRefH22_13x_0" localSheetId="51">'330'!$H$88</definedName>
    <definedName name="OSRRefH22_13x_0" localSheetId="56">'331'!$H$125</definedName>
    <definedName name="OSRRefH22_13x_0" localSheetId="73">'405'!$H$70:$H$78</definedName>
    <definedName name="OSRRefH22_13x_0" localSheetId="75">'411'!$H$74</definedName>
    <definedName name="OSRRefH22_13x_0" localSheetId="76">'412'!$H$74</definedName>
    <definedName name="OSRRefH22_13x_0" localSheetId="78">'414'!$H$70</definedName>
    <definedName name="OSRRefH22_13x_0" localSheetId="79">'415'!$H$76</definedName>
    <definedName name="OSRRefH22_13x_0" localSheetId="80">'418'!$H$80</definedName>
    <definedName name="OSRRefH22_13x_0" localSheetId="88">'433'!$H$75:$H$82</definedName>
    <definedName name="OSRRefH22_13x_0" localSheetId="90">'444'!$H$77</definedName>
    <definedName name="OSRRefH22_13x_0" localSheetId="91">'450'!$H$67:$H$69</definedName>
    <definedName name="OSRRefH22_13x_0" localSheetId="72">'491'!$H$74:$H$77</definedName>
    <definedName name="OSRRefH22_13x_0" localSheetId="86">'492'!$H$74:$H$77</definedName>
    <definedName name="OSRRefH22_13x_0" localSheetId="39">'Div 2'!$H$72:$H$75</definedName>
    <definedName name="OSRRefH22_13x_0" localSheetId="47">'Div 3'!$H$171</definedName>
    <definedName name="OSRRefH22_13x_0" localSheetId="70">'Div 4'!$H$77</definedName>
    <definedName name="OSRRefH22_13x_0" localSheetId="2">Summary!$H$200</definedName>
    <definedName name="OSRRefH22_14x_0" localSheetId="41">'201'!$H$70</definedName>
    <definedName name="OSRRefH22_14x_0" localSheetId="43">'203'!$H$72</definedName>
    <definedName name="OSRRefH22_14x_0" localSheetId="48">'300'!$H$169</definedName>
    <definedName name="OSRRefH22_14x_0" localSheetId="49">'300 &amp; 317'!$H$192</definedName>
    <definedName name="OSRRefH22_14x_0" localSheetId="50">'301'!$H$68:$H$71</definedName>
    <definedName name="OSRRefH22_14x_0" localSheetId="63">'310'!$H$77:$H$78</definedName>
    <definedName name="OSRRefH22_14x_0" localSheetId="71">'310 &amp; 491'!$H$83:$H$84</definedName>
    <definedName name="OSRRefH22_14x_0" localSheetId="57">'315'!$H$129:$H$135</definedName>
    <definedName name="OSRRefH22_14x_0" localSheetId="68">'325'!$H$75:$H$79</definedName>
    <definedName name="OSRRefH22_14x_0" localSheetId="58">'326'!$H$93:$H$95</definedName>
    <definedName name="OSRRefH22_14x_0" localSheetId="56">'331'!$H$127:$H$128</definedName>
    <definedName name="OSRRefH22_14x_0" localSheetId="73">'405'!$H$80</definedName>
    <definedName name="OSRRefH22_14x_0" localSheetId="75">'411'!$H$76</definedName>
    <definedName name="OSRRefH22_14x_0" localSheetId="78">'414'!$H$72</definedName>
    <definedName name="OSRRefH22_14x_0" localSheetId="79">'415'!$H$78:$H$84</definedName>
    <definedName name="OSRRefH22_14x_0" localSheetId="88">'433'!$H$84</definedName>
    <definedName name="OSRRefH22_14x_0" localSheetId="90">'444'!$H$79:$H$87</definedName>
    <definedName name="OSRRefH22_14x_0" localSheetId="91">'450'!$H$71:$H$77</definedName>
    <definedName name="OSRRefH22_14x_0" localSheetId="72">'491'!$H$79:$H$80</definedName>
    <definedName name="OSRRefH22_14x_0" localSheetId="86">'492'!$H$79</definedName>
    <definedName name="OSRRefH22_14x_0" localSheetId="39">'Div 2'!$H$77:$H$78</definedName>
    <definedName name="OSRRefH22_14x_0" localSheetId="47">'Div 3'!$H$173</definedName>
    <definedName name="OSRRefH22_14x_0" localSheetId="70">'Div 4'!$H$79</definedName>
    <definedName name="OSRRefH22_14x_0" localSheetId="2">Summary!$H$202</definedName>
    <definedName name="OSRRefH22_15x_0" localSheetId="41">'201'!$H$72</definedName>
    <definedName name="OSRRefH22_15x_0" localSheetId="48">'300'!$H$171</definedName>
    <definedName name="OSRRefH22_15x_0" localSheetId="49">'300 &amp; 317'!$H$194</definedName>
    <definedName name="OSRRefH22_15x_0" localSheetId="50">'301'!$H$73:$H$75</definedName>
    <definedName name="OSRRefH22_15x_0" localSheetId="63">'310'!$H$80:$H$83</definedName>
    <definedName name="OSRRefH22_15x_0" localSheetId="71">'310 &amp; 491'!$H$86:$H$90</definedName>
    <definedName name="OSRRefH22_15x_0" localSheetId="57">'315'!$H$137</definedName>
    <definedName name="OSRRefH22_15x_0" localSheetId="68">'325'!$H$81:$H$82</definedName>
    <definedName name="OSRRefH22_15x_0" localSheetId="58">'326'!$H$97:$H$98</definedName>
    <definedName name="OSRRefH22_15x_0" localSheetId="56">'331'!$H$130:$H$132</definedName>
    <definedName name="OSRRefH22_15x_0" localSheetId="73">'405'!$H$82</definedName>
    <definedName name="OSRRefH22_15x_0" localSheetId="75">'411'!$H$78</definedName>
    <definedName name="OSRRefH22_15x_0" localSheetId="78">'414'!$H$74</definedName>
    <definedName name="OSRRefH22_15x_0" localSheetId="79">'415'!$H$86:$H$87</definedName>
    <definedName name="OSRRefH22_15x_0" localSheetId="90">'444'!$H$89:$H$90</definedName>
    <definedName name="OSRRefH22_15x_0" localSheetId="91">'450'!$H$79:$H$80</definedName>
    <definedName name="OSRRefH22_15x_0" localSheetId="72">'491'!$H$82:$H$86</definedName>
    <definedName name="OSRRefH22_15x_0" localSheetId="86">'492'!$H$81:$H$90</definedName>
    <definedName name="OSRRefH22_15x_0" localSheetId="39">'Div 2'!$H$80:$H$81</definedName>
    <definedName name="OSRRefH22_15x_0" localSheetId="47">'Div 3'!$H$175</definedName>
    <definedName name="OSRRefH22_15x_0" localSheetId="70">'Div 4'!$H$81:$H$84</definedName>
    <definedName name="OSRRefH22_15x_0" localSheetId="2">Summary!$H$204</definedName>
    <definedName name="OSRRefH22_16x_0" localSheetId="41">'201'!$H$74</definedName>
    <definedName name="OSRRefH22_16x_0" localSheetId="48">'300'!$H$173:$H$176</definedName>
    <definedName name="OSRRefH22_16x_0" localSheetId="49">'300 &amp; 317'!$H$196:$H$199</definedName>
    <definedName name="OSRRefH22_16x_0" localSheetId="50">'301'!$H$77</definedName>
    <definedName name="OSRRefH22_16x_0" localSheetId="63">'310'!$H$85</definedName>
    <definedName name="OSRRefH22_16x_0" localSheetId="71">'310 &amp; 491'!$H$92:$H$93</definedName>
    <definedName name="OSRRefH22_16x_0" localSheetId="57">'315'!$H$139</definedName>
    <definedName name="OSRRefH22_16x_0" localSheetId="68">'325'!$H$84</definedName>
    <definedName name="OSRRefH22_16x_0" localSheetId="58">'326'!$H$100:$H$105</definedName>
    <definedName name="OSRRefH22_16x_0" localSheetId="56">'331'!$H$134:$H$136</definedName>
    <definedName name="OSRRefH22_16x_0" localSheetId="73">'405'!$H$84</definedName>
    <definedName name="OSRRefH22_16x_0" localSheetId="79">'415'!$H$89</definedName>
    <definedName name="OSRRefH22_16x_0" localSheetId="90">'444'!$H$92</definedName>
    <definedName name="OSRRefH22_16x_0" localSheetId="91">'450'!$H$82</definedName>
    <definedName name="OSRRefH22_16x_0" localSheetId="72">'491'!$H$88:$H$89</definedName>
    <definedName name="OSRRefH22_16x_0" localSheetId="86">'492'!$H$92:$H$93</definedName>
    <definedName name="OSRRefH22_16x_0" localSheetId="39">'Div 2'!$H$83:$H$87</definedName>
    <definedName name="OSRRefH22_16x_0" localSheetId="47">'Div 3'!$H$177</definedName>
    <definedName name="OSRRefH22_16x_0" localSheetId="70">'Div 4'!$H$86:$H$87</definedName>
    <definedName name="OSRRefH22_16x_0" localSheetId="2">Summary!$H$206</definedName>
    <definedName name="OSRRefH22_17x_0" localSheetId="48">'300'!$H$178:$H$181</definedName>
    <definedName name="OSRRefH22_17x_0" localSheetId="49">'300 &amp; 317'!$H$201:$H$204</definedName>
    <definedName name="OSRRefH22_17x_0" localSheetId="50">'301'!$H$79:$H$85</definedName>
    <definedName name="OSRRefH22_17x_0" localSheetId="63">'310'!$H$87:$H$93</definedName>
    <definedName name="OSRRefH22_17x_0" localSheetId="71">'310 &amp; 491'!$H$95:$H$105</definedName>
    <definedName name="OSRRefH22_17x_0" localSheetId="57">'315'!$H$141:$H$142</definedName>
    <definedName name="OSRRefH22_17x_0" localSheetId="68">'325'!$H$86</definedName>
    <definedName name="OSRRefH22_17x_0" localSheetId="58">'326'!$H$107:$H$108</definedName>
    <definedName name="OSRRefH22_17x_0" localSheetId="56">'331'!$H$138:$H$139</definedName>
    <definedName name="OSRRefH22_17x_0" localSheetId="79">'415'!$H$91:$H$92</definedName>
    <definedName name="OSRRefH22_17x_0" localSheetId="72">'491'!$H$91:$H$101</definedName>
    <definedName name="OSRRefH22_17x_0" localSheetId="86">'492'!$H$95</definedName>
    <definedName name="OSRRefH22_17x_0" localSheetId="39">'Div 2'!$H$89:$H$90</definedName>
    <definedName name="OSRRefH22_17x_0" localSheetId="47">'Div 3'!$H$179:$H$182</definedName>
    <definedName name="OSRRefH22_17x_0" localSheetId="70">'Div 4'!$H$89:$H$93</definedName>
    <definedName name="OSRRefH22_17x_0" localSheetId="2">Summary!$H$208</definedName>
    <definedName name="OSRRefH22_18x_0" localSheetId="48">'300'!$H$183:$H$186</definedName>
    <definedName name="OSRRefH22_18x_0" localSheetId="49">'300 &amp; 317'!$H$206:$H$209</definedName>
    <definedName name="OSRRefH22_18x_0" localSheetId="50">'301'!$H$87</definedName>
    <definedName name="OSRRefH22_18x_0" localSheetId="63">'310'!$H$95:$H$96</definedName>
    <definedName name="OSRRefH22_18x_0" localSheetId="71">'310 &amp; 491'!$H$107:$H$108</definedName>
    <definedName name="OSRRefH22_18x_0" localSheetId="58">'326'!$H$110</definedName>
    <definedName name="OSRRefH22_18x_0" localSheetId="56">'331'!$H$141:$H$148</definedName>
    <definedName name="OSRRefH22_18x_0" localSheetId="79">'415'!$H$94</definedName>
    <definedName name="OSRRefH22_18x_0" localSheetId="72">'491'!$H$103:$H$104</definedName>
    <definedName name="OSRRefH22_18x_0" localSheetId="86">'492'!$H$97</definedName>
    <definedName name="OSRRefH22_18x_0" localSheetId="39">'Div 2'!$H$92</definedName>
    <definedName name="OSRRefH22_18x_0" localSheetId="47">'Div 3'!$H$184:$H$187</definedName>
    <definedName name="OSRRefH22_18x_0" localSheetId="70">'Div 4'!$H$95:$H$96</definedName>
    <definedName name="OSRRefH22_18x_0" localSheetId="2">Summary!$H$210:$H$213</definedName>
    <definedName name="OSRRefH22_19x_0" localSheetId="48">'300'!$H$188:$H$189</definedName>
    <definedName name="OSRRefH22_19x_0" localSheetId="49">'300 &amp; 317'!$H$211:$H$212</definedName>
    <definedName name="OSRRefH22_19x_0" localSheetId="50">'301'!$H$89</definedName>
    <definedName name="OSRRefH22_19x_0" localSheetId="63">'310'!$H$98</definedName>
    <definedName name="OSRRefH22_19x_0" localSheetId="71">'310 &amp; 491'!$H$110</definedName>
    <definedName name="OSRRefH22_19x_0" localSheetId="58">'326'!$H$112:$H$113</definedName>
    <definedName name="OSRRefH22_19x_0" localSheetId="56">'331'!$H$150:$H$151</definedName>
    <definedName name="OSRRefH22_19x_0" localSheetId="72">'491'!$H$106</definedName>
    <definedName name="OSRRefH22_19x_0" localSheetId="39">'Div 2'!$H$94:$H$95</definedName>
    <definedName name="OSRRefH22_19x_0" localSheetId="47">'Div 3'!$H$189:$H$193</definedName>
    <definedName name="OSRRefH22_19x_0" localSheetId="70">'Div 4'!$H$98:$H$108</definedName>
    <definedName name="OSRRefH22_19x_0" localSheetId="2">Summary!$H$215:$H$218</definedName>
    <definedName name="OSRRefH22_1x_0" localSheetId="40">'200'!$H$22</definedName>
    <definedName name="OSRRefH22_1x_0" localSheetId="41">'201'!$H$31:$H$40</definedName>
    <definedName name="OSRRefH22_1x_0" localSheetId="42">'202'!$H$31:$H$40</definedName>
    <definedName name="OSRRefH22_1x_0" localSheetId="43">'203'!$H$31:$H$40</definedName>
    <definedName name="OSRRefH22_1x_0" localSheetId="44">'204'!$H$31:$H$40</definedName>
    <definedName name="OSRRefH22_1x_0" localSheetId="45">'205'!$H$30:$H$39</definedName>
    <definedName name="OSRRefH22_1x_0" localSheetId="46">'206'!$H$30:$H$39</definedName>
    <definedName name="OSRRefH22_1x_0" localSheetId="48">'300'!$H$127:$H$136</definedName>
    <definedName name="OSRRefH22_1x_0" localSheetId="49">'300 &amp; 317'!$H$150:$H$159</definedName>
    <definedName name="OSRRefH22_1x_0" localSheetId="50">'301'!$H$31:$H$40</definedName>
    <definedName name="OSRRefH22_1x_0" localSheetId="52">'307'!$H$48:$H$57</definedName>
    <definedName name="OSRRefH22_1x_0" localSheetId="53">'308'!$H$67:$H$76</definedName>
    <definedName name="OSRRefH22_1x_0" localSheetId="64">'309'!$H$31:$H$40</definedName>
    <definedName name="OSRRefH22_1x_0" localSheetId="63">'310'!$H$38:$H$47</definedName>
    <definedName name="OSRRefH22_1x_0" localSheetId="71">'310 &amp; 491'!$H$42:$H$51</definedName>
    <definedName name="OSRRefH22_1x_0" localSheetId="54">'311'!$H$66:$H$75</definedName>
    <definedName name="OSRRefH22_1x_0" localSheetId="65">'313'!$H$33:$H$42</definedName>
    <definedName name="OSRRefH22_1x_0" localSheetId="57">'315'!$H$90:$H$99</definedName>
    <definedName name="OSRRefH22_1x_0" localSheetId="60">'316'!$H$40:$H$49</definedName>
    <definedName name="OSRRefH22_1x_0" localSheetId="62">'317'!$H$61:$H$70</definedName>
    <definedName name="OSRRefH22_1x_0" localSheetId="66">'321'!$H$35:$H$44</definedName>
    <definedName name="OSRRefH22_1x_0" localSheetId="67">'322'!$H$32:$H$41</definedName>
    <definedName name="OSRRefH22_1x_0" localSheetId="55">'324'!$H$36:$H$45</definedName>
    <definedName name="OSRRefH22_1x_0" localSheetId="68">'325'!$H$34:$H$43</definedName>
    <definedName name="OSRRefH22_1x_0" localSheetId="58">'326'!$H$56:$H$65</definedName>
    <definedName name="OSRRefH22_1x_0" localSheetId="51">'330'!$H$48:$H$57</definedName>
    <definedName name="OSRRefH22_1x_0" localSheetId="56">'331'!$H$90:$H$99</definedName>
    <definedName name="OSRRefH22_1x_0" localSheetId="59">'332'!$H$40:$H$49</definedName>
    <definedName name="OSRRefH22_1x_0" localSheetId="73">'405'!$H$32:$H$41</definedName>
    <definedName name="OSRRefH22_1x_0" localSheetId="74">'406'!$H$22</definedName>
    <definedName name="OSRRefH22_1x_0" localSheetId="75">'411'!$H$30:$H$39</definedName>
    <definedName name="OSRRefH22_1x_0" localSheetId="76">'412'!$H$31:$H$40</definedName>
    <definedName name="OSRRefH22_1x_0" localSheetId="77">'413'!$H$33:$H$42</definedName>
    <definedName name="OSRRefH22_1x_0" localSheetId="78">'414'!$H$34:$H$43</definedName>
    <definedName name="OSRRefH22_1x_0" localSheetId="79">'415'!$H$37:$H$46</definedName>
    <definedName name="OSRRefH22_1x_0" localSheetId="80">'418'!$H$32:$H$41</definedName>
    <definedName name="OSRRefH22_1x_0" localSheetId="82">'423'!$H$29:$H$38</definedName>
    <definedName name="OSRRefH22_1x_0" localSheetId="83">'424'!$H$22</definedName>
    <definedName name="OSRRefH22_1x_0" localSheetId="84">'425'!$H$26</definedName>
    <definedName name="OSRRefH22_1x_0" localSheetId="87">'430'!$H$30:$H$39</definedName>
    <definedName name="OSRRefH22_1x_0" localSheetId="88">'433'!$H$38:$H$47</definedName>
    <definedName name="OSRRefH22_1x_0" localSheetId="90">'444'!$H$38:$H$47</definedName>
    <definedName name="OSRRefH22_1x_0" localSheetId="91">'450'!$H$34:$H$43</definedName>
    <definedName name="OSRRefH22_1x_0" localSheetId="72">'491'!$H$39:$H$48</definedName>
    <definedName name="OSRRefH22_1x_0" localSheetId="86">'492'!$H$38:$H$47</definedName>
    <definedName name="OSRRefH22_1x_0" localSheetId="93">'501'!$H$32:$H$41</definedName>
    <definedName name="OSRRefH22_1x_0" localSheetId="39">'Div 2'!$H$33:$H$42</definedName>
    <definedName name="OSRRefH22_1x_0" localSheetId="47">'Div 3'!$H$131:$H$140</definedName>
    <definedName name="OSRRefH22_1x_0" localSheetId="70">'Div 4'!$H$42:$H$51</definedName>
    <definedName name="OSRRefH22_1x_0" localSheetId="92">'Div 5'!$H$32:$H$41</definedName>
    <definedName name="OSRRefH22_1x_0" localSheetId="61">'Div 6'!$H$61:$H$70</definedName>
    <definedName name="OSRRefH22_1x_0" localSheetId="2">Summary!$H$159:$H$168</definedName>
    <definedName name="OSRRefH22_20x_0" localSheetId="48">'300'!$H$191:$H$199</definedName>
    <definedName name="OSRRefH22_20x_0" localSheetId="49">'300 &amp; 317'!$H$214:$H$222</definedName>
    <definedName name="OSRRefH22_20x_0" localSheetId="50">'301'!$H$91:$H$92</definedName>
    <definedName name="OSRRefH22_20x_0" localSheetId="63">'310'!$H$100</definedName>
    <definedName name="OSRRefH22_20x_0" localSheetId="71">'310 &amp; 491'!$H$112:$H$114</definedName>
    <definedName name="OSRRefH22_20x_0" localSheetId="58">'326'!$H$115</definedName>
    <definedName name="OSRRefH22_20x_0" localSheetId="56">'331'!$H$153</definedName>
    <definedName name="OSRRefH22_20x_0" localSheetId="72">'491'!$H$108:$H$110</definedName>
    <definedName name="OSRRefH22_20x_0" localSheetId="47">'Div 3'!$H$195:$H$196</definedName>
    <definedName name="OSRRefH22_20x_0" localSheetId="70">'Div 4'!$H$110:$H$111</definedName>
    <definedName name="OSRRefH22_20x_0" localSheetId="2">Summary!$H$220:$H$224</definedName>
    <definedName name="OSRRefH22_21x_0" localSheetId="48">'300'!$H$201:$H$202</definedName>
    <definedName name="OSRRefH22_21x_0" localSheetId="49">'300 &amp; 317'!$H$224:$H$225</definedName>
    <definedName name="OSRRefH22_21x_0" localSheetId="50">'301'!$H$94</definedName>
    <definedName name="OSRRefH22_21x_0" localSheetId="63">'310'!$H$102</definedName>
    <definedName name="OSRRefH22_21x_0" localSheetId="71">'310 &amp; 491'!$H$116</definedName>
    <definedName name="OSRRefH22_21x_0" localSheetId="56">'331'!$H$155:$H$156</definedName>
    <definedName name="OSRRefH22_21x_0" localSheetId="72">'491'!$H$112</definedName>
    <definedName name="OSRRefH22_21x_0" localSheetId="47">'Div 3'!$H$198:$H$206</definedName>
    <definedName name="OSRRefH22_21x_0" localSheetId="70">'Div 4'!$H$113</definedName>
    <definedName name="OSRRefH22_21x_0" localSheetId="2">Summary!$H$226:$H$227</definedName>
    <definedName name="OSRRefH22_22x_0" localSheetId="48">'300'!$H$204</definedName>
    <definedName name="OSRRefH22_22x_0" localSheetId="49">'300 &amp; 317'!$H$227</definedName>
    <definedName name="OSRRefH22_22x_0" localSheetId="56">'331'!$H$158</definedName>
    <definedName name="OSRRefH22_22x_0" localSheetId="47">'Div 3'!$H$208:$H$209</definedName>
    <definedName name="OSRRefH22_22x_0" localSheetId="70">'Div 4'!$H$115:$H$117</definedName>
    <definedName name="OSRRefH22_22x_0" localSheetId="2">Summary!$H$229:$H$239</definedName>
    <definedName name="OSRRefH22_23x_0" localSheetId="48">'300'!$H$206:$H$208</definedName>
    <definedName name="OSRRefH22_23x_0" localSheetId="49">'300 &amp; 317'!$H$229:$H$231</definedName>
    <definedName name="OSRRefH22_23x_0" localSheetId="47">'Div 3'!$H$211</definedName>
    <definedName name="OSRRefH22_23x_0" localSheetId="70">'Div 4'!$H$119</definedName>
    <definedName name="OSRRefH22_23x_0" localSheetId="2">Summary!$H$241:$H$242</definedName>
    <definedName name="OSRRefH22_24x_0" localSheetId="48">'300'!$H$210</definedName>
    <definedName name="OSRRefH22_24x_0" localSheetId="49">'300 &amp; 317'!$H$233</definedName>
    <definedName name="OSRRefH22_24x_0" localSheetId="47">'Div 3'!$H$213:$H$215</definedName>
    <definedName name="OSRRefH22_24x_0" localSheetId="2">Summary!$H$244</definedName>
    <definedName name="OSRRefH22_25x_0" localSheetId="47">'Div 3'!$H$217</definedName>
    <definedName name="OSRRefH22_25x_0" localSheetId="2">Summary!$H$246:$H$248</definedName>
    <definedName name="OSRRefH22_26x_0" localSheetId="2">Summary!$H$250</definedName>
    <definedName name="OSRRefH22_2x_0" localSheetId="40">'200'!$H$24</definedName>
    <definedName name="OSRRefH22_2x_0" localSheetId="41">'201'!$H$42</definedName>
    <definedName name="OSRRefH22_2x_0" localSheetId="42">'202'!$H$42</definedName>
    <definedName name="OSRRefH22_2x_0" localSheetId="43">'203'!$H$42</definedName>
    <definedName name="OSRRefH22_2x_0" localSheetId="44">'204'!$H$42</definedName>
    <definedName name="OSRRefH22_2x_0" localSheetId="45">'205'!$H$41</definedName>
    <definedName name="OSRRefH22_2x_0" localSheetId="46">'206'!$H$41</definedName>
    <definedName name="OSRRefH22_2x_0" localSheetId="48">'300'!$H$138</definedName>
    <definedName name="OSRRefH22_2x_0" localSheetId="49">'300 &amp; 317'!$H$161</definedName>
    <definedName name="OSRRefH22_2x_0" localSheetId="50">'301'!$H$42</definedName>
    <definedName name="OSRRefH22_2x_0" localSheetId="52">'307'!$H$59</definedName>
    <definedName name="OSRRefH22_2x_0" localSheetId="53">'308'!$H$78</definedName>
    <definedName name="OSRRefH22_2x_0" localSheetId="64">'309'!$H$42</definedName>
    <definedName name="OSRRefH22_2x_0" localSheetId="63">'310'!$H$49</definedName>
    <definedName name="OSRRefH22_2x_0" localSheetId="71">'310 &amp; 491'!$H$53</definedName>
    <definedName name="OSRRefH22_2x_0" localSheetId="54">'311'!$H$77</definedName>
    <definedName name="OSRRefH22_2x_0" localSheetId="65">'313'!$H$44</definedName>
    <definedName name="OSRRefH22_2x_0" localSheetId="57">'315'!$H$101</definedName>
    <definedName name="OSRRefH22_2x_0" localSheetId="60">'316'!$H$51</definedName>
    <definedName name="OSRRefH22_2x_0" localSheetId="62">'317'!$H$72</definedName>
    <definedName name="OSRRefH22_2x_0" localSheetId="66">'321'!$H$46</definedName>
    <definedName name="OSRRefH22_2x_0" localSheetId="67">'322'!$H$43</definedName>
    <definedName name="OSRRefH22_2x_0" localSheetId="68">'325'!$H$45</definedName>
    <definedName name="OSRRefH22_2x_0" localSheetId="58">'326'!$H$67</definedName>
    <definedName name="OSRRefH22_2x_0" localSheetId="51">'330'!$H$59</definedName>
    <definedName name="OSRRefH22_2x_0" localSheetId="56">'331'!$H$101</definedName>
    <definedName name="OSRRefH22_2x_0" localSheetId="59">'332'!$H$51</definedName>
    <definedName name="OSRRefH22_2x_0" localSheetId="73">'405'!$H$43</definedName>
    <definedName name="OSRRefH22_2x_0" localSheetId="74">'406'!$H$24</definedName>
    <definedName name="OSRRefH22_2x_0" localSheetId="75">'411'!$H$41</definedName>
    <definedName name="OSRRefH22_2x_0" localSheetId="76">'412'!$H$42</definedName>
    <definedName name="OSRRefH22_2x_0" localSheetId="77">'413'!$H$44</definedName>
    <definedName name="OSRRefH22_2x_0" localSheetId="78">'414'!$H$45</definedName>
    <definedName name="OSRRefH22_2x_0" localSheetId="79">'415'!$H$48</definedName>
    <definedName name="OSRRefH22_2x_0" localSheetId="80">'418'!$H$43</definedName>
    <definedName name="OSRRefH22_2x_0" localSheetId="82">'423'!$H$40</definedName>
    <definedName name="OSRRefH22_2x_0" localSheetId="83">'424'!$H$24</definedName>
    <definedName name="OSRRefH22_2x_0" localSheetId="84">'425'!$H$28</definedName>
    <definedName name="OSRRefH22_2x_0" localSheetId="87">'430'!$H$41</definedName>
    <definedName name="OSRRefH22_2x_0" localSheetId="88">'433'!$H$49</definedName>
    <definedName name="OSRRefH22_2x_0" localSheetId="90">'444'!$H$49</definedName>
    <definedName name="OSRRefH22_2x_0" localSheetId="91">'450'!$H$45</definedName>
    <definedName name="OSRRefH22_2x_0" localSheetId="72">'491'!$H$50</definedName>
    <definedName name="OSRRefH22_2x_0" localSheetId="86">'492'!$H$49</definedName>
    <definedName name="OSRRefH22_2x_0" localSheetId="93">'501'!$H$43</definedName>
    <definedName name="OSRRefH22_2x_0" localSheetId="39">'Div 2'!$H$44</definedName>
    <definedName name="OSRRefH22_2x_0" localSheetId="47">'Div 3'!$H$142</definedName>
    <definedName name="OSRRefH22_2x_0" localSheetId="70">'Div 4'!$H$53</definedName>
    <definedName name="OSRRefH22_2x_0" localSheetId="92">'Div 5'!$H$43</definedName>
    <definedName name="OSRRefH22_2x_0" localSheetId="61">'Div 6'!$H$72</definedName>
    <definedName name="OSRRefH22_2x_0" localSheetId="2">Summary!$H$170</definedName>
    <definedName name="OSRRefH22_3x_0" localSheetId="40">'200'!$H$26</definedName>
    <definedName name="OSRRefH22_3x_0" localSheetId="41">'201'!$H$44</definedName>
    <definedName name="OSRRefH22_3x_0" localSheetId="42">'202'!$H$44</definedName>
    <definedName name="OSRRefH22_3x_0" localSheetId="43">'203'!$H$44</definedName>
    <definedName name="OSRRefH22_3x_0" localSheetId="44">'204'!$H$44:$H$45</definedName>
    <definedName name="OSRRefH22_3x_0" localSheetId="45">'205'!$H$43</definedName>
    <definedName name="OSRRefH22_3x_0" localSheetId="46">'206'!$H$43</definedName>
    <definedName name="OSRRefH22_3x_0" localSheetId="48">'300'!$H$140:$H$141</definedName>
    <definedName name="OSRRefH22_3x_0" localSheetId="49">'300 &amp; 317'!$H$163:$H$164</definedName>
    <definedName name="OSRRefH22_3x_0" localSheetId="50">'301'!$H$44:$H$45</definedName>
    <definedName name="OSRRefH22_3x_0" localSheetId="52">'307'!$H$61</definedName>
    <definedName name="OSRRefH22_3x_0" localSheetId="53">'308'!$H$80</definedName>
    <definedName name="OSRRefH22_3x_0" localSheetId="64">'309'!$H$44</definedName>
    <definedName name="OSRRefH22_3x_0" localSheetId="63">'310'!$H$51</definedName>
    <definedName name="OSRRefH22_3x_0" localSheetId="71">'310 &amp; 491'!$H$55</definedName>
    <definedName name="OSRRefH22_3x_0" localSheetId="54">'311'!$H$79</definedName>
    <definedName name="OSRRefH22_3x_0" localSheetId="65">'313'!$H$46</definedName>
    <definedName name="OSRRefH22_3x_0" localSheetId="57">'315'!$H$103</definedName>
    <definedName name="OSRRefH22_3x_0" localSheetId="60">'316'!$H$53</definedName>
    <definedName name="OSRRefH22_3x_0" localSheetId="62">'317'!$H$74</definedName>
    <definedName name="OSRRefH22_3x_0" localSheetId="66">'321'!$H$48</definedName>
    <definedName name="OSRRefH22_3x_0" localSheetId="67">'322'!$H$45</definedName>
    <definedName name="OSRRefH22_3x_0" localSheetId="68">'325'!$H$47</definedName>
    <definedName name="OSRRefH22_3x_0" localSheetId="58">'326'!$H$69</definedName>
    <definedName name="OSRRefH22_3x_0" localSheetId="51">'330'!$H$61</definedName>
    <definedName name="OSRRefH22_3x_0" localSheetId="56">'331'!$H$103</definedName>
    <definedName name="OSRRefH22_3x_0" localSheetId="59">'332'!$H$53</definedName>
    <definedName name="OSRRefH22_3x_0" localSheetId="73">'405'!$H$45</definedName>
    <definedName name="OSRRefH22_3x_0" localSheetId="74">'406'!$H$26</definedName>
    <definedName name="OSRRefH22_3x_0" localSheetId="75">'411'!$H$43</definedName>
    <definedName name="OSRRefH22_3x_0" localSheetId="76">'412'!$H$44</definedName>
    <definedName name="OSRRefH22_3x_0" localSheetId="77">'413'!$H$46</definedName>
    <definedName name="OSRRefH22_3x_0" localSheetId="78">'414'!$H$47</definedName>
    <definedName name="OSRRefH22_3x_0" localSheetId="79">'415'!$H$50</definedName>
    <definedName name="OSRRefH22_3x_0" localSheetId="80">'418'!$H$45</definedName>
    <definedName name="OSRRefH22_3x_0" localSheetId="82">'423'!$H$42:$H$43</definedName>
    <definedName name="OSRRefH22_3x_0" localSheetId="83">'424'!$H$26</definedName>
    <definedName name="OSRRefH22_3x_0" localSheetId="84">'425'!$H$30</definedName>
    <definedName name="OSRRefH22_3x_0" localSheetId="87">'430'!$H$43</definedName>
    <definedName name="OSRRefH22_3x_0" localSheetId="88">'433'!$H$51</definedName>
    <definedName name="OSRRefH22_3x_0" localSheetId="90">'444'!$H$51</definedName>
    <definedName name="OSRRefH22_3x_0" localSheetId="91">'450'!$H$47</definedName>
    <definedName name="OSRRefH22_3x_0" localSheetId="72">'491'!$H$52</definedName>
    <definedName name="OSRRefH22_3x_0" localSheetId="86">'492'!$H$51</definedName>
    <definedName name="OSRRefH22_3x_0" localSheetId="93">'501'!$H$45</definedName>
    <definedName name="OSRRefH22_3x_0" localSheetId="39">'Div 2'!$H$46</definedName>
    <definedName name="OSRRefH22_3x_0" localSheetId="47">'Div 3'!$H$144:$H$145</definedName>
    <definedName name="OSRRefH22_3x_0" localSheetId="70">'Div 4'!$H$55</definedName>
    <definedName name="OSRRefH22_3x_0" localSheetId="92">'Div 5'!$H$45</definedName>
    <definedName name="OSRRefH22_3x_0" localSheetId="61">'Div 6'!$H$74</definedName>
    <definedName name="OSRRefH22_3x_0" localSheetId="2">Summary!$H$172:$H$173</definedName>
    <definedName name="OSRRefH22_4x_0" localSheetId="40">'200'!$H$28:$H$29</definedName>
    <definedName name="OSRRefH22_4x_0" localSheetId="41">'201'!$H$46</definedName>
    <definedName name="OSRRefH22_4x_0" localSheetId="42">'202'!$H$46:$H$47</definedName>
    <definedName name="OSRRefH22_4x_0" localSheetId="43">'203'!$H$46</definedName>
    <definedName name="OSRRefH22_4x_0" localSheetId="44">'204'!$H$47</definedName>
    <definedName name="OSRRefH22_4x_0" localSheetId="45">'205'!$H$45:$H$46</definedName>
    <definedName name="OSRRefH22_4x_0" localSheetId="46">'206'!$H$45</definedName>
    <definedName name="OSRRefH22_4x_0" localSheetId="48">'300'!$H$143</definedName>
    <definedName name="OSRRefH22_4x_0" localSheetId="49">'300 &amp; 317'!$H$166</definedName>
    <definedName name="OSRRefH22_4x_0" localSheetId="50">'301'!$H$47</definedName>
    <definedName name="OSRRefH22_4x_0" localSheetId="52">'307'!$H$63</definedName>
    <definedName name="OSRRefH22_4x_0" localSheetId="53">'308'!$H$82</definedName>
    <definedName name="OSRRefH22_4x_0" localSheetId="64">'309'!$H$46</definedName>
    <definedName name="OSRRefH22_4x_0" localSheetId="63">'310'!$H$53</definedName>
    <definedName name="OSRRefH22_4x_0" localSheetId="71">'310 &amp; 491'!$H$57</definedName>
    <definedName name="OSRRefH22_4x_0" localSheetId="54">'311'!$H$81</definedName>
    <definedName name="OSRRefH22_4x_0" localSheetId="65">'313'!$H$48</definedName>
    <definedName name="OSRRefH22_4x_0" localSheetId="57">'315'!$H$105</definedName>
    <definedName name="OSRRefH22_4x_0" localSheetId="60">'316'!$H$55</definedName>
    <definedName name="OSRRefH22_4x_0" localSheetId="62">'317'!$H$76</definedName>
    <definedName name="OSRRefH22_4x_0" localSheetId="66">'321'!$H$50</definedName>
    <definedName name="OSRRefH22_4x_0" localSheetId="67">'322'!$H$47</definedName>
    <definedName name="OSRRefH22_4x_0" localSheetId="68">'325'!$H$49</definedName>
    <definedName name="OSRRefH22_4x_0" localSheetId="58">'326'!$H$71</definedName>
    <definedName name="OSRRefH22_4x_0" localSheetId="51">'330'!$H$63</definedName>
    <definedName name="OSRRefH22_4x_0" localSheetId="56">'331'!$H$105</definedName>
    <definedName name="OSRRefH22_4x_0" localSheetId="59">'332'!$H$55</definedName>
    <definedName name="OSRRefH22_4x_0" localSheetId="73">'405'!$H$47:$H$48</definedName>
    <definedName name="OSRRefH22_4x_0" localSheetId="74">'406'!$H$28</definedName>
    <definedName name="OSRRefH22_4x_0" localSheetId="75">'411'!$H$45:$H$46</definedName>
    <definedName name="OSRRefH22_4x_0" localSheetId="76">'412'!$H$46:$H$47</definedName>
    <definedName name="OSRRefH22_4x_0" localSheetId="77">'413'!$H$48</definedName>
    <definedName name="OSRRefH22_4x_0" localSheetId="78">'414'!$H$49</definedName>
    <definedName name="OSRRefH22_4x_0" localSheetId="79">'415'!$H$52</definedName>
    <definedName name="OSRRefH22_4x_0" localSheetId="80">'418'!$H$47:$H$48</definedName>
    <definedName name="OSRRefH22_4x_0" localSheetId="82">'423'!$H$45</definedName>
    <definedName name="OSRRefH22_4x_0" localSheetId="84">'425'!$H$32:$H$33</definedName>
    <definedName name="OSRRefH22_4x_0" localSheetId="87">'430'!$H$45:$H$47</definedName>
    <definedName name="OSRRefH22_4x_0" localSheetId="88">'433'!$H$53</definedName>
    <definedName name="OSRRefH22_4x_0" localSheetId="90">'444'!$H$53</definedName>
    <definedName name="OSRRefH22_4x_0" localSheetId="91">'450'!$H$49</definedName>
    <definedName name="OSRRefH22_4x_0" localSheetId="72">'491'!$H$54</definedName>
    <definedName name="OSRRefH22_4x_0" localSheetId="86">'492'!$H$53</definedName>
    <definedName name="OSRRefH22_4x_0" localSheetId="93">'501'!$H$47</definedName>
    <definedName name="OSRRefH22_4x_0" localSheetId="39">'Div 2'!$H$48</definedName>
    <definedName name="OSRRefH22_4x_0" localSheetId="47">'Div 3'!$H$147</definedName>
    <definedName name="OSRRefH22_4x_0" localSheetId="70">'Div 4'!$H$57</definedName>
    <definedName name="OSRRefH22_4x_0" localSheetId="92">'Div 5'!$H$47</definedName>
    <definedName name="OSRRefH22_4x_0" localSheetId="61">'Div 6'!$H$76</definedName>
    <definedName name="OSRRefH22_4x_0" localSheetId="2">Summary!$H$175</definedName>
    <definedName name="OSRRefH22_5x_0" localSheetId="41">'201'!$H$48</definedName>
    <definedName name="OSRRefH22_5x_0" localSheetId="42">'202'!$H$49</definedName>
    <definedName name="OSRRefH22_5x_0" localSheetId="43">'203'!$H$48</definedName>
    <definedName name="OSRRefH22_5x_0" localSheetId="44">'204'!$H$49</definedName>
    <definedName name="OSRRefH22_5x_0" localSheetId="45">'205'!$H$48</definedName>
    <definedName name="OSRRefH22_5x_0" localSheetId="46">'206'!$H$47</definedName>
    <definedName name="OSRRefH22_5x_0" localSheetId="48">'300'!$H$145:$H$146</definedName>
    <definedName name="OSRRefH22_5x_0" localSheetId="49">'300 &amp; 317'!$H$168:$H$169</definedName>
    <definedName name="OSRRefH22_5x_0" localSheetId="50">'301'!$H$49:$H$50</definedName>
    <definedName name="OSRRefH22_5x_0" localSheetId="52">'307'!$H$65:$H$66</definedName>
    <definedName name="OSRRefH22_5x_0" localSheetId="53">'308'!$H$84</definedName>
    <definedName name="OSRRefH22_5x_0" localSheetId="64">'309'!$H$48</definedName>
    <definedName name="OSRRefH22_5x_0" localSheetId="63">'310'!$H$55:$H$56</definedName>
    <definedName name="OSRRefH22_5x_0" localSheetId="71">'310 &amp; 491'!$H$59:$H$61</definedName>
    <definedName name="OSRRefH22_5x_0" localSheetId="54">'311'!$H$83</definedName>
    <definedName name="OSRRefH22_5x_0" localSheetId="65">'313'!$H$50</definedName>
    <definedName name="OSRRefH22_5x_0" localSheetId="57">'315'!$H$107</definedName>
    <definedName name="OSRRefH22_5x_0" localSheetId="60">'316'!$H$57</definedName>
    <definedName name="OSRRefH22_5x_0" localSheetId="62">'317'!$H$78</definedName>
    <definedName name="OSRRefH22_5x_0" localSheetId="66">'321'!$H$52</definedName>
    <definedName name="OSRRefH22_5x_0" localSheetId="67">'322'!$H$49</definedName>
    <definedName name="OSRRefH22_5x_0" localSheetId="68">'325'!$H$51:$H$52</definedName>
    <definedName name="OSRRefH22_5x_0" localSheetId="58">'326'!$H$73</definedName>
    <definedName name="OSRRefH22_5x_0" localSheetId="51">'330'!$H$65:$H$66</definedName>
    <definedName name="OSRRefH22_5x_0" localSheetId="56">'331'!$H$107</definedName>
    <definedName name="OSRRefH22_5x_0" localSheetId="59">'332'!$H$57</definedName>
    <definedName name="OSRRefH22_5x_0" localSheetId="73">'405'!$H$50</definedName>
    <definedName name="OSRRefH22_5x_0" localSheetId="75">'411'!$H$48</definedName>
    <definedName name="OSRRefH22_5x_0" localSheetId="76">'412'!$H$49</definedName>
    <definedName name="OSRRefH22_5x_0" localSheetId="77">'413'!$H$50</definedName>
    <definedName name="OSRRefH22_5x_0" localSheetId="78">'414'!$H$51</definedName>
    <definedName name="OSRRefH22_5x_0" localSheetId="79">'415'!$H$54:$H$55</definedName>
    <definedName name="OSRRefH22_5x_0" localSheetId="80">'418'!$H$50</definedName>
    <definedName name="OSRRefH22_5x_0" localSheetId="82">'423'!$H$47</definedName>
    <definedName name="OSRRefH22_5x_0" localSheetId="84">'425'!$H$35</definedName>
    <definedName name="OSRRefH22_5x_0" localSheetId="87">'430'!$H$49:$H$50</definedName>
    <definedName name="OSRRefH22_5x_0" localSheetId="88">'433'!$H$55</definedName>
    <definedName name="OSRRefH22_5x_0" localSheetId="90">'444'!$H$55</definedName>
    <definedName name="OSRRefH22_5x_0" localSheetId="91">'450'!$H$51</definedName>
    <definedName name="OSRRefH22_5x_0" localSheetId="72">'491'!$H$56:$H$58</definedName>
    <definedName name="OSRRefH22_5x_0" localSheetId="86">'492'!$H$55</definedName>
    <definedName name="OSRRefH22_5x_0" localSheetId="93">'501'!$H$49:$H$50</definedName>
    <definedName name="OSRRefH22_5x_0" localSheetId="39">'Div 2'!$H$50:$H$51</definedName>
    <definedName name="OSRRefH22_5x_0" localSheetId="47">'Div 3'!$H$149:$H$150</definedName>
    <definedName name="OSRRefH22_5x_0" localSheetId="70">'Div 4'!$H$59:$H$61</definedName>
    <definedName name="OSRRefH22_5x_0" localSheetId="92">'Div 5'!$H$49:$H$50</definedName>
    <definedName name="OSRRefH22_5x_0" localSheetId="61">'Div 6'!$H$78</definedName>
    <definedName name="OSRRefH22_5x_0" localSheetId="2">Summary!$H$177:$H$179</definedName>
    <definedName name="OSRRefH22_6x_0" localSheetId="41">'201'!$H$50</definedName>
    <definedName name="OSRRefH22_6x_0" localSheetId="42">'202'!$H$51</definedName>
    <definedName name="OSRRefH22_6x_0" localSheetId="43">'203'!$H$50</definedName>
    <definedName name="OSRRefH22_6x_0" localSheetId="44">'204'!$H$51</definedName>
    <definedName name="OSRRefH22_6x_0" localSheetId="45">'205'!$H$50:$H$52</definedName>
    <definedName name="OSRRefH22_6x_0" localSheetId="46">'206'!$H$49</definedName>
    <definedName name="OSRRefH22_6x_0" localSheetId="48">'300'!$H$148:$H$149</definedName>
    <definedName name="OSRRefH22_6x_0" localSheetId="49">'300 &amp; 317'!$H$171:$H$172</definedName>
    <definedName name="OSRRefH22_6x_0" localSheetId="50">'301'!$H$52</definedName>
    <definedName name="OSRRefH22_6x_0" localSheetId="52">'307'!$H$68</definedName>
    <definedName name="OSRRefH22_6x_0" localSheetId="53">'308'!$H$86:$H$87</definedName>
    <definedName name="OSRRefH22_6x_0" localSheetId="64">'309'!$H$50</definedName>
    <definedName name="OSRRefH22_6x_0" localSheetId="63">'310'!$H$58</definedName>
    <definedName name="OSRRefH22_6x_0" localSheetId="71">'310 &amp; 491'!$H$63</definedName>
    <definedName name="OSRRefH22_6x_0" localSheetId="54">'311'!$H$85:$H$86</definedName>
    <definedName name="OSRRefH22_6x_0" localSheetId="65">'313'!$H$52:$H$53</definedName>
    <definedName name="OSRRefH22_6x_0" localSheetId="57">'315'!$H$109</definedName>
    <definedName name="OSRRefH22_6x_0" localSheetId="60">'316'!$H$59:$H$60</definedName>
    <definedName name="OSRRefH22_6x_0" localSheetId="62">'317'!$H$80:$H$81</definedName>
    <definedName name="OSRRefH22_6x_0" localSheetId="66">'321'!$H$54</definedName>
    <definedName name="OSRRefH22_6x_0" localSheetId="67">'322'!$H$51</definedName>
    <definedName name="OSRRefH22_6x_0" localSheetId="68">'325'!$H$54</definedName>
    <definedName name="OSRRefH22_6x_0" localSheetId="58">'326'!$H$75</definedName>
    <definedName name="OSRRefH22_6x_0" localSheetId="51">'330'!$H$68</definedName>
    <definedName name="OSRRefH22_6x_0" localSheetId="56">'331'!$H$109</definedName>
    <definedName name="OSRRefH22_6x_0" localSheetId="59">'332'!$H$59:$H$60</definedName>
    <definedName name="OSRRefH22_6x_0" localSheetId="73">'405'!$H$52</definedName>
    <definedName name="OSRRefH22_6x_0" localSheetId="75">'411'!$H$50</definedName>
    <definedName name="OSRRefH22_6x_0" localSheetId="76">'412'!$H$51</definedName>
    <definedName name="OSRRefH22_6x_0" localSheetId="77">'413'!$H$52</definedName>
    <definedName name="OSRRefH22_6x_0" localSheetId="78">'414'!$H$53</definedName>
    <definedName name="OSRRefH22_6x_0" localSheetId="79">'415'!$H$57</definedName>
    <definedName name="OSRRefH22_6x_0" localSheetId="80">'418'!$H$52</definedName>
    <definedName name="OSRRefH22_6x_0" localSheetId="82">'423'!$H$49</definedName>
    <definedName name="OSRRefH22_6x_0" localSheetId="87">'430'!$H$52</definedName>
    <definedName name="OSRRefH22_6x_0" localSheetId="88">'433'!$H$57</definedName>
    <definedName name="OSRRefH22_6x_0" localSheetId="90">'444'!$H$57</definedName>
    <definedName name="OSRRefH22_6x_0" localSheetId="91">'450'!$H$53</definedName>
    <definedName name="OSRRefH22_6x_0" localSheetId="72">'491'!$H$60</definedName>
    <definedName name="OSRRefH22_6x_0" localSheetId="86">'492'!$H$57</definedName>
    <definedName name="OSRRefH22_6x_0" localSheetId="93">'501'!$H$52</definedName>
    <definedName name="OSRRefH22_6x_0" localSheetId="39">'Div 2'!$H$53</definedName>
    <definedName name="OSRRefH22_6x_0" localSheetId="47">'Div 3'!$H$152:$H$153</definedName>
    <definedName name="OSRRefH22_6x_0" localSheetId="70">'Div 4'!$H$63</definedName>
    <definedName name="OSRRefH22_6x_0" localSheetId="92">'Div 5'!$H$52</definedName>
    <definedName name="OSRRefH22_6x_0" localSheetId="61">'Div 6'!$H$80:$H$81</definedName>
    <definedName name="OSRRefH22_6x_0" localSheetId="2">Summary!$H$181:$H$182</definedName>
    <definedName name="OSRRefH22_7x_0" localSheetId="41">'201'!$H$52</definedName>
    <definedName name="OSRRefH22_7x_0" localSheetId="42">'202'!$H$53:$H$54</definedName>
    <definedName name="OSRRefH22_7x_0" localSheetId="43">'203'!$H$52:$H$53</definedName>
    <definedName name="OSRRefH22_7x_0" localSheetId="44">'204'!$H$53:$H$55</definedName>
    <definedName name="OSRRefH22_7x_0" localSheetId="45">'205'!$H$54</definedName>
    <definedName name="OSRRefH22_7x_0" localSheetId="46">'206'!$H$51</definedName>
    <definedName name="OSRRefH22_7x_0" localSheetId="48">'300'!$H$151:$H$152</definedName>
    <definedName name="OSRRefH22_7x_0" localSheetId="49">'300 &amp; 317'!$H$174:$H$175</definedName>
    <definedName name="OSRRefH22_7x_0" localSheetId="50">'301'!$H$54</definedName>
    <definedName name="OSRRefH22_7x_0" localSheetId="52">'307'!$H$70</definedName>
    <definedName name="OSRRefH22_7x_0" localSheetId="53">'308'!$H$89:$H$90</definedName>
    <definedName name="OSRRefH22_7x_0" localSheetId="64">'309'!$H$52:$H$53</definedName>
    <definedName name="OSRRefH22_7x_0" localSheetId="63">'310'!$H$60</definedName>
    <definedName name="OSRRefH22_7x_0" localSheetId="71">'310 &amp; 491'!$H$65</definedName>
    <definedName name="OSRRefH22_7x_0" localSheetId="54">'311'!$H$88:$H$89</definedName>
    <definedName name="OSRRefH22_7x_0" localSheetId="65">'313'!$H$55</definedName>
    <definedName name="OSRRefH22_7x_0" localSheetId="57">'315'!$H$111:$H$112</definedName>
    <definedName name="OSRRefH22_7x_0" localSheetId="60">'316'!$H$62:$H$63</definedName>
    <definedName name="OSRRefH22_7x_0" localSheetId="62">'317'!$H$83</definedName>
    <definedName name="OSRRefH22_7x_0" localSheetId="66">'321'!$H$56:$H$57</definedName>
    <definedName name="OSRRefH22_7x_0" localSheetId="67">'322'!$H$53:$H$54</definedName>
    <definedName name="OSRRefH22_7x_0" localSheetId="68">'325'!$H$56</definedName>
    <definedName name="OSRRefH22_7x_0" localSheetId="58">'326'!$H$77</definedName>
    <definedName name="OSRRefH22_7x_0" localSheetId="51">'330'!$H$70</definedName>
    <definedName name="OSRRefH22_7x_0" localSheetId="56">'331'!$H$111</definedName>
    <definedName name="OSRRefH22_7x_0" localSheetId="59">'332'!$H$62:$H$63</definedName>
    <definedName name="OSRRefH22_7x_0" localSheetId="73">'405'!$H$54</definedName>
    <definedName name="OSRRefH22_7x_0" localSheetId="75">'411'!$H$52</definedName>
    <definedName name="OSRRefH22_7x_0" localSheetId="76">'412'!$H$53</definedName>
    <definedName name="OSRRefH22_7x_0" localSheetId="77">'413'!$H$54</definedName>
    <definedName name="OSRRefH22_7x_0" localSheetId="78">'414'!$H$55</definedName>
    <definedName name="OSRRefH22_7x_0" localSheetId="79">'415'!$H$59</definedName>
    <definedName name="OSRRefH22_7x_0" localSheetId="80">'418'!$H$54</definedName>
    <definedName name="OSRRefH22_7x_0" localSheetId="87">'430'!$H$54</definedName>
    <definedName name="OSRRefH22_7x_0" localSheetId="88">'433'!$H$59</definedName>
    <definedName name="OSRRefH22_7x_0" localSheetId="90">'444'!$H$59</definedName>
    <definedName name="OSRRefH22_7x_0" localSheetId="91">'450'!$H$55</definedName>
    <definedName name="OSRRefH22_7x_0" localSheetId="72">'491'!$H$62</definedName>
    <definedName name="OSRRefH22_7x_0" localSheetId="86">'492'!$H$59</definedName>
    <definedName name="OSRRefH22_7x_0" localSheetId="93">'501'!$H$54</definedName>
    <definedName name="OSRRefH22_7x_0" localSheetId="39">'Div 2'!$H$55</definedName>
    <definedName name="OSRRefH22_7x_0" localSheetId="47">'Div 3'!$H$155:$H$156</definedName>
    <definedName name="OSRRefH22_7x_0" localSheetId="70">'Div 4'!$H$65</definedName>
    <definedName name="OSRRefH22_7x_0" localSheetId="92">'Div 5'!$H$54</definedName>
    <definedName name="OSRRefH22_7x_0" localSheetId="61">'Div 6'!$H$83</definedName>
    <definedName name="OSRRefH22_7x_0" localSheetId="2">Summary!$H$184:$H$185</definedName>
    <definedName name="OSRRefH22_8x_0" localSheetId="41">'201'!$H$54</definedName>
    <definedName name="OSRRefH22_8x_0" localSheetId="42">'202'!$H$56</definedName>
    <definedName name="OSRRefH22_8x_0" localSheetId="43">'203'!$H$55:$H$57</definedName>
    <definedName name="OSRRefH22_8x_0" localSheetId="44">'204'!$H$57:$H$58</definedName>
    <definedName name="OSRRefH22_8x_0" localSheetId="46">'206'!$H$53:$H$54</definedName>
    <definedName name="OSRRefH22_8x_0" localSheetId="48">'300'!$H$154</definedName>
    <definedName name="OSRRefH22_8x_0" localSheetId="49">'300 &amp; 317'!$H$177</definedName>
    <definedName name="OSRRefH22_8x_0" localSheetId="50">'301'!$H$56</definedName>
    <definedName name="OSRRefH22_8x_0" localSheetId="52">'307'!$H$72</definedName>
    <definedName name="OSRRefH22_8x_0" localSheetId="53">'308'!$H$92</definedName>
    <definedName name="OSRRefH22_8x_0" localSheetId="64">'309'!$H$55:$H$56</definedName>
    <definedName name="OSRRefH22_8x_0" localSheetId="63">'310'!$H$62</definedName>
    <definedName name="OSRRefH22_8x_0" localSheetId="71">'310 &amp; 491'!$H$67:$H$68</definedName>
    <definedName name="OSRRefH22_8x_0" localSheetId="54">'311'!$H$91</definedName>
    <definedName name="OSRRefH22_8x_0" localSheetId="65">'313'!$H$57:$H$59</definedName>
    <definedName name="OSRRefH22_8x_0" localSheetId="57">'315'!$H$114</definedName>
    <definedName name="OSRRefH22_8x_0" localSheetId="60">'316'!$H$65</definedName>
    <definedName name="OSRRefH22_8x_0" localSheetId="62">'317'!$H$85</definedName>
    <definedName name="OSRRefH22_8x_0" localSheetId="66">'321'!$H$59:$H$60</definedName>
    <definedName name="OSRRefH22_8x_0" localSheetId="67">'322'!$H$56:$H$57</definedName>
    <definedName name="OSRRefH22_8x_0" localSheetId="68">'325'!$H$58</definedName>
    <definedName name="OSRRefH22_8x_0" localSheetId="58">'326'!$H$79:$H$80</definedName>
    <definedName name="OSRRefH22_8x_0" localSheetId="51">'330'!$H$72</definedName>
    <definedName name="OSRRefH22_8x_0" localSheetId="56">'331'!$H$113:$H$114</definedName>
    <definedName name="OSRRefH22_8x_0" localSheetId="59">'332'!$H$65</definedName>
    <definedName name="OSRRefH22_8x_0" localSheetId="73">'405'!$H$56</definedName>
    <definedName name="OSRRefH22_8x_0" localSheetId="75">'411'!$H$54</definedName>
    <definedName name="OSRRefH22_8x_0" localSheetId="76">'412'!$H$55:$H$56</definedName>
    <definedName name="OSRRefH22_8x_0" localSheetId="77">'413'!$H$56:$H$58</definedName>
    <definedName name="OSRRefH22_8x_0" localSheetId="78">'414'!$H$57:$H$58</definedName>
    <definedName name="OSRRefH22_8x_0" localSheetId="79">'415'!$H$61</definedName>
    <definedName name="OSRRefH22_8x_0" localSheetId="80">'418'!$H$56:$H$58</definedName>
    <definedName name="OSRRefH22_8x_0" localSheetId="88">'433'!$H$61</definedName>
    <definedName name="OSRRefH22_8x_0" localSheetId="90">'444'!$H$61</definedName>
    <definedName name="OSRRefH22_8x_0" localSheetId="91">'450'!$H$57</definedName>
    <definedName name="OSRRefH22_8x_0" localSheetId="72">'491'!$H$64</definedName>
    <definedName name="OSRRefH22_8x_0" localSheetId="86">'492'!$H$61</definedName>
    <definedName name="OSRRefH22_8x_0" localSheetId="93">'501'!$H$56</definedName>
    <definedName name="OSRRefH22_8x_0" localSheetId="39">'Div 2'!$H$57</definedName>
    <definedName name="OSRRefH22_8x_0" localSheetId="47">'Div 3'!$H$158</definedName>
    <definedName name="OSRRefH22_8x_0" localSheetId="70">'Div 4'!$H$67</definedName>
    <definedName name="OSRRefH22_8x_0" localSheetId="92">'Div 5'!$H$56</definedName>
    <definedName name="OSRRefH22_8x_0" localSheetId="61">'Div 6'!$H$85</definedName>
    <definedName name="OSRRefH22_8x_0" localSheetId="2">Summary!$H$187</definedName>
    <definedName name="OSRRefH22_9x_0" localSheetId="41">'201'!$H$56</definedName>
    <definedName name="OSRRefH22_9x_0" localSheetId="42">'202'!$H$58:$H$60</definedName>
    <definedName name="OSRRefH22_9x_0" localSheetId="43">'203'!$H$59:$H$60</definedName>
    <definedName name="OSRRefH22_9x_0" localSheetId="44">'204'!$H$60</definedName>
    <definedName name="OSRRefH22_9x_0" localSheetId="46">'206'!$H$56</definedName>
    <definedName name="OSRRefH22_9x_0" localSheetId="48">'300'!$H$156</definedName>
    <definedName name="OSRRefH22_9x_0" localSheetId="49">'300 &amp; 317'!$H$179</definedName>
    <definedName name="OSRRefH22_9x_0" localSheetId="50">'301'!$H$58</definedName>
    <definedName name="OSRRefH22_9x_0" localSheetId="52">'307'!$H$74:$H$75</definedName>
    <definedName name="OSRRefH22_9x_0" localSheetId="53">'308'!$H$94:$H$95</definedName>
    <definedName name="OSRRefH22_9x_0" localSheetId="64">'309'!$H$58:$H$59</definedName>
    <definedName name="OSRRefH22_9x_0" localSheetId="63">'310'!$H$64</definedName>
    <definedName name="OSRRefH22_9x_0" localSheetId="71">'310 &amp; 491'!$H$70</definedName>
    <definedName name="OSRRefH22_9x_0" localSheetId="54">'311'!$H$93:$H$94</definedName>
    <definedName name="OSRRefH22_9x_0" localSheetId="65">'313'!$H$61:$H$62</definedName>
    <definedName name="OSRRefH22_9x_0" localSheetId="57">'315'!$H$116</definedName>
    <definedName name="OSRRefH22_9x_0" localSheetId="60">'316'!$H$67:$H$71</definedName>
    <definedName name="OSRRefH22_9x_0" localSheetId="62">'317'!$H$87</definedName>
    <definedName name="OSRRefH22_9x_0" localSheetId="66">'321'!$H$62:$H$63</definedName>
    <definedName name="OSRRefH22_9x_0" localSheetId="67">'322'!$H$59:$H$62</definedName>
    <definedName name="OSRRefH22_9x_0" localSheetId="68">'325'!$H$60</definedName>
    <definedName name="OSRRefH22_9x_0" localSheetId="58">'326'!$H$82</definedName>
    <definedName name="OSRRefH22_9x_0" localSheetId="51">'330'!$H$74:$H$75</definedName>
    <definedName name="OSRRefH22_9x_0" localSheetId="56">'331'!$H$116:$H$117</definedName>
    <definedName name="OSRRefH22_9x_0" localSheetId="59">'332'!$H$67:$H$71</definedName>
    <definedName name="OSRRefH22_9x_0" localSheetId="73">'405'!$H$58:$H$59</definedName>
    <definedName name="OSRRefH22_9x_0" localSheetId="75">'411'!$H$56:$H$57</definedName>
    <definedName name="OSRRefH22_9x_0" localSheetId="76">'412'!$H$58</definedName>
    <definedName name="OSRRefH22_9x_0" localSheetId="77">'413'!$H$60:$H$61</definedName>
    <definedName name="OSRRefH22_9x_0" localSheetId="78">'414'!$H$60</definedName>
    <definedName name="OSRRefH22_9x_0" localSheetId="79">'415'!$H$63</definedName>
    <definedName name="OSRRefH22_9x_0" localSheetId="80">'418'!$H$60:$H$61</definedName>
    <definedName name="OSRRefH22_9x_0" localSheetId="88">'433'!$H$63</definedName>
    <definedName name="OSRRefH22_9x_0" localSheetId="90">'444'!$H$63</definedName>
    <definedName name="OSRRefH22_9x_0" localSheetId="91">'450'!$H$59</definedName>
    <definedName name="OSRRefH22_9x_0" localSheetId="72">'491'!$H$66</definedName>
    <definedName name="OSRRefH22_9x_0" localSheetId="86">'492'!$H$63</definedName>
    <definedName name="OSRRefH22_9x_0" localSheetId="93">'501'!$H$58:$H$61</definedName>
    <definedName name="OSRRefH22_9x_0" localSheetId="39">'Div 2'!$H$59:$H$60</definedName>
    <definedName name="OSRRefH22_9x_0" localSheetId="47">'Div 3'!$H$160</definedName>
    <definedName name="OSRRefH22_9x_0" localSheetId="70">'Div 4'!$H$69</definedName>
    <definedName name="OSRRefH22_9x_0" localSheetId="92">'Div 5'!$H$58:$H$61</definedName>
    <definedName name="OSRRefH22_9x_0" localSheetId="61">'Div 6'!$H$87</definedName>
    <definedName name="OSRRefH22_9x_0" localSheetId="2">Summary!$H$189</definedName>
    <definedName name="OSRRefH22x_0" localSheetId="40">'200'!$H$20,'200'!$H$22,'200'!$H$24,'200'!$H$26,'200'!$H$28:$H$29</definedName>
    <definedName name="OSRRefH22x_0" localSheetId="41">'201'!$H$21:$H$29,'201'!$H$31:$H$40,'201'!$H$42,'201'!$H$44,'201'!$H$46,'201'!$H$48,'201'!$H$50,'201'!$H$52,'201'!$H$54,'201'!$H$56,'201'!$H$58:$H$60,'201'!$H$62,'201'!$H$64,'201'!$H$66:$H$68,'201'!$H$70,'201'!$H$72,'201'!$H$74</definedName>
    <definedName name="OSRRefH22x_0" localSheetId="42">'202'!$H$21:$H$29,'202'!$H$31:$H$40,'202'!$H$42,'202'!$H$44,'202'!$H$46:$H$47,'202'!$H$49,'202'!$H$51,'202'!$H$53:$H$54,'202'!$H$56,'202'!$H$58:$H$60,'202'!$H$62,'202'!$H$64,'202'!$H$66</definedName>
    <definedName name="OSRRefH22x_0" localSheetId="43">'203'!$H$20:$H$29,'203'!$H$31:$H$40,'203'!$H$42,'203'!$H$44,'203'!$H$46,'203'!$H$48,'203'!$H$50,'203'!$H$52:$H$53,'203'!$H$55:$H$57,'203'!$H$59:$H$60,'203'!$H$62,'203'!$H$64:$H$66,'203'!$H$68,'203'!$H$70,'203'!$H$72</definedName>
    <definedName name="OSRRefH22x_0" localSheetId="44">'204'!$H$20:$H$29,'204'!$H$31:$H$40,'204'!$H$42,'204'!$H$44:$H$45,'204'!$H$47,'204'!$H$49,'204'!$H$51,'204'!$H$53:$H$55,'204'!$H$57:$H$58,'204'!$H$60,'204'!$H$62:$H$63,'204'!$H$65,'204'!$H$67</definedName>
    <definedName name="OSRRefH22x_0" localSheetId="45">'205'!$H$20:$H$28,'205'!$H$30:$H$39,'205'!$H$41,'205'!$H$43,'205'!$H$45:$H$46,'205'!$H$48,'205'!$H$50:$H$52,'205'!$H$54</definedName>
    <definedName name="OSRRefH22x_0" localSheetId="46">'206'!$H$20:$H$28,'206'!$H$30:$H$39,'206'!$H$41,'206'!$H$43,'206'!$H$45,'206'!$H$47,'206'!$H$49,'206'!$H$51,'206'!$H$53:$H$54,'206'!$H$56</definedName>
    <definedName name="OSRRefH22x_0" localSheetId="48">'300'!$H$116:$H$125,'300'!$H$127:$H$136,'300'!$H$138,'300'!$H$140:$H$141,'300'!$H$143,'300'!$H$145:$H$146,'300'!$H$148:$H$149,'300'!$H$151:$H$152,'300'!$H$154,'300'!$H$156,'300'!$H$158:$H$159,'300'!$H$161:$H$163,'300'!$H$165,'300'!$H$167,'300'!$H$169,'300'!$H$171,'300'!$H$173:$H$176,'300'!$H$178:$H$181,'300'!$H$183:$H$186,'300'!$H$188:$H$189,'300'!$H$191:$H$199,'300'!$H$201:$H$202,'300'!$H$204,'300'!$H$206:$H$208,'300'!$H$210</definedName>
    <definedName name="OSRRefH22x_0" localSheetId="49">'300 &amp; 317'!$H$139:$H$148,'300 &amp; 317'!$H$150:$H$159,'300 &amp; 317'!$H$161,'300 &amp; 317'!$H$163:$H$164,'300 &amp; 317'!$H$166,'300 &amp; 317'!$H$168:$H$169,'300 &amp; 317'!$H$171:$H$172,'300 &amp; 317'!$H$174:$H$175,'300 &amp; 317'!$H$177,'300 &amp; 317'!$H$179,'300 &amp; 317'!$H$181:$H$182,'300 &amp; 317'!$H$184:$H$186,'300 &amp; 317'!$H$188,'300 &amp; 317'!$H$190,'300 &amp; 317'!$H$192,'300 &amp; 317'!$H$194,'300 &amp; 317'!$H$196:$H$199,'300 &amp; 317'!$H$201:$H$204,'300 &amp; 317'!$H$206:$H$209,'300 &amp; 317'!$H$211:$H$212,'300 &amp; 317'!$H$214:$H$222,'300 &amp; 317'!$H$224:$H$225,'300 &amp; 317'!$H$227,'300 &amp; 317'!$H$229:$H$231,'300 &amp; 317'!$H$233</definedName>
    <definedName name="OSRRefH22x_0" localSheetId="50">'301'!$H$20:$H$29,'301'!$H$31:$H$40,'301'!$H$42,'301'!$H$44:$H$45,'301'!$H$47,'301'!$H$49:$H$50,'301'!$H$52,'301'!$H$54,'301'!$H$56,'301'!$H$58,'301'!$H$60,'301'!$H$62,'301'!$H$64,'301'!$H$66,'301'!$H$68:$H$71,'301'!$H$73:$H$75,'301'!$H$77,'301'!$H$79:$H$85,'301'!$H$87,'301'!$H$89,'301'!$H$91:$H$92,'301'!$H$94</definedName>
    <definedName name="OSRRefH22x_0" localSheetId="52">'307'!$H$39:$H$46,'307'!$H$48:$H$57,'307'!$H$59,'307'!$H$61,'307'!$H$63,'307'!$H$65:$H$66,'307'!$H$68,'307'!$H$70,'307'!$H$72,'307'!$H$74:$H$75,'307'!$H$77:$H$78,'307'!$H$80:$H$83,'307'!$H$85:$H$86,'307'!$H$88</definedName>
    <definedName name="OSRRefH22x_0" localSheetId="53">'308'!$H$56:$H$65,'308'!$H$67:$H$76,'308'!$H$78,'308'!$H$80,'308'!$H$82,'308'!$H$84,'308'!$H$86:$H$87,'308'!$H$89:$H$90,'308'!$H$92,'308'!$H$94:$H$95,'308'!$H$97,'308'!$H$99:$H$101,'308'!$H$103:$H$104,'308'!$H$106</definedName>
    <definedName name="OSRRefH22x_0" localSheetId="64">'309'!$H$22:$H$29,'309'!$H$31:$H$40,'309'!$H$42,'309'!$H$44,'309'!$H$46,'309'!$H$48,'309'!$H$50,'309'!$H$52:$H$53,'309'!$H$55:$H$56,'309'!$H$58:$H$59,'309'!$H$61</definedName>
    <definedName name="OSRRefH22x_0" localSheetId="63">'310'!$H$28:$H$36,'310'!$H$38:$H$47,'310'!$H$49,'310'!$H$51,'310'!$H$53,'310'!$H$55:$H$56,'310'!$H$58,'310'!$H$60,'310'!$H$62,'310'!$H$64,'310'!$H$66,'310'!$H$68,'310'!$H$70,'310'!$H$72:$H$75,'310'!$H$77:$H$78,'310'!$H$80:$H$83,'310'!$H$85,'310'!$H$87:$H$93,'310'!$H$95:$H$96,'310'!$H$98,'310'!$H$100,'310'!$H$102</definedName>
    <definedName name="OSRRefH22x_0" localSheetId="71">'310 &amp; 491'!$H$32:$H$40,'310 &amp; 491'!$H$42:$H$51,'310 &amp; 491'!$H$53,'310 &amp; 491'!$H$55,'310 &amp; 491'!$H$57,'310 &amp; 491'!$H$59:$H$61,'310 &amp; 491'!$H$63,'310 &amp; 491'!$H$65,'310 &amp; 491'!$H$67:$H$68,'310 &amp; 491'!$H$70,'310 &amp; 491'!$H$72,'310 &amp; 491'!$H$74,'310 &amp; 491'!$H$76,'310 &amp; 491'!$H$78:$H$81,'310 &amp; 491'!$H$83:$H$84,'310 &amp; 491'!$H$86:$H$90,'310 &amp; 491'!$H$92:$H$93,'310 &amp; 491'!$H$95:$H$105,'310 &amp; 491'!$H$107:$H$108,'310 &amp; 491'!$H$110,'310 &amp; 491'!$H$112:$H$114,'310 &amp; 491'!$H$116</definedName>
    <definedName name="OSRRefH22x_0" localSheetId="54">'311'!$H$55:$H$64,'311'!$H$66:$H$75,'311'!$H$77,'311'!$H$79,'311'!$H$81,'311'!$H$83,'311'!$H$85:$H$86,'311'!$H$88:$H$89,'311'!$H$91,'311'!$H$93:$H$94,'311'!$H$96,'311'!$H$98:$H$100,'311'!$H$102:$H$103,'311'!$H$105</definedName>
    <definedName name="OSRRefH22x_0" localSheetId="65">'313'!$H$23:$H$31,'313'!$H$33:$H$42,'313'!$H$44,'313'!$H$46,'313'!$H$48,'313'!$H$50,'313'!$H$52:$H$53,'313'!$H$55,'313'!$H$57:$H$59,'313'!$H$61:$H$62,'313'!$H$64,'313'!$H$66</definedName>
    <definedName name="OSRRefH22x_0" localSheetId="57">'315'!$H$80:$H$88,'315'!$H$90:$H$99,'315'!$H$101,'315'!$H$103,'315'!$H$105,'315'!$H$107,'315'!$H$109,'315'!$H$111:$H$112,'315'!$H$114,'315'!$H$116,'315'!$H$118,'315'!$H$120,'315'!$H$122:$H$124,'315'!$H$126:$H$127,'315'!$H$129:$H$135,'315'!$H$137,'315'!$H$139,'315'!$H$141:$H$142</definedName>
    <definedName name="OSRRefH22x_0" localSheetId="60">'316'!$H$30:$H$38,'316'!$H$40:$H$49,'316'!$H$51,'316'!$H$53,'316'!$H$55,'316'!$H$57,'316'!$H$59:$H$60,'316'!$H$62:$H$63,'316'!$H$65,'316'!$H$67:$H$71,'316'!$H$73,'316'!$H$75</definedName>
    <definedName name="OSRRefH22x_0" localSheetId="62">'317'!$H$50:$H$59,'317'!$H$61:$H$70,'317'!$H$72,'317'!$H$74,'317'!$H$76,'317'!$H$78,'317'!$H$80:$H$81,'317'!$H$83,'317'!$H$85,'317'!$H$87,'317'!$H$89:$H$91,'317'!$H$93,'317'!$H$95</definedName>
    <definedName name="OSRRefH22x_0" localSheetId="66">'321'!$H$25:$H$33,'321'!$H$35:$H$44,'321'!$H$46,'321'!$H$48,'321'!$H$50,'321'!$H$52,'321'!$H$54,'321'!$H$56:$H$57,'321'!$H$59:$H$60,'321'!$H$62:$H$63,'321'!$H$65:$H$67,'321'!$H$69:$H$70,'321'!$H$72,'321'!$H$74</definedName>
    <definedName name="OSRRefH22x_0" localSheetId="67">'322'!$H$23:$H$30,'322'!$H$32:$H$41,'322'!$H$43,'322'!$H$45,'322'!$H$47,'322'!$H$49,'322'!$H$51,'322'!$H$53:$H$54,'322'!$H$56:$H$57,'322'!$H$59:$H$62,'322'!$H$64,'322'!$H$66</definedName>
    <definedName name="OSRRefH22x_0" localSheetId="55">'324'!$H$27:$H$34,'324'!$H$36:$H$45</definedName>
    <definedName name="OSRRefH22x_0" localSheetId="68">'325'!$H$25:$H$32,'325'!$H$34:$H$43,'325'!$H$45,'325'!$H$47,'325'!$H$49,'325'!$H$51:$H$52,'325'!$H$54,'325'!$H$56,'325'!$H$58,'325'!$H$60,'325'!$H$62,'325'!$H$64:$H$67,'325'!$H$69:$H$71,'325'!$H$73,'325'!$H$75:$H$79,'325'!$H$81:$H$82,'325'!$H$84,'325'!$H$86</definedName>
    <definedName name="OSRRefH22x_0" localSheetId="58">'326'!$H$46:$H$54,'326'!$H$56:$H$65,'326'!$H$67,'326'!$H$69,'326'!$H$71,'326'!$H$73,'326'!$H$75,'326'!$H$77,'326'!$H$79:$H$80,'326'!$H$82,'326'!$H$84,'326'!$H$86,'326'!$H$88,'326'!$H$90:$H$91,'326'!$H$93:$H$95,'326'!$H$97:$H$98,'326'!$H$100:$H$105,'326'!$H$107:$H$108,'326'!$H$110,'326'!$H$112:$H$113,'326'!$H$115</definedName>
    <definedName name="OSRRefH22x_0" localSheetId="69">'327'!$H$24</definedName>
    <definedName name="OSRRefH22x_0" localSheetId="51">'330'!$H$39:$H$46,'330'!$H$48:$H$57,'330'!$H$59,'330'!$H$61,'330'!$H$63,'330'!$H$65:$H$66,'330'!$H$68,'330'!$H$70,'330'!$H$72,'330'!$H$74:$H$75,'330'!$H$77:$H$78,'330'!$H$80:$H$83,'330'!$H$85:$H$86,'330'!$H$88</definedName>
    <definedName name="OSRRefH22x_0" localSheetId="56">'331'!$H$80:$H$88,'331'!$H$90:$H$99,'331'!$H$101,'331'!$H$103,'331'!$H$105,'331'!$H$107,'331'!$H$109,'331'!$H$111,'331'!$H$113:$H$114,'331'!$H$116:$H$117,'331'!$H$119,'331'!$H$121,'331'!$H$123,'331'!$H$125,'331'!$H$127:$H$128,'331'!$H$130:$H$132,'331'!$H$134:$H$136,'331'!$H$138:$H$139,'331'!$H$141:$H$148,'331'!$H$150:$H$151,'331'!$H$153,'331'!$H$155:$H$156,'331'!$H$158</definedName>
    <definedName name="OSRRefH22x_0" localSheetId="59">'332'!$H$30:$H$38,'332'!$H$40:$H$49,'332'!$H$51,'332'!$H$53,'332'!$H$55,'332'!$H$57,'332'!$H$59:$H$60,'332'!$H$62:$H$63,'332'!$H$65,'332'!$H$67:$H$71,'332'!$H$73,'332'!$H$75</definedName>
    <definedName name="OSRRefH22x_0" localSheetId="73">'405'!$H$23:$H$30,'405'!$H$32:$H$41,'405'!$H$43,'405'!$H$45,'405'!$H$47:$H$48,'405'!$H$50,'405'!$H$52,'405'!$H$54,'405'!$H$56,'405'!$H$58:$H$59,'405'!$H$61,'405'!$H$63:$H$66,'405'!$H$68,'405'!$H$70:$H$78,'405'!$H$80,'405'!$H$82,'405'!$H$84</definedName>
    <definedName name="OSRRefH22x_0" localSheetId="74">'406'!$H$20,'406'!$H$22,'406'!$H$24,'406'!$H$26,'406'!$H$28</definedName>
    <definedName name="OSRRefH22x_0" localSheetId="75">'411'!$H$20:$H$28,'411'!$H$30:$H$39,'411'!$H$41,'411'!$H$43,'411'!$H$45:$H$46,'411'!$H$48,'411'!$H$50,'411'!$H$52,'411'!$H$54,'411'!$H$56:$H$57,'411'!$H$59:$H$62,'411'!$H$64,'411'!$H$66:$H$72,'411'!$H$74,'411'!$H$76,'411'!$H$78</definedName>
    <definedName name="OSRRefH22x_0" localSheetId="76">'412'!$H$22:$H$29,'412'!$H$31:$H$40,'412'!$H$42,'412'!$H$44,'412'!$H$46:$H$47,'412'!$H$49,'412'!$H$51,'412'!$H$53,'412'!$H$55:$H$56,'412'!$H$58,'412'!$H$60:$H$63,'412'!$H$65:$H$69,'412'!$H$71:$H$72,'412'!$H$74</definedName>
    <definedName name="OSRRefH22x_0" localSheetId="77">'413'!$H$23:$H$31,'413'!$H$33:$H$42,'413'!$H$44,'413'!$H$46,'413'!$H$48,'413'!$H$50,'413'!$H$52,'413'!$H$54,'413'!$H$56:$H$58,'413'!$H$60:$H$61,'413'!$H$63:$H$70,'413'!$H$72:$H$73,'413'!$H$75</definedName>
    <definedName name="OSRRefH22x_0" localSheetId="78">'414'!$H$24:$H$32,'414'!$H$34:$H$43,'414'!$H$45,'414'!$H$47,'414'!$H$49,'414'!$H$51,'414'!$H$53,'414'!$H$55,'414'!$H$57:$H$58,'414'!$H$60,'414'!$H$62,'414'!$H$64,'414'!$H$66:$H$68,'414'!$H$70,'414'!$H$72,'414'!$H$74</definedName>
    <definedName name="OSRRefH22x_0" localSheetId="79">'415'!$H$27:$H$35,'415'!$H$37:$H$46,'415'!$H$48,'415'!$H$50,'415'!$H$52,'415'!$H$54:$H$55,'415'!$H$57,'415'!$H$59,'415'!$H$61,'415'!$H$63,'415'!$H$65,'415'!$H$67:$H$68,'415'!$H$70:$H$74,'415'!$H$76,'415'!$H$78:$H$84,'415'!$H$86:$H$87,'415'!$H$89,'415'!$H$91:$H$92,'415'!$H$94</definedName>
    <definedName name="OSRRefH22x_0" localSheetId="80">'418'!$H$23:$H$30,'418'!$H$32:$H$41,'418'!$H$43,'418'!$H$45,'418'!$H$47:$H$48,'418'!$H$50,'418'!$H$52,'418'!$H$54,'418'!$H$56:$H$58,'418'!$H$60:$H$61,'418'!$H$63:$H$64,'418'!$H$66:$H$75,'418'!$H$77:$H$78,'418'!$H$80</definedName>
    <definedName name="OSRRefH22x_0" localSheetId="81">'420'!$H$21</definedName>
    <definedName name="OSRRefH22x_0" localSheetId="82">'423'!$H$20:$H$27,'423'!$H$29:$H$38,'423'!$H$40,'423'!$H$42:$H$43,'423'!$H$45,'423'!$H$47,'423'!$H$49</definedName>
    <definedName name="OSRRefH22x_0" localSheetId="83">'424'!$H$20,'424'!$H$22,'424'!$H$24,'424'!$H$26</definedName>
    <definedName name="OSRRefH22x_0" localSheetId="84">'425'!$H$20:$H$24,'425'!$H$26,'425'!$H$28,'425'!$H$30,'425'!$H$32:$H$33,'425'!$H$35</definedName>
    <definedName name="OSRRefH22x_0" localSheetId="87">'430'!$H$20:$H$28,'430'!$H$30:$H$39,'430'!$H$41,'430'!$H$43,'430'!$H$45:$H$47,'430'!$H$49:$H$50,'430'!$H$52,'430'!$H$54</definedName>
    <definedName name="OSRRefH22x_0" localSheetId="88">'433'!$H$27:$H$36,'433'!$H$38:$H$47,'433'!$H$49,'433'!$H$51,'433'!$H$53,'433'!$H$55,'433'!$H$57,'433'!$H$59,'433'!$H$61,'433'!$H$63,'433'!$H$65,'433'!$H$67:$H$68,'433'!$H$70:$H$73,'433'!$H$75:$H$82,'433'!$H$84</definedName>
    <definedName name="OSRRefH22x_0" localSheetId="89">'435'!$H$20</definedName>
    <definedName name="OSRRefH22x_0" localSheetId="90">'444'!$H$27:$H$36,'444'!$H$38:$H$47,'444'!$H$49,'444'!$H$51,'444'!$H$53,'444'!$H$55,'444'!$H$57,'444'!$H$59,'444'!$H$61,'444'!$H$63,'444'!$H$65,'444'!$H$67:$H$70,'444'!$H$72:$H$75,'444'!$H$77,'444'!$H$79:$H$87,'444'!$H$89:$H$90,'444'!$H$92</definedName>
    <definedName name="OSRRefH22x_0" localSheetId="91">'450'!$H$23:$H$32,'450'!$H$34:$H$43,'450'!$H$45,'450'!$H$47,'450'!$H$49,'450'!$H$51,'450'!$H$53,'450'!$H$55,'450'!$H$57,'450'!$H$59,'450'!$H$61,'450'!$H$63,'450'!$H$65,'450'!$H$67:$H$69,'450'!$H$71:$H$77,'450'!$H$79:$H$80,'450'!$H$82</definedName>
    <definedName name="OSRRefH22x_0" localSheetId="72">'491'!$H$29:$H$37,'491'!$H$39:$H$48,'491'!$H$50,'491'!$H$52,'491'!$H$54,'491'!$H$56:$H$58,'491'!$H$60,'491'!$H$62,'491'!$H$64,'491'!$H$66,'491'!$H$68,'491'!$H$70,'491'!$H$72,'491'!$H$74:$H$77,'491'!$H$79:$H$80,'491'!$H$82:$H$86,'491'!$H$88:$H$89,'491'!$H$91:$H$101,'491'!$H$103:$H$104,'491'!$H$106,'491'!$H$108:$H$110,'491'!$H$112</definedName>
    <definedName name="OSRRefH22x_0" localSheetId="86">'492'!$H$27:$H$36,'492'!$H$38:$H$47,'492'!$H$49,'492'!$H$51,'492'!$H$53,'492'!$H$55,'492'!$H$57,'492'!$H$59,'492'!$H$61,'492'!$H$63,'492'!$H$65,'492'!$H$67,'492'!$H$69:$H$72,'492'!$H$74:$H$77,'492'!$H$79,'492'!$H$81:$H$90,'492'!$H$92:$H$93,'492'!$H$95,'492'!$H$97</definedName>
    <definedName name="OSRRefH22x_0" localSheetId="93">'501'!$H$21:$H$30,'501'!$H$32:$H$41,'501'!$H$43,'501'!$H$45,'501'!$H$47,'501'!$H$49:$H$50,'501'!$H$52,'501'!$H$54,'501'!$H$56,'501'!$H$58:$H$61,'501'!$H$63:$H$64,'501'!$H$66</definedName>
    <definedName name="OSRRefH22x_0" localSheetId="39">'Div 2'!$H$21:$H$31,'Div 2'!$H$33:$H$42,'Div 2'!$H$44,'Div 2'!$H$46,'Div 2'!$H$48,'Div 2'!$H$50:$H$51,'Div 2'!$H$53,'Div 2'!$H$55,'Div 2'!$H$57,'Div 2'!$H$59:$H$60,'Div 2'!$H$62,'Div 2'!$H$64:$H$65,'Div 2'!$H$67:$H$70,'Div 2'!$H$72:$H$75,'Div 2'!$H$77:$H$78,'Div 2'!$H$80:$H$81,'Div 2'!$H$83:$H$87,'Div 2'!$H$89:$H$90,'Div 2'!$H$92,'Div 2'!$H$94:$H$95</definedName>
    <definedName name="OSRRefH22x_0" localSheetId="47">'Div 3'!$H$120:$H$129,'Div 3'!$H$131:$H$140,'Div 3'!$H$142,'Div 3'!$H$144:$H$145,'Div 3'!$H$147,'Div 3'!$H$149:$H$150,'Div 3'!$H$152:$H$153,'Div 3'!$H$155:$H$156,'Div 3'!$H$158,'Div 3'!$H$160,'Div 3'!$H$162:$H$163,'Div 3'!$H$165:$H$167,'Div 3'!$H$169,'Div 3'!$H$171,'Div 3'!$H$173,'Div 3'!$H$175,'Div 3'!$H$177,'Div 3'!$H$179:$H$182,'Div 3'!$H$184:$H$187,'Div 3'!$H$189:$H$193,'Div 3'!$H$195:$H$196,'Div 3'!$H$198:$H$206,'Div 3'!$H$208:$H$209,'Div 3'!$H$211,'Div 3'!$H$213:$H$215,'Div 3'!$H$217</definedName>
    <definedName name="OSRRefH22x_0" localSheetId="70">'Div 4'!$H$31:$H$40,'Div 4'!$H$42:$H$51,'Div 4'!$H$53,'Div 4'!$H$55,'Div 4'!$H$57,'Div 4'!$H$59:$H$61,'Div 4'!$H$63,'Div 4'!$H$65,'Div 4'!$H$67,'Div 4'!$H$69,'Div 4'!$H$71,'Div 4'!$H$73,'Div 4'!$H$75,'Div 4'!$H$77,'Div 4'!$H$79,'Div 4'!$H$81:$H$84,'Div 4'!$H$86:$H$87,'Div 4'!$H$89:$H$93,'Div 4'!$H$95:$H$96,'Div 4'!$H$98:$H$108,'Div 4'!$H$110:$H$111,'Div 4'!$H$113,'Div 4'!$H$115:$H$117,'Div 4'!$H$119</definedName>
    <definedName name="OSRRefH22x_0" localSheetId="92">'Div 5'!$H$21:$H$30,'Div 5'!$H$32:$H$41,'Div 5'!$H$43,'Div 5'!$H$45,'Div 5'!$H$47,'Div 5'!$H$49:$H$50,'Div 5'!$H$52,'Div 5'!$H$54,'Div 5'!$H$56,'Div 5'!$H$58:$H$61,'Div 5'!$H$63:$H$64,'Div 5'!$H$66</definedName>
    <definedName name="OSRRefH22x_0" localSheetId="61">'Div 6'!$H$50:$H$59,'Div 6'!$H$61:$H$70,'Div 6'!$H$72,'Div 6'!$H$74,'Div 6'!$H$76,'Div 6'!$H$78,'Div 6'!$H$80:$H$81,'Div 6'!$H$83,'Div 6'!$H$85,'Div 6'!$H$87,'Div 6'!$H$89:$H$91,'Div 6'!$H$93,'Div 6'!$H$95</definedName>
    <definedName name="OSRRefH22x_0" localSheetId="2">Summary!$H$148:$H$157,Summary!$H$159:$H$168,Summary!$H$170,Summary!$H$172:$H$173,Summary!$H$175,Summary!$H$177:$H$179,Summary!$H$181:$H$182,Summary!$H$184:$H$185,Summary!$H$187,Summary!$H$189,Summary!$H$191:$H$192,Summary!$H$194:$H$196,Summary!$H$198,Summary!$H$200,Summary!$H$202,Summary!$H$204,Summary!$H$206,Summary!$H$208,Summary!$H$210:$H$213,Summary!$H$215:$H$218,Summary!$H$220:$H$224,Summary!$H$226:$H$227,Summary!$H$229:$H$239,Summary!$H$241:$H$242,Summary!$H$244,Summary!$H$246:$H$248,Summary!$H$250</definedName>
    <definedName name="OSRRefH25x_0" localSheetId="42">'202'!$H$69:$H$71</definedName>
    <definedName name="OSRRefH25x_0" localSheetId="48">'300'!$H$213:$H$216</definedName>
    <definedName name="OSRRefH25x_0" localSheetId="49">'300 &amp; 317'!$H$236:$H$240</definedName>
    <definedName name="OSRRefH25x_0" localSheetId="50">'301'!$H$97:$H$98</definedName>
    <definedName name="OSRRefH25x_0" localSheetId="53">'308'!$H$109:$H$111</definedName>
    <definedName name="OSRRefH25x_0" localSheetId="71">'310 &amp; 491'!$H$119:$H$122</definedName>
    <definedName name="OSRRefH25x_0" localSheetId="54">'311'!$H$108:$H$110</definedName>
    <definedName name="OSRRefH25x_0" localSheetId="57">'315'!$H$145:$H$147</definedName>
    <definedName name="OSRRefH25x_0" localSheetId="60">'316'!$H$78</definedName>
    <definedName name="OSRRefH25x_0" localSheetId="62">'317'!$H$98:$H$99</definedName>
    <definedName name="OSRRefH25x_0" localSheetId="56">'331'!$H$161:$H$163</definedName>
    <definedName name="OSRRefH25x_0" localSheetId="59">'332'!$H$78</definedName>
    <definedName name="OSRRefH25x_0" localSheetId="75">'411'!$H$81:$H$82</definedName>
    <definedName name="OSRRefH25x_0" localSheetId="80">'418'!$H$83</definedName>
    <definedName name="OSRRefH25x_0" localSheetId="82">'423'!$H$52:$H$54</definedName>
    <definedName name="OSRRefH25x_0" localSheetId="85">'455'!$H$21:$H$22</definedName>
    <definedName name="OSRRefH25x_0" localSheetId="72">'491'!$H$115:$H$118</definedName>
    <definedName name="OSRRefH25x_0" localSheetId="93">'501'!$H$69</definedName>
    <definedName name="OSRRefH25x_0" localSheetId="39">'Div 2'!$H$98:$H$100</definedName>
    <definedName name="OSRRefH25x_0" localSheetId="47">'Div 3'!$H$220:$H$223</definedName>
    <definedName name="OSRRefH25x_0" localSheetId="70">'Div 4'!$H$122:$H$125</definedName>
    <definedName name="OSRRefH25x_0" localSheetId="92">'Div 5'!$H$69</definedName>
    <definedName name="OSRRefH25x_0" localSheetId="61">'Div 6'!$H$98:$H$99</definedName>
    <definedName name="OSRRefH25x_0" localSheetId="2">Summary!$H$253:$H$259</definedName>
    <definedName name="OSRRefP13x_0" localSheetId="41">'201'!$P$13</definedName>
    <definedName name="OSRRefP13x_0" localSheetId="42">'202'!$P$13</definedName>
    <definedName name="OSRRefP13x_0" localSheetId="48">'300'!$P$13:$P$74</definedName>
    <definedName name="OSRRefP13x_0" localSheetId="49">'300 &amp; 317'!$P$13:$P$88</definedName>
    <definedName name="OSRRefP13x_0" localSheetId="52">'307'!$P$13:$P$23</definedName>
    <definedName name="OSRRefP13x_0" localSheetId="53">'308'!$P$13:$P$33</definedName>
    <definedName name="OSRRefP13x_0" localSheetId="64">'309'!$P$13</definedName>
    <definedName name="OSRRefP13x_0" localSheetId="63">'310'!$P$13:$P$17</definedName>
    <definedName name="OSRRefP13x_0" localSheetId="71">'310 &amp; 491'!$P$13:$P$21</definedName>
    <definedName name="OSRRefP13x_0" localSheetId="54">'311'!$P$13:$P$32</definedName>
    <definedName name="OSRRefP13x_0" localSheetId="65">'313'!$P$13</definedName>
    <definedName name="OSRRefP13x_0" localSheetId="57">'315'!$P$13:$P$50</definedName>
    <definedName name="OSRRefP13x_0" localSheetId="60">'316'!$P$13:$P$22</definedName>
    <definedName name="OSRRefP13x_0" localSheetId="62">'317'!$P$13:$P$30</definedName>
    <definedName name="OSRRefP13x_0" localSheetId="66">'321'!$P$13:$P$15</definedName>
    <definedName name="OSRRefP13x_0" localSheetId="67">'322'!$P$13</definedName>
    <definedName name="OSRRefP13x_0" localSheetId="55">'324'!$P$13:$P$16</definedName>
    <definedName name="OSRRefP13x_0" localSheetId="68">'325'!$P$13:$P$14</definedName>
    <definedName name="OSRRefP13x_0" localSheetId="58">'326'!$P$13:$P$33</definedName>
    <definedName name="OSRRefP13x_0" localSheetId="69">'327'!$P$13:$P$14</definedName>
    <definedName name="OSRRefP13x_0" localSheetId="51">'330'!$P$13:$P$23</definedName>
    <definedName name="OSRRefP13x_0" localSheetId="56">'331'!$P$13:$P$50</definedName>
    <definedName name="OSRRefP13x_0" localSheetId="59">'332'!$P$13:$P$22</definedName>
    <definedName name="OSRRefP13x_0" localSheetId="73">'405'!$P$13:$P$14</definedName>
    <definedName name="OSRRefP13x_0" localSheetId="76">'412'!$P$13</definedName>
    <definedName name="OSRRefP13x_0" localSheetId="77">'413'!$P$13:$P$14</definedName>
    <definedName name="OSRRefP13x_0" localSheetId="78">'414'!$P$13:$P$15</definedName>
    <definedName name="OSRRefP13x_0" localSheetId="79">'415'!$P$13:$P$16</definedName>
    <definedName name="OSRRefP13x_0" localSheetId="80">'418'!$P$13:$P$14</definedName>
    <definedName name="OSRRefP13x_0" localSheetId="81">'420'!$P$13</definedName>
    <definedName name="OSRRefP13x_0" localSheetId="88">'433'!$P$13:$P$16</definedName>
    <definedName name="OSRRefP13x_0" localSheetId="90">'444'!$P$13:$P$16</definedName>
    <definedName name="OSRRefP13x_0" localSheetId="91">'450'!$P$13:$P$14</definedName>
    <definedName name="OSRRefP13x_0" localSheetId="72">'491'!$P$13:$P$18</definedName>
    <definedName name="OSRRefP13x_0" localSheetId="86">'492'!$P$13:$P$16</definedName>
    <definedName name="OSRRefP13x_0" localSheetId="93">'501'!$P$13</definedName>
    <definedName name="OSRRefP13x_0" localSheetId="39">'Div 2'!$P$13</definedName>
    <definedName name="OSRRefP13x_0" localSheetId="47">'Div 3'!$P$13:$P$76</definedName>
    <definedName name="OSRRefP13x_0" localSheetId="70">'Div 4'!$P$13:$P$20</definedName>
    <definedName name="OSRRefP13x_0" localSheetId="92">'Div 5'!$P$13</definedName>
    <definedName name="OSRRefP13x_0" localSheetId="61">'Div 6'!$P$13:$P$30</definedName>
    <definedName name="OSRRefP13x_0" localSheetId="2">Summary!$P$13:$P$95</definedName>
    <definedName name="OSRRefP16x_0" localSheetId="48">'300'!$P$77:$P$110</definedName>
    <definedName name="OSRRefP16x_0" localSheetId="49">'300 &amp; 317'!$P$91:$P$133</definedName>
    <definedName name="OSRRefP16x_0" localSheetId="52">'307'!$P$26:$P$33</definedName>
    <definedName name="OSRRefP16x_0" localSheetId="53">'308'!$P$36:$P$50</definedName>
    <definedName name="OSRRefP16x_0" localSheetId="64">'309'!$P$16</definedName>
    <definedName name="OSRRefP16x_0" localSheetId="63">'310'!$P$20:$P$22</definedName>
    <definedName name="OSRRefP16x_0" localSheetId="71">'310 &amp; 491'!$P$24:$P$26</definedName>
    <definedName name="OSRRefP16x_0" localSheetId="54">'311'!$P$35:$P$49</definedName>
    <definedName name="OSRRefP16x_0" localSheetId="65">'313'!$P$16:$P$17</definedName>
    <definedName name="OSRRefP16x_0" localSheetId="57">'315'!$P$53:$P$74</definedName>
    <definedName name="OSRRefP16x_0" localSheetId="62">'317'!$P$33:$P$44</definedName>
    <definedName name="OSRRefP16x_0" localSheetId="66">'321'!$P$18:$P$19</definedName>
    <definedName name="OSRRefP16x_0" localSheetId="67">'322'!$P$16:$P$17</definedName>
    <definedName name="OSRRefP16x_0" localSheetId="55">'324'!$P$19:$P$21</definedName>
    <definedName name="OSRRefP16x_0" localSheetId="68">'325'!$P$17:$P$19</definedName>
    <definedName name="OSRRefP16x_0" localSheetId="58">'326'!$P$36:$P$40</definedName>
    <definedName name="OSRRefP16x_0" localSheetId="69">'327'!$P$17:$P$18</definedName>
    <definedName name="OSRRefP16x_0" localSheetId="51">'330'!$P$26:$P$33</definedName>
    <definedName name="OSRRefP16x_0" localSheetId="56">'331'!$P$53:$P$74</definedName>
    <definedName name="OSRRefP16x_0" localSheetId="73">'405'!$P$17</definedName>
    <definedName name="OSRRefP16x_0" localSheetId="76">'412'!$P$16</definedName>
    <definedName name="OSRRefP16x_0" localSheetId="77">'413'!$P$17</definedName>
    <definedName name="OSRRefP16x_0" localSheetId="78">'414'!$P$18</definedName>
    <definedName name="OSRRefP16x_0" localSheetId="79">'415'!$P$19:$P$21</definedName>
    <definedName name="OSRRefP16x_0" localSheetId="80">'418'!$P$17</definedName>
    <definedName name="OSRRefP16x_0" localSheetId="88">'433'!$P$19:$P$21</definedName>
    <definedName name="OSRRefP16x_0" localSheetId="90">'444'!$P$19:$P$21</definedName>
    <definedName name="OSRRefP16x_0" localSheetId="91">'450'!$P$17</definedName>
    <definedName name="OSRRefP16x_0" localSheetId="72">'491'!$P$21:$P$23</definedName>
    <definedName name="OSRRefP16x_0" localSheetId="86">'492'!$P$19:$P$21</definedName>
    <definedName name="OSRRefP16x_0" localSheetId="47">'Div 3'!$P$79:$P$114</definedName>
    <definedName name="OSRRefP16x_0" localSheetId="70">'Div 4'!$P$23:$P$25</definedName>
    <definedName name="OSRRefP16x_0" localSheetId="61">'Div 6'!$P$33:$P$44</definedName>
    <definedName name="OSRRefP16x_0" localSheetId="2">Summary!$P$98:$P$142</definedName>
    <definedName name="OSRRefP22_0x_0" localSheetId="40">'200'!$P$20</definedName>
    <definedName name="OSRRefP22_0x_0" localSheetId="41">'201'!$P$21:$P$29</definedName>
    <definedName name="OSRRefP22_0x_0" localSheetId="42">'202'!$P$21:$P$29</definedName>
    <definedName name="OSRRefP22_0x_0" localSheetId="43">'203'!$P$20:$P$29</definedName>
    <definedName name="OSRRefP22_0x_0" localSheetId="44">'204'!$P$20:$P$29</definedName>
    <definedName name="OSRRefP22_0x_0" localSheetId="45">'205'!$P$20:$P$28</definedName>
    <definedName name="OSRRefP22_0x_0" localSheetId="46">'206'!$P$20:$P$28</definedName>
    <definedName name="OSRRefP22_0x_0" localSheetId="48">'300'!$P$116:$P$125</definedName>
    <definedName name="OSRRefP22_0x_0" localSheetId="49">'300 &amp; 317'!$P$139:$P$148</definedName>
    <definedName name="OSRRefP22_0x_0" localSheetId="50">'301'!$P$20:$P$29</definedName>
    <definedName name="OSRRefP22_0x_0" localSheetId="52">'307'!$P$39:$P$46</definedName>
    <definedName name="OSRRefP22_0x_0" localSheetId="53">'308'!$P$56:$P$65</definedName>
    <definedName name="OSRRefP22_0x_0" localSheetId="64">'309'!$P$22:$P$29</definedName>
    <definedName name="OSRRefP22_0x_0" localSheetId="63">'310'!$P$28:$P$36</definedName>
    <definedName name="OSRRefP22_0x_0" localSheetId="71">'310 &amp; 491'!$P$32:$P$40</definedName>
    <definedName name="OSRRefP22_0x_0" localSheetId="54">'311'!$P$55:$P$64</definedName>
    <definedName name="OSRRefP22_0x_0" localSheetId="65">'313'!$P$23:$P$31</definedName>
    <definedName name="OSRRefP22_0x_0" localSheetId="57">'315'!$P$80:$P$88</definedName>
    <definedName name="OSRRefP22_0x_0" localSheetId="60">'316'!$P$30:$P$38</definedName>
    <definedName name="OSRRefP22_0x_0" localSheetId="62">'317'!$P$50:$P$59</definedName>
    <definedName name="OSRRefP22_0x_0" localSheetId="66">'321'!$P$25:$P$33</definedName>
    <definedName name="OSRRefP22_0x_0" localSheetId="67">'322'!$P$23:$P$30</definedName>
    <definedName name="OSRRefP22_0x_0" localSheetId="55">'324'!$P$27:$P$34</definedName>
    <definedName name="OSRRefP22_0x_0" localSheetId="68">'325'!$P$25:$P$32</definedName>
    <definedName name="OSRRefP22_0x_0" localSheetId="58">'326'!$P$46:$P$54</definedName>
    <definedName name="OSRRefP22_0x_0" localSheetId="69">'327'!$P$24</definedName>
    <definedName name="OSRRefP22_0x_0" localSheetId="51">'330'!$P$39:$P$46</definedName>
    <definedName name="OSRRefP22_0x_0" localSheetId="56">'331'!$P$80:$P$88</definedName>
    <definedName name="OSRRefP22_0x_0" localSheetId="59">'332'!$P$30:$P$38</definedName>
    <definedName name="OSRRefP22_0x_0" localSheetId="73">'405'!$P$23:$P$30</definedName>
    <definedName name="OSRRefP22_0x_0" localSheetId="74">'406'!$P$20</definedName>
    <definedName name="OSRRefP22_0x_0" localSheetId="75">'411'!$P$20:$P$28</definedName>
    <definedName name="OSRRefP22_0x_0" localSheetId="76">'412'!$P$22:$P$29</definedName>
    <definedName name="OSRRefP22_0x_0" localSheetId="77">'413'!$P$23:$P$31</definedName>
    <definedName name="OSRRefP22_0x_0" localSheetId="78">'414'!$P$24:$P$32</definedName>
    <definedName name="OSRRefP22_0x_0" localSheetId="79">'415'!$P$27:$P$35</definedName>
    <definedName name="OSRRefP22_0x_0" localSheetId="80">'418'!$P$23:$P$30</definedName>
    <definedName name="OSRRefP22_0x_0" localSheetId="81">'420'!$P$21</definedName>
    <definedName name="OSRRefP22_0x_0" localSheetId="82">'423'!$P$20:$P$27</definedName>
    <definedName name="OSRRefP22_0x_0" localSheetId="83">'424'!$P$20</definedName>
    <definedName name="OSRRefP22_0x_0" localSheetId="84">'425'!$P$20:$P$24</definedName>
    <definedName name="OSRRefP22_0x_0" localSheetId="87">'430'!$P$20:$P$28</definedName>
    <definedName name="OSRRefP22_0x_0" localSheetId="88">'433'!$P$27:$P$36</definedName>
    <definedName name="OSRRefP22_0x_0" localSheetId="89">'435'!$P$20</definedName>
    <definedName name="OSRRefP22_0x_0" localSheetId="90">'444'!$P$27:$P$36</definedName>
    <definedName name="OSRRefP22_0x_0" localSheetId="91">'450'!$P$23:$P$32</definedName>
    <definedName name="OSRRefP22_0x_0" localSheetId="72">'491'!$P$29:$P$37</definedName>
    <definedName name="OSRRefP22_0x_0" localSheetId="86">'492'!$P$27:$P$36</definedName>
    <definedName name="OSRRefP22_0x_0" localSheetId="93">'501'!$P$21:$P$30</definedName>
    <definedName name="OSRRefP22_0x_0" localSheetId="39">'Div 2'!$P$21:$P$31</definedName>
    <definedName name="OSRRefP22_0x_0" localSheetId="47">'Div 3'!$P$120:$P$129</definedName>
    <definedName name="OSRRefP22_0x_0" localSheetId="70">'Div 4'!$P$31:$P$40</definedName>
    <definedName name="OSRRefP22_0x_0" localSheetId="92">'Div 5'!$P$21:$P$30</definedName>
    <definedName name="OSRRefP22_0x_0" localSheetId="61">'Div 6'!$P$50:$P$59</definedName>
    <definedName name="OSRRefP22_0x_0" localSheetId="2">Summary!$P$148:$P$157</definedName>
    <definedName name="OSRRefP22_10x_0" localSheetId="41">'201'!$P$58:$P$60</definedName>
    <definedName name="OSRRefP22_10x_0" localSheetId="42">'202'!$P$62</definedName>
    <definedName name="OSRRefP22_10x_0" localSheetId="43">'203'!$P$62</definedName>
    <definedName name="OSRRefP22_10x_0" localSheetId="44">'204'!$P$62:$P$63</definedName>
    <definedName name="OSRRefP22_10x_0" localSheetId="48">'300'!$P$158:$P$159</definedName>
    <definedName name="OSRRefP22_10x_0" localSheetId="49">'300 &amp; 317'!$P$181:$P$182</definedName>
    <definedName name="OSRRefP22_10x_0" localSheetId="50">'301'!$P$60</definedName>
    <definedName name="OSRRefP22_10x_0" localSheetId="52">'307'!$P$77:$P$78</definedName>
    <definedName name="OSRRefP22_10x_0" localSheetId="53">'308'!$P$97</definedName>
    <definedName name="OSRRefP22_10x_0" localSheetId="64">'309'!$P$61</definedName>
    <definedName name="OSRRefP22_10x_0" localSheetId="63">'310'!$P$66</definedName>
    <definedName name="OSRRefP22_10x_0" localSheetId="71">'310 &amp; 491'!$P$72</definedName>
    <definedName name="OSRRefP22_10x_0" localSheetId="54">'311'!$P$96</definedName>
    <definedName name="OSRRefP22_10x_0" localSheetId="65">'313'!$P$64</definedName>
    <definedName name="OSRRefP22_10x_0" localSheetId="57">'315'!$P$118</definedName>
    <definedName name="OSRRefP22_10x_0" localSheetId="60">'316'!$P$73</definedName>
    <definedName name="OSRRefP22_10x_0" localSheetId="62">'317'!$P$89:$P$91</definedName>
    <definedName name="OSRRefP22_10x_0" localSheetId="66">'321'!$P$65:$P$67</definedName>
    <definedName name="OSRRefP22_10x_0" localSheetId="67">'322'!$P$64</definedName>
    <definedName name="OSRRefP22_10x_0" localSheetId="68">'325'!$P$62</definedName>
    <definedName name="OSRRefP22_10x_0" localSheetId="58">'326'!$P$84</definedName>
    <definedName name="OSRRefP22_10x_0" localSheetId="51">'330'!$P$77:$P$78</definedName>
    <definedName name="OSRRefP22_10x_0" localSheetId="56">'331'!$P$119</definedName>
    <definedName name="OSRRefP22_10x_0" localSheetId="59">'332'!$P$73</definedName>
    <definedName name="OSRRefP22_10x_0" localSheetId="73">'405'!$P$61</definedName>
    <definedName name="OSRRefP22_10x_0" localSheetId="75">'411'!$P$59:$P$62</definedName>
    <definedName name="OSRRefP22_10x_0" localSheetId="76">'412'!$P$60:$P$63</definedName>
    <definedName name="OSRRefP22_10x_0" localSheetId="77">'413'!$P$63:$P$70</definedName>
    <definedName name="OSRRefP22_10x_0" localSheetId="78">'414'!$P$62</definedName>
    <definedName name="OSRRefP22_10x_0" localSheetId="79">'415'!$P$65</definedName>
    <definedName name="OSRRefP22_10x_0" localSheetId="80">'418'!$P$63:$P$64</definedName>
    <definedName name="OSRRefP22_10x_0" localSheetId="88">'433'!$P$65</definedName>
    <definedName name="OSRRefP22_10x_0" localSheetId="90">'444'!$P$65</definedName>
    <definedName name="OSRRefP22_10x_0" localSheetId="91">'450'!$P$61</definedName>
    <definedName name="OSRRefP22_10x_0" localSheetId="72">'491'!$P$68</definedName>
    <definedName name="OSRRefP22_10x_0" localSheetId="86">'492'!$P$65</definedName>
    <definedName name="OSRRefP22_10x_0" localSheetId="93">'501'!$P$63:$P$64</definedName>
    <definedName name="OSRRefP22_10x_0" localSheetId="39">'Div 2'!$P$62</definedName>
    <definedName name="OSRRefP22_10x_0" localSheetId="47">'Div 3'!$P$162:$P$163</definedName>
    <definedName name="OSRRefP22_10x_0" localSheetId="70">'Div 4'!$P$71</definedName>
    <definedName name="OSRRefP22_10x_0" localSheetId="92">'Div 5'!$P$63:$P$64</definedName>
    <definedName name="OSRRefP22_10x_0" localSheetId="61">'Div 6'!$P$89:$P$91</definedName>
    <definedName name="OSRRefP22_10x_0" localSheetId="2">Summary!$P$191:$P$192</definedName>
    <definedName name="OSRRefP22_11x_0" localSheetId="41">'201'!$P$62</definedName>
    <definedName name="OSRRefP22_11x_0" localSheetId="42">'202'!$P$64</definedName>
    <definedName name="OSRRefP22_11x_0" localSheetId="43">'203'!$P$64:$P$66</definedName>
    <definedName name="OSRRefP22_11x_0" localSheetId="44">'204'!$P$65</definedName>
    <definedName name="OSRRefP22_11x_0" localSheetId="48">'300'!$P$161:$P$163</definedName>
    <definedName name="OSRRefP22_11x_0" localSheetId="49">'300 &amp; 317'!$P$184:$P$186</definedName>
    <definedName name="OSRRefP22_11x_0" localSheetId="50">'301'!$P$62</definedName>
    <definedName name="OSRRefP22_11x_0" localSheetId="52">'307'!$P$80:$P$83</definedName>
    <definedName name="OSRRefP22_11x_0" localSheetId="53">'308'!$P$99:$P$101</definedName>
    <definedName name="OSRRefP22_11x_0" localSheetId="63">'310'!$P$68</definedName>
    <definedName name="OSRRefP22_11x_0" localSheetId="71">'310 &amp; 491'!$P$74</definedName>
    <definedName name="OSRRefP22_11x_0" localSheetId="54">'311'!$P$98:$P$100</definedName>
    <definedName name="OSRRefP22_11x_0" localSheetId="65">'313'!$P$66</definedName>
    <definedName name="OSRRefP22_11x_0" localSheetId="57">'315'!$P$120</definedName>
    <definedName name="OSRRefP22_11x_0" localSheetId="60">'316'!$P$75</definedName>
    <definedName name="OSRRefP22_11x_0" localSheetId="62">'317'!$P$93</definedName>
    <definedName name="OSRRefP22_11x_0" localSheetId="66">'321'!$P$69:$P$70</definedName>
    <definedName name="OSRRefP22_11x_0" localSheetId="67">'322'!$P$66</definedName>
    <definedName name="OSRRefP22_11x_0" localSheetId="68">'325'!$P$64:$P$67</definedName>
    <definedName name="OSRRefP22_11x_0" localSheetId="58">'326'!$P$86</definedName>
    <definedName name="OSRRefP22_11x_0" localSheetId="51">'330'!$P$80:$P$83</definedName>
    <definedName name="OSRRefP22_11x_0" localSheetId="56">'331'!$P$121</definedName>
    <definedName name="OSRRefP22_11x_0" localSheetId="59">'332'!$P$75</definedName>
    <definedName name="OSRRefP22_11x_0" localSheetId="73">'405'!$P$63:$P$66</definedName>
    <definedName name="OSRRefP22_11x_0" localSheetId="75">'411'!$P$64</definedName>
    <definedName name="OSRRefP22_11x_0" localSheetId="76">'412'!$P$65:$P$69</definedName>
    <definedName name="OSRRefP22_11x_0" localSheetId="77">'413'!$P$72:$P$73</definedName>
    <definedName name="OSRRefP22_11x_0" localSheetId="78">'414'!$P$64</definedName>
    <definedName name="OSRRefP22_11x_0" localSheetId="79">'415'!$P$67:$P$68</definedName>
    <definedName name="OSRRefP22_11x_0" localSheetId="80">'418'!$P$66:$P$75</definedName>
    <definedName name="OSRRefP22_11x_0" localSheetId="88">'433'!$P$67:$P$68</definedName>
    <definedName name="OSRRefP22_11x_0" localSheetId="90">'444'!$P$67:$P$70</definedName>
    <definedName name="OSRRefP22_11x_0" localSheetId="91">'450'!$P$63</definedName>
    <definedName name="OSRRefP22_11x_0" localSheetId="72">'491'!$P$70</definedName>
    <definedName name="OSRRefP22_11x_0" localSheetId="86">'492'!$P$67</definedName>
    <definedName name="OSRRefP22_11x_0" localSheetId="93">'501'!$P$66</definedName>
    <definedName name="OSRRefP22_11x_0" localSheetId="39">'Div 2'!$P$64:$P$65</definedName>
    <definedName name="OSRRefP22_11x_0" localSheetId="47">'Div 3'!$P$165:$P$167</definedName>
    <definedName name="OSRRefP22_11x_0" localSheetId="70">'Div 4'!$P$73</definedName>
    <definedName name="OSRRefP22_11x_0" localSheetId="92">'Div 5'!$P$66</definedName>
    <definedName name="OSRRefP22_11x_0" localSheetId="61">'Div 6'!$P$93</definedName>
    <definedName name="OSRRefP22_11x_0" localSheetId="2">Summary!$P$194:$P$196</definedName>
    <definedName name="OSRRefP22_12x_0" localSheetId="41">'201'!$P$64</definedName>
    <definedName name="OSRRefP22_12x_0" localSheetId="42">'202'!$P$66</definedName>
    <definedName name="OSRRefP22_12x_0" localSheetId="43">'203'!$P$68</definedName>
    <definedName name="OSRRefP22_12x_0" localSheetId="44">'204'!$P$67</definedName>
    <definedName name="OSRRefP22_12x_0" localSheetId="48">'300'!$P$165</definedName>
    <definedName name="OSRRefP22_12x_0" localSheetId="49">'300 &amp; 317'!$P$188</definedName>
    <definedName name="OSRRefP22_12x_0" localSheetId="50">'301'!$P$64</definedName>
    <definedName name="OSRRefP22_12x_0" localSheetId="52">'307'!$P$85:$P$86</definedName>
    <definedName name="OSRRefP22_12x_0" localSheetId="53">'308'!$P$103:$P$104</definedName>
    <definedName name="OSRRefP22_12x_0" localSheetId="63">'310'!$P$70</definedName>
    <definedName name="OSRRefP22_12x_0" localSheetId="71">'310 &amp; 491'!$P$76</definedName>
    <definedName name="OSRRefP22_12x_0" localSheetId="54">'311'!$P$102:$P$103</definedName>
    <definedName name="OSRRefP22_12x_0" localSheetId="57">'315'!$P$122:$P$124</definedName>
    <definedName name="OSRRefP22_12x_0" localSheetId="62">'317'!$P$95</definedName>
    <definedName name="OSRRefP22_12x_0" localSheetId="66">'321'!$P$72</definedName>
    <definedName name="OSRRefP22_12x_0" localSheetId="68">'325'!$P$69:$P$71</definedName>
    <definedName name="OSRRefP22_12x_0" localSheetId="58">'326'!$P$88</definedName>
    <definedName name="OSRRefP22_12x_0" localSheetId="51">'330'!$P$85:$P$86</definedName>
    <definedName name="OSRRefP22_12x_0" localSheetId="56">'331'!$P$123</definedName>
    <definedName name="OSRRefP22_12x_0" localSheetId="73">'405'!$P$68</definedName>
    <definedName name="OSRRefP22_12x_0" localSheetId="75">'411'!$P$66:$P$72</definedName>
    <definedName name="OSRRefP22_12x_0" localSheetId="76">'412'!$P$71:$P$72</definedName>
    <definedName name="OSRRefP22_12x_0" localSheetId="77">'413'!$P$75</definedName>
    <definedName name="OSRRefP22_12x_0" localSheetId="78">'414'!$P$66:$P$68</definedName>
    <definedName name="OSRRefP22_12x_0" localSheetId="79">'415'!$P$70:$P$74</definedName>
    <definedName name="OSRRefP22_12x_0" localSheetId="80">'418'!$P$77:$P$78</definedName>
    <definedName name="OSRRefP22_12x_0" localSheetId="88">'433'!$P$70:$P$73</definedName>
    <definedName name="OSRRefP22_12x_0" localSheetId="90">'444'!$P$72:$P$75</definedName>
    <definedName name="OSRRefP22_12x_0" localSheetId="91">'450'!$P$65</definedName>
    <definedName name="OSRRefP22_12x_0" localSheetId="72">'491'!$P$72</definedName>
    <definedName name="OSRRefP22_12x_0" localSheetId="86">'492'!$P$69:$P$72</definedName>
    <definedName name="OSRRefP22_12x_0" localSheetId="39">'Div 2'!$P$67:$P$70</definedName>
    <definedName name="OSRRefP22_12x_0" localSheetId="47">'Div 3'!$P$169</definedName>
    <definedName name="OSRRefP22_12x_0" localSheetId="70">'Div 4'!$P$75</definedName>
    <definedName name="OSRRefP22_12x_0" localSheetId="61">'Div 6'!$P$95</definedName>
    <definedName name="OSRRefP22_12x_0" localSheetId="2">Summary!$P$198</definedName>
    <definedName name="OSRRefP22_13x_0" localSheetId="41">'201'!$P$66:$P$68</definedName>
    <definedName name="OSRRefP22_13x_0" localSheetId="43">'203'!$P$70</definedName>
    <definedName name="OSRRefP22_13x_0" localSheetId="48">'300'!$P$167</definedName>
    <definedName name="OSRRefP22_13x_0" localSheetId="49">'300 &amp; 317'!$P$190</definedName>
    <definedName name="OSRRefP22_13x_0" localSheetId="50">'301'!$P$66</definedName>
    <definedName name="OSRRefP22_13x_0" localSheetId="52">'307'!$P$88</definedName>
    <definedName name="OSRRefP22_13x_0" localSheetId="53">'308'!$P$106</definedName>
    <definedName name="OSRRefP22_13x_0" localSheetId="63">'310'!$P$72:$P$75</definedName>
    <definedName name="OSRRefP22_13x_0" localSheetId="71">'310 &amp; 491'!$P$78:$P$81</definedName>
    <definedName name="OSRRefP22_13x_0" localSheetId="54">'311'!$P$105</definedName>
    <definedName name="OSRRefP22_13x_0" localSheetId="57">'315'!$P$126:$P$127</definedName>
    <definedName name="OSRRefP22_13x_0" localSheetId="66">'321'!$P$74</definedName>
    <definedName name="OSRRefP22_13x_0" localSheetId="68">'325'!$P$73</definedName>
    <definedName name="OSRRefP22_13x_0" localSheetId="58">'326'!$P$90:$P$91</definedName>
    <definedName name="OSRRefP22_13x_0" localSheetId="51">'330'!$P$88</definedName>
    <definedName name="OSRRefP22_13x_0" localSheetId="56">'331'!$P$125</definedName>
    <definedName name="OSRRefP22_13x_0" localSheetId="73">'405'!$P$70:$P$78</definedName>
    <definedName name="OSRRefP22_13x_0" localSheetId="75">'411'!$P$74</definedName>
    <definedName name="OSRRefP22_13x_0" localSheetId="76">'412'!$P$74</definedName>
    <definedName name="OSRRefP22_13x_0" localSheetId="78">'414'!$P$70</definedName>
    <definedName name="OSRRefP22_13x_0" localSheetId="79">'415'!$P$76</definedName>
    <definedName name="OSRRefP22_13x_0" localSheetId="80">'418'!$P$80</definedName>
    <definedName name="OSRRefP22_13x_0" localSheetId="88">'433'!$P$75:$P$82</definedName>
    <definedName name="OSRRefP22_13x_0" localSheetId="90">'444'!$P$77</definedName>
    <definedName name="OSRRefP22_13x_0" localSheetId="91">'450'!$P$67:$P$69</definedName>
    <definedName name="OSRRefP22_13x_0" localSheetId="72">'491'!$P$74:$P$77</definedName>
    <definedName name="OSRRefP22_13x_0" localSheetId="86">'492'!$P$74:$P$77</definedName>
    <definedName name="OSRRefP22_13x_0" localSheetId="39">'Div 2'!$P$72:$P$75</definedName>
    <definedName name="OSRRefP22_13x_0" localSheetId="47">'Div 3'!$P$171</definedName>
    <definedName name="OSRRefP22_13x_0" localSheetId="70">'Div 4'!$P$77</definedName>
    <definedName name="OSRRefP22_13x_0" localSheetId="2">Summary!$P$200</definedName>
    <definedName name="OSRRefP22_14x_0" localSheetId="41">'201'!$P$70</definedName>
    <definedName name="OSRRefP22_14x_0" localSheetId="43">'203'!$P$72</definedName>
    <definedName name="OSRRefP22_14x_0" localSheetId="48">'300'!$P$169</definedName>
    <definedName name="OSRRefP22_14x_0" localSheetId="49">'300 &amp; 317'!$P$192</definedName>
    <definedName name="OSRRefP22_14x_0" localSheetId="50">'301'!$P$68:$P$71</definedName>
    <definedName name="OSRRefP22_14x_0" localSheetId="63">'310'!$P$77:$P$78</definedName>
    <definedName name="OSRRefP22_14x_0" localSheetId="71">'310 &amp; 491'!$P$83:$P$84</definedName>
    <definedName name="OSRRefP22_14x_0" localSheetId="57">'315'!$P$129:$P$135</definedName>
    <definedName name="OSRRefP22_14x_0" localSheetId="68">'325'!$P$75:$P$79</definedName>
    <definedName name="OSRRefP22_14x_0" localSheetId="58">'326'!$P$93:$P$95</definedName>
    <definedName name="OSRRefP22_14x_0" localSheetId="56">'331'!$P$127:$P$128</definedName>
    <definedName name="OSRRefP22_14x_0" localSheetId="73">'405'!$P$80</definedName>
    <definedName name="OSRRefP22_14x_0" localSheetId="75">'411'!$P$76</definedName>
    <definedName name="OSRRefP22_14x_0" localSheetId="78">'414'!$P$72</definedName>
    <definedName name="OSRRefP22_14x_0" localSheetId="79">'415'!$P$78:$P$84</definedName>
    <definedName name="OSRRefP22_14x_0" localSheetId="88">'433'!$P$84</definedName>
    <definedName name="OSRRefP22_14x_0" localSheetId="90">'444'!$P$79:$P$87</definedName>
    <definedName name="OSRRefP22_14x_0" localSheetId="91">'450'!$P$71:$P$77</definedName>
    <definedName name="OSRRefP22_14x_0" localSheetId="72">'491'!$P$79:$P$80</definedName>
    <definedName name="OSRRefP22_14x_0" localSheetId="86">'492'!$P$79</definedName>
    <definedName name="OSRRefP22_14x_0" localSheetId="39">'Div 2'!$P$77:$P$78</definedName>
    <definedName name="OSRRefP22_14x_0" localSheetId="47">'Div 3'!$P$173</definedName>
    <definedName name="OSRRefP22_14x_0" localSheetId="70">'Div 4'!$P$79</definedName>
    <definedName name="OSRRefP22_14x_0" localSheetId="2">Summary!$P$202</definedName>
    <definedName name="OSRRefP22_15x_0" localSheetId="41">'201'!$P$72</definedName>
    <definedName name="OSRRefP22_15x_0" localSheetId="48">'300'!$P$171</definedName>
    <definedName name="OSRRefP22_15x_0" localSheetId="49">'300 &amp; 317'!$P$194</definedName>
    <definedName name="OSRRefP22_15x_0" localSheetId="50">'301'!$P$73:$P$75</definedName>
    <definedName name="OSRRefP22_15x_0" localSheetId="63">'310'!$P$80:$P$83</definedName>
    <definedName name="OSRRefP22_15x_0" localSheetId="71">'310 &amp; 491'!$P$86:$P$90</definedName>
    <definedName name="OSRRefP22_15x_0" localSheetId="57">'315'!$P$137</definedName>
    <definedName name="OSRRefP22_15x_0" localSheetId="68">'325'!$P$81:$P$82</definedName>
    <definedName name="OSRRefP22_15x_0" localSheetId="58">'326'!$P$97:$P$98</definedName>
    <definedName name="OSRRefP22_15x_0" localSheetId="56">'331'!$P$130:$P$132</definedName>
    <definedName name="OSRRefP22_15x_0" localSheetId="73">'405'!$P$82</definedName>
    <definedName name="OSRRefP22_15x_0" localSheetId="75">'411'!$P$78</definedName>
    <definedName name="OSRRefP22_15x_0" localSheetId="78">'414'!$P$74</definedName>
    <definedName name="OSRRefP22_15x_0" localSheetId="79">'415'!$P$86:$P$87</definedName>
    <definedName name="OSRRefP22_15x_0" localSheetId="90">'444'!$P$89:$P$90</definedName>
    <definedName name="OSRRefP22_15x_0" localSheetId="91">'450'!$P$79:$P$80</definedName>
    <definedName name="OSRRefP22_15x_0" localSheetId="72">'491'!$P$82:$P$86</definedName>
    <definedName name="OSRRefP22_15x_0" localSheetId="86">'492'!$P$81:$P$90</definedName>
    <definedName name="OSRRefP22_15x_0" localSheetId="39">'Div 2'!$P$80:$P$81</definedName>
    <definedName name="OSRRefP22_15x_0" localSheetId="47">'Div 3'!$P$175</definedName>
    <definedName name="OSRRefP22_15x_0" localSheetId="70">'Div 4'!$P$81:$P$84</definedName>
    <definedName name="OSRRefP22_15x_0" localSheetId="2">Summary!$P$204</definedName>
    <definedName name="OSRRefP22_16x_0" localSheetId="41">'201'!$P$74</definedName>
    <definedName name="OSRRefP22_16x_0" localSheetId="48">'300'!$P$173:$P$176</definedName>
    <definedName name="OSRRefP22_16x_0" localSheetId="49">'300 &amp; 317'!$P$196:$P$199</definedName>
    <definedName name="OSRRefP22_16x_0" localSheetId="50">'301'!$P$77</definedName>
    <definedName name="OSRRefP22_16x_0" localSheetId="63">'310'!$P$85</definedName>
    <definedName name="OSRRefP22_16x_0" localSheetId="71">'310 &amp; 491'!$P$92:$P$93</definedName>
    <definedName name="OSRRefP22_16x_0" localSheetId="57">'315'!$P$139</definedName>
    <definedName name="OSRRefP22_16x_0" localSheetId="68">'325'!$P$84</definedName>
    <definedName name="OSRRefP22_16x_0" localSheetId="58">'326'!$P$100:$P$105</definedName>
    <definedName name="OSRRefP22_16x_0" localSheetId="56">'331'!$P$134:$P$136</definedName>
    <definedName name="OSRRefP22_16x_0" localSheetId="73">'405'!$P$84</definedName>
    <definedName name="OSRRefP22_16x_0" localSheetId="79">'415'!$P$89</definedName>
    <definedName name="OSRRefP22_16x_0" localSheetId="90">'444'!$P$92</definedName>
    <definedName name="OSRRefP22_16x_0" localSheetId="91">'450'!$P$82</definedName>
    <definedName name="OSRRefP22_16x_0" localSheetId="72">'491'!$P$88:$P$89</definedName>
    <definedName name="OSRRefP22_16x_0" localSheetId="86">'492'!$P$92:$P$93</definedName>
    <definedName name="OSRRefP22_16x_0" localSheetId="39">'Div 2'!$P$83:$P$87</definedName>
    <definedName name="OSRRefP22_16x_0" localSheetId="47">'Div 3'!$P$177</definedName>
    <definedName name="OSRRefP22_16x_0" localSheetId="70">'Div 4'!$P$86:$P$87</definedName>
    <definedName name="OSRRefP22_16x_0" localSheetId="2">Summary!$P$206</definedName>
    <definedName name="OSRRefP22_17x_0" localSheetId="48">'300'!$P$178:$P$181</definedName>
    <definedName name="OSRRefP22_17x_0" localSheetId="49">'300 &amp; 317'!$P$201:$P$204</definedName>
    <definedName name="OSRRefP22_17x_0" localSheetId="50">'301'!$P$79:$P$85</definedName>
    <definedName name="OSRRefP22_17x_0" localSheetId="63">'310'!$P$87:$P$93</definedName>
    <definedName name="OSRRefP22_17x_0" localSheetId="71">'310 &amp; 491'!$P$95:$P$105</definedName>
    <definedName name="OSRRefP22_17x_0" localSheetId="57">'315'!$P$141:$P$142</definedName>
    <definedName name="OSRRefP22_17x_0" localSheetId="68">'325'!$P$86</definedName>
    <definedName name="OSRRefP22_17x_0" localSheetId="58">'326'!$P$107:$P$108</definedName>
    <definedName name="OSRRefP22_17x_0" localSheetId="56">'331'!$P$138:$P$139</definedName>
    <definedName name="OSRRefP22_17x_0" localSheetId="79">'415'!$P$91:$P$92</definedName>
    <definedName name="OSRRefP22_17x_0" localSheetId="72">'491'!$P$91:$P$101</definedName>
    <definedName name="OSRRefP22_17x_0" localSheetId="86">'492'!$P$95</definedName>
    <definedName name="OSRRefP22_17x_0" localSheetId="39">'Div 2'!$P$89:$P$90</definedName>
    <definedName name="OSRRefP22_17x_0" localSheetId="47">'Div 3'!$P$179:$P$182</definedName>
    <definedName name="OSRRefP22_17x_0" localSheetId="70">'Div 4'!$P$89:$P$93</definedName>
    <definedName name="OSRRefP22_17x_0" localSheetId="2">Summary!$P$208</definedName>
    <definedName name="OSRRefP22_18x_0" localSheetId="48">'300'!$P$183:$P$186</definedName>
    <definedName name="OSRRefP22_18x_0" localSheetId="49">'300 &amp; 317'!$P$206:$P$209</definedName>
    <definedName name="OSRRefP22_18x_0" localSheetId="50">'301'!$P$87</definedName>
    <definedName name="OSRRefP22_18x_0" localSheetId="63">'310'!$P$95:$P$96</definedName>
    <definedName name="OSRRefP22_18x_0" localSheetId="71">'310 &amp; 491'!$P$107:$P$108</definedName>
    <definedName name="OSRRefP22_18x_0" localSheetId="58">'326'!$P$110</definedName>
    <definedName name="OSRRefP22_18x_0" localSheetId="56">'331'!$P$141:$P$148</definedName>
    <definedName name="OSRRefP22_18x_0" localSheetId="79">'415'!$P$94</definedName>
    <definedName name="OSRRefP22_18x_0" localSheetId="72">'491'!$P$103:$P$104</definedName>
    <definedName name="OSRRefP22_18x_0" localSheetId="86">'492'!$P$97</definedName>
    <definedName name="OSRRefP22_18x_0" localSheetId="39">'Div 2'!$P$92</definedName>
    <definedName name="OSRRefP22_18x_0" localSheetId="47">'Div 3'!$P$184:$P$187</definedName>
    <definedName name="OSRRefP22_18x_0" localSheetId="70">'Div 4'!$P$95:$P$96</definedName>
    <definedName name="OSRRefP22_18x_0" localSheetId="2">Summary!$P$210:$P$213</definedName>
    <definedName name="OSRRefP22_19x_0" localSheetId="48">'300'!$P$188:$P$189</definedName>
    <definedName name="OSRRefP22_19x_0" localSheetId="49">'300 &amp; 317'!$P$211:$P$212</definedName>
    <definedName name="OSRRefP22_19x_0" localSheetId="50">'301'!$P$89</definedName>
    <definedName name="OSRRefP22_19x_0" localSheetId="63">'310'!$P$98</definedName>
    <definedName name="OSRRefP22_19x_0" localSheetId="71">'310 &amp; 491'!$P$110</definedName>
    <definedName name="OSRRefP22_19x_0" localSheetId="58">'326'!$P$112:$P$113</definedName>
    <definedName name="OSRRefP22_19x_0" localSheetId="56">'331'!$P$150:$P$151</definedName>
    <definedName name="OSRRefP22_19x_0" localSheetId="72">'491'!$P$106</definedName>
    <definedName name="OSRRefP22_19x_0" localSheetId="39">'Div 2'!$P$94:$P$95</definedName>
    <definedName name="OSRRefP22_19x_0" localSheetId="47">'Div 3'!$P$189:$P$193</definedName>
    <definedName name="OSRRefP22_19x_0" localSheetId="70">'Div 4'!$P$98:$P$108</definedName>
    <definedName name="OSRRefP22_19x_0" localSheetId="2">Summary!$P$215:$P$218</definedName>
    <definedName name="OSRRefP22_1x_0" localSheetId="40">'200'!$P$22</definedName>
    <definedName name="OSRRefP22_1x_0" localSheetId="41">'201'!$P$31:$P$40</definedName>
    <definedName name="OSRRefP22_1x_0" localSheetId="42">'202'!$P$31:$P$40</definedName>
    <definedName name="OSRRefP22_1x_0" localSheetId="43">'203'!$P$31:$P$40</definedName>
    <definedName name="OSRRefP22_1x_0" localSheetId="44">'204'!$P$31:$P$40</definedName>
    <definedName name="OSRRefP22_1x_0" localSheetId="45">'205'!$P$30:$P$39</definedName>
    <definedName name="OSRRefP22_1x_0" localSheetId="46">'206'!$P$30:$P$39</definedName>
    <definedName name="OSRRefP22_1x_0" localSheetId="48">'300'!$P$127:$P$136</definedName>
    <definedName name="OSRRefP22_1x_0" localSheetId="49">'300 &amp; 317'!$P$150:$P$159</definedName>
    <definedName name="OSRRefP22_1x_0" localSheetId="50">'301'!$P$31:$P$40</definedName>
    <definedName name="OSRRefP22_1x_0" localSheetId="52">'307'!$P$48:$P$57</definedName>
    <definedName name="OSRRefP22_1x_0" localSheetId="53">'308'!$P$67:$P$76</definedName>
    <definedName name="OSRRefP22_1x_0" localSheetId="64">'309'!$P$31:$P$40</definedName>
    <definedName name="OSRRefP22_1x_0" localSheetId="63">'310'!$P$38:$P$47</definedName>
    <definedName name="OSRRefP22_1x_0" localSheetId="71">'310 &amp; 491'!$P$42:$P$51</definedName>
    <definedName name="OSRRefP22_1x_0" localSheetId="54">'311'!$P$66:$P$75</definedName>
    <definedName name="OSRRefP22_1x_0" localSheetId="65">'313'!$P$33:$P$42</definedName>
    <definedName name="OSRRefP22_1x_0" localSheetId="57">'315'!$P$90:$P$99</definedName>
    <definedName name="OSRRefP22_1x_0" localSheetId="60">'316'!$P$40:$P$49</definedName>
    <definedName name="OSRRefP22_1x_0" localSheetId="62">'317'!$P$61:$P$70</definedName>
    <definedName name="OSRRefP22_1x_0" localSheetId="66">'321'!$P$35:$P$44</definedName>
    <definedName name="OSRRefP22_1x_0" localSheetId="67">'322'!$P$32:$P$41</definedName>
    <definedName name="OSRRefP22_1x_0" localSheetId="55">'324'!$P$36:$P$45</definedName>
    <definedName name="OSRRefP22_1x_0" localSheetId="68">'325'!$P$34:$P$43</definedName>
    <definedName name="OSRRefP22_1x_0" localSheetId="58">'326'!$P$56:$P$65</definedName>
    <definedName name="OSRRefP22_1x_0" localSheetId="51">'330'!$P$48:$P$57</definedName>
    <definedName name="OSRRefP22_1x_0" localSheetId="56">'331'!$P$90:$P$99</definedName>
    <definedName name="OSRRefP22_1x_0" localSheetId="59">'332'!$P$40:$P$49</definedName>
    <definedName name="OSRRefP22_1x_0" localSheetId="73">'405'!$P$32:$P$41</definedName>
    <definedName name="OSRRefP22_1x_0" localSheetId="74">'406'!$P$22</definedName>
    <definedName name="OSRRefP22_1x_0" localSheetId="75">'411'!$P$30:$P$39</definedName>
    <definedName name="OSRRefP22_1x_0" localSheetId="76">'412'!$P$31:$P$40</definedName>
    <definedName name="OSRRefP22_1x_0" localSheetId="77">'413'!$P$33:$P$42</definedName>
    <definedName name="OSRRefP22_1x_0" localSheetId="78">'414'!$P$34:$P$43</definedName>
    <definedName name="OSRRefP22_1x_0" localSheetId="79">'415'!$P$37:$P$46</definedName>
    <definedName name="OSRRefP22_1x_0" localSheetId="80">'418'!$P$32:$P$41</definedName>
    <definedName name="OSRRefP22_1x_0" localSheetId="82">'423'!$P$29:$P$38</definedName>
    <definedName name="OSRRefP22_1x_0" localSheetId="83">'424'!$P$22</definedName>
    <definedName name="OSRRefP22_1x_0" localSheetId="84">'425'!$P$26</definedName>
    <definedName name="OSRRefP22_1x_0" localSheetId="87">'430'!$P$30:$P$39</definedName>
    <definedName name="OSRRefP22_1x_0" localSheetId="88">'433'!$P$38:$P$47</definedName>
    <definedName name="OSRRefP22_1x_0" localSheetId="90">'444'!$P$38:$P$47</definedName>
    <definedName name="OSRRefP22_1x_0" localSheetId="91">'450'!$P$34:$P$43</definedName>
    <definedName name="OSRRefP22_1x_0" localSheetId="72">'491'!$P$39:$P$48</definedName>
    <definedName name="OSRRefP22_1x_0" localSheetId="86">'492'!$P$38:$P$47</definedName>
    <definedName name="OSRRefP22_1x_0" localSheetId="93">'501'!$P$32:$P$41</definedName>
    <definedName name="OSRRefP22_1x_0" localSheetId="39">'Div 2'!$P$33:$P$42</definedName>
    <definedName name="OSRRefP22_1x_0" localSheetId="47">'Div 3'!$P$131:$P$140</definedName>
    <definedName name="OSRRefP22_1x_0" localSheetId="70">'Div 4'!$P$42:$P$51</definedName>
    <definedName name="OSRRefP22_1x_0" localSheetId="92">'Div 5'!$P$32:$P$41</definedName>
    <definedName name="OSRRefP22_1x_0" localSheetId="61">'Div 6'!$P$61:$P$70</definedName>
    <definedName name="OSRRefP22_1x_0" localSheetId="2">Summary!$P$159:$P$168</definedName>
    <definedName name="OSRRefP22_20x_0" localSheetId="48">'300'!$P$191:$P$199</definedName>
    <definedName name="OSRRefP22_20x_0" localSheetId="49">'300 &amp; 317'!$P$214:$P$222</definedName>
    <definedName name="OSRRefP22_20x_0" localSheetId="50">'301'!$P$91:$P$92</definedName>
    <definedName name="OSRRefP22_20x_0" localSheetId="63">'310'!$P$100</definedName>
    <definedName name="OSRRefP22_20x_0" localSheetId="71">'310 &amp; 491'!$P$112:$P$114</definedName>
    <definedName name="OSRRefP22_20x_0" localSheetId="58">'326'!$P$115</definedName>
    <definedName name="OSRRefP22_20x_0" localSheetId="56">'331'!$P$153</definedName>
    <definedName name="OSRRefP22_20x_0" localSheetId="72">'491'!$P$108:$P$110</definedName>
    <definedName name="OSRRefP22_20x_0" localSheetId="47">'Div 3'!$P$195:$P$196</definedName>
    <definedName name="OSRRefP22_20x_0" localSheetId="70">'Div 4'!$P$110:$P$111</definedName>
    <definedName name="OSRRefP22_20x_0" localSheetId="2">Summary!$P$220:$P$224</definedName>
    <definedName name="OSRRefP22_21x_0" localSheetId="48">'300'!$P$201:$P$202</definedName>
    <definedName name="OSRRefP22_21x_0" localSheetId="49">'300 &amp; 317'!$P$224:$P$225</definedName>
    <definedName name="OSRRefP22_21x_0" localSheetId="50">'301'!$P$94</definedName>
    <definedName name="OSRRefP22_21x_0" localSheetId="63">'310'!$P$102</definedName>
    <definedName name="OSRRefP22_21x_0" localSheetId="71">'310 &amp; 491'!$P$116</definedName>
    <definedName name="OSRRefP22_21x_0" localSheetId="56">'331'!$P$155:$P$156</definedName>
    <definedName name="OSRRefP22_21x_0" localSheetId="72">'491'!$P$112</definedName>
    <definedName name="OSRRefP22_21x_0" localSheetId="47">'Div 3'!$P$198:$P$206</definedName>
    <definedName name="OSRRefP22_21x_0" localSheetId="70">'Div 4'!$P$113</definedName>
    <definedName name="OSRRefP22_21x_0" localSheetId="2">Summary!$P$226:$P$227</definedName>
    <definedName name="OSRRefP22_22x_0" localSheetId="48">'300'!$P$204</definedName>
    <definedName name="OSRRefP22_22x_0" localSheetId="49">'300 &amp; 317'!$P$227</definedName>
    <definedName name="OSRRefP22_22x_0" localSheetId="56">'331'!$P$158</definedName>
    <definedName name="OSRRefP22_22x_0" localSheetId="47">'Div 3'!$P$208:$P$209</definedName>
    <definedName name="OSRRefP22_22x_0" localSheetId="70">'Div 4'!$P$115:$P$117</definedName>
    <definedName name="OSRRefP22_22x_0" localSheetId="2">Summary!$P$229:$P$239</definedName>
    <definedName name="OSRRefP22_23x_0" localSheetId="48">'300'!$P$206:$P$208</definedName>
    <definedName name="OSRRefP22_23x_0" localSheetId="49">'300 &amp; 317'!$P$229:$P$231</definedName>
    <definedName name="OSRRefP22_23x_0" localSheetId="47">'Div 3'!$P$211</definedName>
    <definedName name="OSRRefP22_23x_0" localSheetId="70">'Div 4'!$P$119</definedName>
    <definedName name="OSRRefP22_23x_0" localSheetId="2">Summary!$P$241:$P$242</definedName>
    <definedName name="OSRRefP22_24x_0" localSheetId="48">'300'!$P$210</definedName>
    <definedName name="OSRRefP22_24x_0" localSheetId="49">'300 &amp; 317'!$P$233</definedName>
    <definedName name="OSRRefP22_24x_0" localSheetId="47">'Div 3'!$P$213:$P$215</definedName>
    <definedName name="OSRRefP22_24x_0" localSheetId="2">Summary!$P$244</definedName>
    <definedName name="OSRRefP22_25x_0" localSheetId="47">'Div 3'!$P$217</definedName>
    <definedName name="OSRRefP22_25x_0" localSheetId="2">Summary!$P$246:$P$248</definedName>
    <definedName name="OSRRefP22_26x_0" localSheetId="2">Summary!$P$250</definedName>
    <definedName name="OSRRefP22_2x_0" localSheetId="40">'200'!$P$24</definedName>
    <definedName name="OSRRefP22_2x_0" localSheetId="41">'201'!$P$42</definedName>
    <definedName name="OSRRefP22_2x_0" localSheetId="42">'202'!$P$42</definedName>
    <definedName name="OSRRefP22_2x_0" localSheetId="43">'203'!$P$42</definedName>
    <definedName name="OSRRefP22_2x_0" localSheetId="44">'204'!$P$42</definedName>
    <definedName name="OSRRefP22_2x_0" localSheetId="45">'205'!$P$41</definedName>
    <definedName name="OSRRefP22_2x_0" localSheetId="46">'206'!$P$41</definedName>
    <definedName name="OSRRefP22_2x_0" localSheetId="48">'300'!$P$138</definedName>
    <definedName name="OSRRefP22_2x_0" localSheetId="49">'300 &amp; 317'!$P$161</definedName>
    <definedName name="OSRRefP22_2x_0" localSheetId="50">'301'!$P$42</definedName>
    <definedName name="OSRRefP22_2x_0" localSheetId="52">'307'!$P$59</definedName>
    <definedName name="OSRRefP22_2x_0" localSheetId="53">'308'!$P$78</definedName>
    <definedName name="OSRRefP22_2x_0" localSheetId="64">'309'!$P$42</definedName>
    <definedName name="OSRRefP22_2x_0" localSheetId="63">'310'!$P$49</definedName>
    <definedName name="OSRRefP22_2x_0" localSheetId="71">'310 &amp; 491'!$P$53</definedName>
    <definedName name="OSRRefP22_2x_0" localSheetId="54">'311'!$P$77</definedName>
    <definedName name="OSRRefP22_2x_0" localSheetId="65">'313'!$P$44</definedName>
    <definedName name="OSRRefP22_2x_0" localSheetId="57">'315'!$P$101</definedName>
    <definedName name="OSRRefP22_2x_0" localSheetId="60">'316'!$P$51</definedName>
    <definedName name="OSRRefP22_2x_0" localSheetId="62">'317'!$P$72</definedName>
    <definedName name="OSRRefP22_2x_0" localSheetId="66">'321'!$P$46</definedName>
    <definedName name="OSRRefP22_2x_0" localSheetId="67">'322'!$P$43</definedName>
    <definedName name="OSRRefP22_2x_0" localSheetId="68">'325'!$P$45</definedName>
    <definedName name="OSRRefP22_2x_0" localSheetId="58">'326'!$P$67</definedName>
    <definedName name="OSRRefP22_2x_0" localSheetId="51">'330'!$P$59</definedName>
    <definedName name="OSRRefP22_2x_0" localSheetId="56">'331'!$P$101</definedName>
    <definedName name="OSRRefP22_2x_0" localSheetId="59">'332'!$P$51</definedName>
    <definedName name="OSRRefP22_2x_0" localSheetId="73">'405'!$P$43</definedName>
    <definedName name="OSRRefP22_2x_0" localSheetId="74">'406'!$P$24</definedName>
    <definedName name="OSRRefP22_2x_0" localSheetId="75">'411'!$P$41</definedName>
    <definedName name="OSRRefP22_2x_0" localSheetId="76">'412'!$P$42</definedName>
    <definedName name="OSRRefP22_2x_0" localSheetId="77">'413'!$P$44</definedName>
    <definedName name="OSRRefP22_2x_0" localSheetId="78">'414'!$P$45</definedName>
    <definedName name="OSRRefP22_2x_0" localSheetId="79">'415'!$P$48</definedName>
    <definedName name="OSRRefP22_2x_0" localSheetId="80">'418'!$P$43</definedName>
    <definedName name="OSRRefP22_2x_0" localSheetId="82">'423'!$P$40</definedName>
    <definedName name="OSRRefP22_2x_0" localSheetId="83">'424'!$P$24</definedName>
    <definedName name="OSRRefP22_2x_0" localSheetId="84">'425'!$P$28</definedName>
    <definedName name="OSRRefP22_2x_0" localSheetId="87">'430'!$P$41</definedName>
    <definedName name="OSRRefP22_2x_0" localSheetId="88">'433'!$P$49</definedName>
    <definedName name="OSRRefP22_2x_0" localSheetId="90">'444'!$P$49</definedName>
    <definedName name="OSRRefP22_2x_0" localSheetId="91">'450'!$P$45</definedName>
    <definedName name="OSRRefP22_2x_0" localSheetId="72">'491'!$P$50</definedName>
    <definedName name="OSRRefP22_2x_0" localSheetId="86">'492'!$P$49</definedName>
    <definedName name="OSRRefP22_2x_0" localSheetId="93">'501'!$P$43</definedName>
    <definedName name="OSRRefP22_2x_0" localSheetId="39">'Div 2'!$P$44</definedName>
    <definedName name="OSRRefP22_2x_0" localSheetId="47">'Div 3'!$P$142</definedName>
    <definedName name="OSRRefP22_2x_0" localSheetId="70">'Div 4'!$P$53</definedName>
    <definedName name="OSRRefP22_2x_0" localSheetId="92">'Div 5'!$P$43</definedName>
    <definedName name="OSRRefP22_2x_0" localSheetId="61">'Div 6'!$P$72</definedName>
    <definedName name="OSRRefP22_2x_0" localSheetId="2">Summary!$P$170</definedName>
    <definedName name="OSRRefP22_3x_0" localSheetId="40">'200'!$P$26</definedName>
    <definedName name="OSRRefP22_3x_0" localSheetId="41">'201'!$P$44</definedName>
    <definedName name="OSRRefP22_3x_0" localSheetId="42">'202'!$P$44</definedName>
    <definedName name="OSRRefP22_3x_0" localSheetId="43">'203'!$P$44</definedName>
    <definedName name="OSRRefP22_3x_0" localSheetId="44">'204'!$P$44:$P$45</definedName>
    <definedName name="OSRRefP22_3x_0" localSheetId="45">'205'!$P$43</definedName>
    <definedName name="OSRRefP22_3x_0" localSheetId="46">'206'!$P$43</definedName>
    <definedName name="OSRRefP22_3x_0" localSheetId="48">'300'!$P$140:$P$141</definedName>
    <definedName name="OSRRefP22_3x_0" localSheetId="49">'300 &amp; 317'!$P$163:$P$164</definedName>
    <definedName name="OSRRefP22_3x_0" localSheetId="50">'301'!$P$44:$P$45</definedName>
    <definedName name="OSRRefP22_3x_0" localSheetId="52">'307'!$P$61</definedName>
    <definedName name="OSRRefP22_3x_0" localSheetId="53">'308'!$P$80</definedName>
    <definedName name="OSRRefP22_3x_0" localSheetId="64">'309'!$P$44</definedName>
    <definedName name="OSRRefP22_3x_0" localSheetId="63">'310'!$P$51</definedName>
    <definedName name="OSRRefP22_3x_0" localSheetId="71">'310 &amp; 491'!$P$55</definedName>
    <definedName name="OSRRefP22_3x_0" localSheetId="54">'311'!$P$79</definedName>
    <definedName name="OSRRefP22_3x_0" localSheetId="65">'313'!$P$46</definedName>
    <definedName name="OSRRefP22_3x_0" localSheetId="57">'315'!$P$103</definedName>
    <definedName name="OSRRefP22_3x_0" localSheetId="60">'316'!$P$53</definedName>
    <definedName name="OSRRefP22_3x_0" localSheetId="62">'317'!$P$74</definedName>
    <definedName name="OSRRefP22_3x_0" localSheetId="66">'321'!$P$48</definedName>
    <definedName name="OSRRefP22_3x_0" localSheetId="67">'322'!$P$45</definedName>
    <definedName name="OSRRefP22_3x_0" localSheetId="68">'325'!$P$47</definedName>
    <definedName name="OSRRefP22_3x_0" localSheetId="58">'326'!$P$69</definedName>
    <definedName name="OSRRefP22_3x_0" localSheetId="51">'330'!$P$61</definedName>
    <definedName name="OSRRefP22_3x_0" localSheetId="56">'331'!$P$103</definedName>
    <definedName name="OSRRefP22_3x_0" localSheetId="59">'332'!$P$53</definedName>
    <definedName name="OSRRefP22_3x_0" localSheetId="73">'405'!$P$45</definedName>
    <definedName name="OSRRefP22_3x_0" localSheetId="74">'406'!$P$26</definedName>
    <definedName name="OSRRefP22_3x_0" localSheetId="75">'411'!$P$43</definedName>
    <definedName name="OSRRefP22_3x_0" localSheetId="76">'412'!$P$44</definedName>
    <definedName name="OSRRefP22_3x_0" localSheetId="77">'413'!$P$46</definedName>
    <definedName name="OSRRefP22_3x_0" localSheetId="78">'414'!$P$47</definedName>
    <definedName name="OSRRefP22_3x_0" localSheetId="79">'415'!$P$50</definedName>
    <definedName name="OSRRefP22_3x_0" localSheetId="80">'418'!$P$45</definedName>
    <definedName name="OSRRefP22_3x_0" localSheetId="82">'423'!$P$42:$P$43</definedName>
    <definedName name="OSRRefP22_3x_0" localSheetId="83">'424'!$P$26</definedName>
    <definedName name="OSRRefP22_3x_0" localSheetId="84">'425'!$P$30</definedName>
    <definedName name="OSRRefP22_3x_0" localSheetId="87">'430'!$P$43</definedName>
    <definedName name="OSRRefP22_3x_0" localSheetId="88">'433'!$P$51</definedName>
    <definedName name="OSRRefP22_3x_0" localSheetId="90">'444'!$P$51</definedName>
    <definedName name="OSRRefP22_3x_0" localSheetId="91">'450'!$P$47</definedName>
    <definedName name="OSRRefP22_3x_0" localSheetId="72">'491'!$P$52</definedName>
    <definedName name="OSRRefP22_3x_0" localSheetId="86">'492'!$P$51</definedName>
    <definedName name="OSRRefP22_3x_0" localSheetId="93">'501'!$P$45</definedName>
    <definedName name="OSRRefP22_3x_0" localSheetId="39">'Div 2'!$P$46</definedName>
    <definedName name="OSRRefP22_3x_0" localSheetId="47">'Div 3'!$P$144:$P$145</definedName>
    <definedName name="OSRRefP22_3x_0" localSheetId="70">'Div 4'!$P$55</definedName>
    <definedName name="OSRRefP22_3x_0" localSheetId="92">'Div 5'!$P$45</definedName>
    <definedName name="OSRRefP22_3x_0" localSheetId="61">'Div 6'!$P$74</definedName>
    <definedName name="OSRRefP22_3x_0" localSheetId="2">Summary!$P$172:$P$173</definedName>
    <definedName name="OSRRefP22_4x_0" localSheetId="40">'200'!$P$28:$P$29</definedName>
    <definedName name="OSRRefP22_4x_0" localSheetId="41">'201'!$P$46</definedName>
    <definedName name="OSRRefP22_4x_0" localSheetId="42">'202'!$P$46:$P$47</definedName>
    <definedName name="OSRRefP22_4x_0" localSheetId="43">'203'!$P$46</definedName>
    <definedName name="OSRRefP22_4x_0" localSheetId="44">'204'!$P$47</definedName>
    <definedName name="OSRRefP22_4x_0" localSheetId="45">'205'!$P$45:$P$46</definedName>
    <definedName name="OSRRefP22_4x_0" localSheetId="46">'206'!$P$45</definedName>
    <definedName name="OSRRefP22_4x_0" localSheetId="48">'300'!$P$143</definedName>
    <definedName name="OSRRefP22_4x_0" localSheetId="49">'300 &amp; 317'!$P$166</definedName>
    <definedName name="OSRRefP22_4x_0" localSheetId="50">'301'!$P$47</definedName>
    <definedName name="OSRRefP22_4x_0" localSheetId="52">'307'!$P$63</definedName>
    <definedName name="OSRRefP22_4x_0" localSheetId="53">'308'!$P$82</definedName>
    <definedName name="OSRRefP22_4x_0" localSheetId="64">'309'!$P$46</definedName>
    <definedName name="OSRRefP22_4x_0" localSheetId="63">'310'!$P$53</definedName>
    <definedName name="OSRRefP22_4x_0" localSheetId="71">'310 &amp; 491'!$P$57</definedName>
    <definedName name="OSRRefP22_4x_0" localSheetId="54">'311'!$P$81</definedName>
    <definedName name="OSRRefP22_4x_0" localSheetId="65">'313'!$P$48</definedName>
    <definedName name="OSRRefP22_4x_0" localSheetId="57">'315'!$P$105</definedName>
    <definedName name="OSRRefP22_4x_0" localSheetId="60">'316'!$P$55</definedName>
    <definedName name="OSRRefP22_4x_0" localSheetId="62">'317'!$P$76</definedName>
    <definedName name="OSRRefP22_4x_0" localSheetId="66">'321'!$P$50</definedName>
    <definedName name="OSRRefP22_4x_0" localSheetId="67">'322'!$P$47</definedName>
    <definedName name="OSRRefP22_4x_0" localSheetId="68">'325'!$P$49</definedName>
    <definedName name="OSRRefP22_4x_0" localSheetId="58">'326'!$P$71</definedName>
    <definedName name="OSRRefP22_4x_0" localSheetId="51">'330'!$P$63</definedName>
    <definedName name="OSRRefP22_4x_0" localSheetId="56">'331'!$P$105</definedName>
    <definedName name="OSRRefP22_4x_0" localSheetId="59">'332'!$P$55</definedName>
    <definedName name="OSRRefP22_4x_0" localSheetId="73">'405'!$P$47:$P$48</definedName>
    <definedName name="OSRRefP22_4x_0" localSheetId="74">'406'!$P$28</definedName>
    <definedName name="OSRRefP22_4x_0" localSheetId="75">'411'!$P$45:$P$46</definedName>
    <definedName name="OSRRefP22_4x_0" localSheetId="76">'412'!$P$46:$P$47</definedName>
    <definedName name="OSRRefP22_4x_0" localSheetId="77">'413'!$P$48</definedName>
    <definedName name="OSRRefP22_4x_0" localSheetId="78">'414'!$P$49</definedName>
    <definedName name="OSRRefP22_4x_0" localSheetId="79">'415'!$P$52</definedName>
    <definedName name="OSRRefP22_4x_0" localSheetId="80">'418'!$P$47:$P$48</definedName>
    <definedName name="OSRRefP22_4x_0" localSheetId="82">'423'!$P$45</definedName>
    <definedName name="OSRRefP22_4x_0" localSheetId="84">'425'!$P$32:$P$33</definedName>
    <definedName name="OSRRefP22_4x_0" localSheetId="87">'430'!$P$45:$P$47</definedName>
    <definedName name="OSRRefP22_4x_0" localSheetId="88">'433'!$P$53</definedName>
    <definedName name="OSRRefP22_4x_0" localSheetId="90">'444'!$P$53</definedName>
    <definedName name="OSRRefP22_4x_0" localSheetId="91">'450'!$P$49</definedName>
    <definedName name="OSRRefP22_4x_0" localSheetId="72">'491'!$P$54</definedName>
    <definedName name="OSRRefP22_4x_0" localSheetId="86">'492'!$P$53</definedName>
    <definedName name="OSRRefP22_4x_0" localSheetId="93">'501'!$P$47</definedName>
    <definedName name="OSRRefP22_4x_0" localSheetId="39">'Div 2'!$P$48</definedName>
    <definedName name="OSRRefP22_4x_0" localSheetId="47">'Div 3'!$P$147</definedName>
    <definedName name="OSRRefP22_4x_0" localSheetId="70">'Div 4'!$P$57</definedName>
    <definedName name="OSRRefP22_4x_0" localSheetId="92">'Div 5'!$P$47</definedName>
    <definedName name="OSRRefP22_4x_0" localSheetId="61">'Div 6'!$P$76</definedName>
    <definedName name="OSRRefP22_4x_0" localSheetId="2">Summary!$P$175</definedName>
    <definedName name="OSRRefP22_5x_0" localSheetId="41">'201'!$P$48</definedName>
    <definedName name="OSRRefP22_5x_0" localSheetId="42">'202'!$P$49</definedName>
    <definedName name="OSRRefP22_5x_0" localSheetId="43">'203'!$P$48</definedName>
    <definedName name="OSRRefP22_5x_0" localSheetId="44">'204'!$P$49</definedName>
    <definedName name="OSRRefP22_5x_0" localSheetId="45">'205'!$P$48</definedName>
    <definedName name="OSRRefP22_5x_0" localSheetId="46">'206'!$P$47</definedName>
    <definedName name="OSRRefP22_5x_0" localSheetId="48">'300'!$P$145:$P$146</definedName>
    <definedName name="OSRRefP22_5x_0" localSheetId="49">'300 &amp; 317'!$P$168:$P$169</definedName>
    <definedName name="OSRRefP22_5x_0" localSheetId="50">'301'!$P$49:$P$50</definedName>
    <definedName name="OSRRefP22_5x_0" localSheetId="52">'307'!$P$65:$P$66</definedName>
    <definedName name="OSRRefP22_5x_0" localSheetId="53">'308'!$P$84</definedName>
    <definedName name="OSRRefP22_5x_0" localSheetId="64">'309'!$P$48</definedName>
    <definedName name="OSRRefP22_5x_0" localSheetId="63">'310'!$P$55:$P$56</definedName>
    <definedName name="OSRRefP22_5x_0" localSheetId="71">'310 &amp; 491'!$P$59:$P$61</definedName>
    <definedName name="OSRRefP22_5x_0" localSheetId="54">'311'!$P$83</definedName>
    <definedName name="OSRRefP22_5x_0" localSheetId="65">'313'!$P$50</definedName>
    <definedName name="OSRRefP22_5x_0" localSheetId="57">'315'!$P$107</definedName>
    <definedName name="OSRRefP22_5x_0" localSheetId="60">'316'!$P$57</definedName>
    <definedName name="OSRRefP22_5x_0" localSheetId="62">'317'!$P$78</definedName>
    <definedName name="OSRRefP22_5x_0" localSheetId="66">'321'!$P$52</definedName>
    <definedName name="OSRRefP22_5x_0" localSheetId="67">'322'!$P$49</definedName>
    <definedName name="OSRRefP22_5x_0" localSheetId="68">'325'!$P$51:$P$52</definedName>
    <definedName name="OSRRefP22_5x_0" localSheetId="58">'326'!$P$73</definedName>
    <definedName name="OSRRefP22_5x_0" localSheetId="51">'330'!$P$65:$P$66</definedName>
    <definedName name="OSRRefP22_5x_0" localSheetId="56">'331'!$P$107</definedName>
    <definedName name="OSRRefP22_5x_0" localSheetId="59">'332'!$P$57</definedName>
    <definedName name="OSRRefP22_5x_0" localSheetId="73">'405'!$P$50</definedName>
    <definedName name="OSRRefP22_5x_0" localSheetId="75">'411'!$P$48</definedName>
    <definedName name="OSRRefP22_5x_0" localSheetId="76">'412'!$P$49</definedName>
    <definedName name="OSRRefP22_5x_0" localSheetId="77">'413'!$P$50</definedName>
    <definedName name="OSRRefP22_5x_0" localSheetId="78">'414'!$P$51</definedName>
    <definedName name="OSRRefP22_5x_0" localSheetId="79">'415'!$P$54:$P$55</definedName>
    <definedName name="OSRRefP22_5x_0" localSheetId="80">'418'!$P$50</definedName>
    <definedName name="OSRRefP22_5x_0" localSheetId="82">'423'!$P$47</definedName>
    <definedName name="OSRRefP22_5x_0" localSheetId="84">'425'!$P$35</definedName>
    <definedName name="OSRRefP22_5x_0" localSheetId="87">'430'!$P$49:$P$50</definedName>
    <definedName name="OSRRefP22_5x_0" localSheetId="88">'433'!$P$55</definedName>
    <definedName name="OSRRefP22_5x_0" localSheetId="90">'444'!$P$55</definedName>
    <definedName name="OSRRefP22_5x_0" localSheetId="91">'450'!$P$51</definedName>
    <definedName name="OSRRefP22_5x_0" localSheetId="72">'491'!$P$56:$P$58</definedName>
    <definedName name="OSRRefP22_5x_0" localSheetId="86">'492'!$P$55</definedName>
    <definedName name="OSRRefP22_5x_0" localSheetId="93">'501'!$P$49:$P$50</definedName>
    <definedName name="OSRRefP22_5x_0" localSheetId="39">'Div 2'!$P$50:$P$51</definedName>
    <definedName name="OSRRefP22_5x_0" localSheetId="47">'Div 3'!$P$149:$P$150</definedName>
    <definedName name="OSRRefP22_5x_0" localSheetId="70">'Div 4'!$P$59:$P$61</definedName>
    <definedName name="OSRRefP22_5x_0" localSheetId="92">'Div 5'!$P$49:$P$50</definedName>
    <definedName name="OSRRefP22_5x_0" localSheetId="61">'Div 6'!$P$78</definedName>
    <definedName name="OSRRefP22_5x_0" localSheetId="2">Summary!$P$177:$P$179</definedName>
    <definedName name="OSRRefP22_6x_0" localSheetId="41">'201'!$P$50</definedName>
    <definedName name="OSRRefP22_6x_0" localSheetId="42">'202'!$P$51</definedName>
    <definedName name="OSRRefP22_6x_0" localSheetId="43">'203'!$P$50</definedName>
    <definedName name="OSRRefP22_6x_0" localSheetId="44">'204'!$P$51</definedName>
    <definedName name="OSRRefP22_6x_0" localSheetId="45">'205'!$P$50:$P$52</definedName>
    <definedName name="OSRRefP22_6x_0" localSheetId="46">'206'!$P$49</definedName>
    <definedName name="OSRRefP22_6x_0" localSheetId="48">'300'!$P$148:$P$149</definedName>
    <definedName name="OSRRefP22_6x_0" localSheetId="49">'300 &amp; 317'!$P$171:$P$172</definedName>
    <definedName name="OSRRefP22_6x_0" localSheetId="50">'301'!$P$52</definedName>
    <definedName name="OSRRefP22_6x_0" localSheetId="52">'307'!$P$68</definedName>
    <definedName name="OSRRefP22_6x_0" localSheetId="53">'308'!$P$86:$P$87</definedName>
    <definedName name="OSRRefP22_6x_0" localSheetId="64">'309'!$P$50</definedName>
    <definedName name="OSRRefP22_6x_0" localSheetId="63">'310'!$P$58</definedName>
    <definedName name="OSRRefP22_6x_0" localSheetId="71">'310 &amp; 491'!$P$63</definedName>
    <definedName name="OSRRefP22_6x_0" localSheetId="54">'311'!$P$85:$P$86</definedName>
    <definedName name="OSRRefP22_6x_0" localSheetId="65">'313'!$P$52:$P$53</definedName>
    <definedName name="OSRRefP22_6x_0" localSheetId="57">'315'!$P$109</definedName>
    <definedName name="OSRRefP22_6x_0" localSheetId="60">'316'!$P$59:$P$60</definedName>
    <definedName name="OSRRefP22_6x_0" localSheetId="62">'317'!$P$80:$P$81</definedName>
    <definedName name="OSRRefP22_6x_0" localSheetId="66">'321'!$P$54</definedName>
    <definedName name="OSRRefP22_6x_0" localSheetId="67">'322'!$P$51</definedName>
    <definedName name="OSRRefP22_6x_0" localSheetId="68">'325'!$P$54</definedName>
    <definedName name="OSRRefP22_6x_0" localSheetId="58">'326'!$P$75</definedName>
    <definedName name="OSRRefP22_6x_0" localSheetId="51">'330'!$P$68</definedName>
    <definedName name="OSRRefP22_6x_0" localSheetId="56">'331'!$P$109</definedName>
    <definedName name="OSRRefP22_6x_0" localSheetId="59">'332'!$P$59:$P$60</definedName>
    <definedName name="OSRRefP22_6x_0" localSheetId="73">'405'!$P$52</definedName>
    <definedName name="OSRRefP22_6x_0" localSheetId="75">'411'!$P$50</definedName>
    <definedName name="OSRRefP22_6x_0" localSheetId="76">'412'!$P$51</definedName>
    <definedName name="OSRRefP22_6x_0" localSheetId="77">'413'!$P$52</definedName>
    <definedName name="OSRRefP22_6x_0" localSheetId="78">'414'!$P$53</definedName>
    <definedName name="OSRRefP22_6x_0" localSheetId="79">'415'!$P$57</definedName>
    <definedName name="OSRRefP22_6x_0" localSheetId="80">'418'!$P$52</definedName>
    <definedName name="OSRRefP22_6x_0" localSheetId="82">'423'!$P$49</definedName>
    <definedName name="OSRRefP22_6x_0" localSheetId="87">'430'!$P$52</definedName>
    <definedName name="OSRRefP22_6x_0" localSheetId="88">'433'!$P$57</definedName>
    <definedName name="OSRRefP22_6x_0" localSheetId="90">'444'!$P$57</definedName>
    <definedName name="OSRRefP22_6x_0" localSheetId="91">'450'!$P$53</definedName>
    <definedName name="OSRRefP22_6x_0" localSheetId="72">'491'!$P$60</definedName>
    <definedName name="OSRRefP22_6x_0" localSheetId="86">'492'!$P$57</definedName>
    <definedName name="OSRRefP22_6x_0" localSheetId="93">'501'!$P$52</definedName>
    <definedName name="OSRRefP22_6x_0" localSheetId="39">'Div 2'!$P$53</definedName>
    <definedName name="OSRRefP22_6x_0" localSheetId="47">'Div 3'!$P$152:$P$153</definedName>
    <definedName name="OSRRefP22_6x_0" localSheetId="70">'Div 4'!$P$63</definedName>
    <definedName name="OSRRefP22_6x_0" localSheetId="92">'Div 5'!$P$52</definedName>
    <definedName name="OSRRefP22_6x_0" localSheetId="61">'Div 6'!$P$80:$P$81</definedName>
    <definedName name="OSRRefP22_6x_0" localSheetId="2">Summary!$P$181:$P$182</definedName>
    <definedName name="OSRRefP22_7x_0" localSheetId="41">'201'!$P$52</definedName>
    <definedName name="OSRRefP22_7x_0" localSheetId="42">'202'!$P$53:$P$54</definedName>
    <definedName name="OSRRefP22_7x_0" localSheetId="43">'203'!$P$52:$P$53</definedName>
    <definedName name="OSRRefP22_7x_0" localSheetId="44">'204'!$P$53:$P$55</definedName>
    <definedName name="OSRRefP22_7x_0" localSheetId="45">'205'!$P$54</definedName>
    <definedName name="OSRRefP22_7x_0" localSheetId="46">'206'!$P$51</definedName>
    <definedName name="OSRRefP22_7x_0" localSheetId="48">'300'!$P$151:$P$152</definedName>
    <definedName name="OSRRefP22_7x_0" localSheetId="49">'300 &amp; 317'!$P$174:$P$175</definedName>
    <definedName name="OSRRefP22_7x_0" localSheetId="50">'301'!$P$54</definedName>
    <definedName name="OSRRefP22_7x_0" localSheetId="52">'307'!$P$70</definedName>
    <definedName name="OSRRefP22_7x_0" localSheetId="53">'308'!$P$89:$P$90</definedName>
    <definedName name="OSRRefP22_7x_0" localSheetId="64">'309'!$P$52:$P$53</definedName>
    <definedName name="OSRRefP22_7x_0" localSheetId="63">'310'!$P$60</definedName>
    <definedName name="OSRRefP22_7x_0" localSheetId="71">'310 &amp; 491'!$P$65</definedName>
    <definedName name="OSRRefP22_7x_0" localSheetId="54">'311'!$P$88:$P$89</definedName>
    <definedName name="OSRRefP22_7x_0" localSheetId="65">'313'!$P$55</definedName>
    <definedName name="OSRRefP22_7x_0" localSheetId="57">'315'!$P$111:$P$112</definedName>
    <definedName name="OSRRefP22_7x_0" localSheetId="60">'316'!$P$62:$P$63</definedName>
    <definedName name="OSRRefP22_7x_0" localSheetId="62">'317'!$P$83</definedName>
    <definedName name="OSRRefP22_7x_0" localSheetId="66">'321'!$P$56:$P$57</definedName>
    <definedName name="OSRRefP22_7x_0" localSheetId="67">'322'!$P$53:$P$54</definedName>
    <definedName name="OSRRefP22_7x_0" localSheetId="68">'325'!$P$56</definedName>
    <definedName name="OSRRefP22_7x_0" localSheetId="58">'326'!$P$77</definedName>
    <definedName name="OSRRefP22_7x_0" localSheetId="51">'330'!$P$70</definedName>
    <definedName name="OSRRefP22_7x_0" localSheetId="56">'331'!$P$111</definedName>
    <definedName name="OSRRefP22_7x_0" localSheetId="59">'332'!$P$62:$P$63</definedName>
    <definedName name="OSRRefP22_7x_0" localSheetId="73">'405'!$P$54</definedName>
    <definedName name="OSRRefP22_7x_0" localSheetId="75">'411'!$P$52</definedName>
    <definedName name="OSRRefP22_7x_0" localSheetId="76">'412'!$P$53</definedName>
    <definedName name="OSRRefP22_7x_0" localSheetId="77">'413'!$P$54</definedName>
    <definedName name="OSRRefP22_7x_0" localSheetId="78">'414'!$P$55</definedName>
    <definedName name="OSRRefP22_7x_0" localSheetId="79">'415'!$P$59</definedName>
    <definedName name="OSRRefP22_7x_0" localSheetId="80">'418'!$P$54</definedName>
    <definedName name="OSRRefP22_7x_0" localSheetId="87">'430'!$P$54</definedName>
    <definedName name="OSRRefP22_7x_0" localSheetId="88">'433'!$P$59</definedName>
    <definedName name="OSRRefP22_7x_0" localSheetId="90">'444'!$P$59</definedName>
    <definedName name="OSRRefP22_7x_0" localSheetId="91">'450'!$P$55</definedName>
    <definedName name="OSRRefP22_7x_0" localSheetId="72">'491'!$P$62</definedName>
    <definedName name="OSRRefP22_7x_0" localSheetId="86">'492'!$P$59</definedName>
    <definedName name="OSRRefP22_7x_0" localSheetId="93">'501'!$P$54</definedName>
    <definedName name="OSRRefP22_7x_0" localSheetId="39">'Div 2'!$P$55</definedName>
    <definedName name="OSRRefP22_7x_0" localSheetId="47">'Div 3'!$P$155:$P$156</definedName>
    <definedName name="OSRRefP22_7x_0" localSheetId="70">'Div 4'!$P$65</definedName>
    <definedName name="OSRRefP22_7x_0" localSheetId="92">'Div 5'!$P$54</definedName>
    <definedName name="OSRRefP22_7x_0" localSheetId="61">'Div 6'!$P$83</definedName>
    <definedName name="OSRRefP22_7x_0" localSheetId="2">Summary!$P$184:$P$185</definedName>
    <definedName name="OSRRefP22_8x_0" localSheetId="41">'201'!$P$54</definedName>
    <definedName name="OSRRefP22_8x_0" localSheetId="42">'202'!$P$56</definedName>
    <definedName name="OSRRefP22_8x_0" localSheetId="43">'203'!$P$55:$P$57</definedName>
    <definedName name="OSRRefP22_8x_0" localSheetId="44">'204'!$P$57:$P$58</definedName>
    <definedName name="OSRRefP22_8x_0" localSheetId="46">'206'!$P$53:$P$54</definedName>
    <definedName name="OSRRefP22_8x_0" localSheetId="48">'300'!$P$154</definedName>
    <definedName name="OSRRefP22_8x_0" localSheetId="49">'300 &amp; 317'!$P$177</definedName>
    <definedName name="OSRRefP22_8x_0" localSheetId="50">'301'!$P$56</definedName>
    <definedName name="OSRRefP22_8x_0" localSheetId="52">'307'!$P$72</definedName>
    <definedName name="OSRRefP22_8x_0" localSheetId="53">'308'!$P$92</definedName>
    <definedName name="OSRRefP22_8x_0" localSheetId="64">'309'!$P$55:$P$56</definedName>
    <definedName name="OSRRefP22_8x_0" localSheetId="63">'310'!$P$62</definedName>
    <definedName name="OSRRefP22_8x_0" localSheetId="71">'310 &amp; 491'!$P$67:$P$68</definedName>
    <definedName name="OSRRefP22_8x_0" localSheetId="54">'311'!$P$91</definedName>
    <definedName name="OSRRefP22_8x_0" localSheetId="65">'313'!$P$57:$P$59</definedName>
    <definedName name="OSRRefP22_8x_0" localSheetId="57">'315'!$P$114</definedName>
    <definedName name="OSRRefP22_8x_0" localSheetId="60">'316'!$P$65</definedName>
    <definedName name="OSRRefP22_8x_0" localSheetId="62">'317'!$P$85</definedName>
    <definedName name="OSRRefP22_8x_0" localSheetId="66">'321'!$P$59:$P$60</definedName>
    <definedName name="OSRRefP22_8x_0" localSheetId="67">'322'!$P$56:$P$57</definedName>
    <definedName name="OSRRefP22_8x_0" localSheetId="68">'325'!$P$58</definedName>
    <definedName name="OSRRefP22_8x_0" localSheetId="58">'326'!$P$79:$P$80</definedName>
    <definedName name="OSRRefP22_8x_0" localSheetId="51">'330'!$P$72</definedName>
    <definedName name="OSRRefP22_8x_0" localSheetId="56">'331'!$P$113:$P$114</definedName>
    <definedName name="OSRRefP22_8x_0" localSheetId="59">'332'!$P$65</definedName>
    <definedName name="OSRRefP22_8x_0" localSheetId="73">'405'!$P$56</definedName>
    <definedName name="OSRRefP22_8x_0" localSheetId="75">'411'!$P$54</definedName>
    <definedName name="OSRRefP22_8x_0" localSheetId="76">'412'!$P$55:$P$56</definedName>
    <definedName name="OSRRefP22_8x_0" localSheetId="77">'413'!$P$56:$P$58</definedName>
    <definedName name="OSRRefP22_8x_0" localSheetId="78">'414'!$P$57:$P$58</definedName>
    <definedName name="OSRRefP22_8x_0" localSheetId="79">'415'!$P$61</definedName>
    <definedName name="OSRRefP22_8x_0" localSheetId="80">'418'!$P$56:$P$58</definedName>
    <definedName name="OSRRefP22_8x_0" localSheetId="88">'433'!$P$61</definedName>
    <definedName name="OSRRefP22_8x_0" localSheetId="90">'444'!$P$61</definedName>
    <definedName name="OSRRefP22_8x_0" localSheetId="91">'450'!$P$57</definedName>
    <definedName name="OSRRefP22_8x_0" localSheetId="72">'491'!$P$64</definedName>
    <definedName name="OSRRefP22_8x_0" localSheetId="86">'492'!$P$61</definedName>
    <definedName name="OSRRefP22_8x_0" localSheetId="93">'501'!$P$56</definedName>
    <definedName name="OSRRefP22_8x_0" localSheetId="39">'Div 2'!$P$57</definedName>
    <definedName name="OSRRefP22_8x_0" localSheetId="47">'Div 3'!$P$158</definedName>
    <definedName name="OSRRefP22_8x_0" localSheetId="70">'Div 4'!$P$67</definedName>
    <definedName name="OSRRefP22_8x_0" localSheetId="92">'Div 5'!$P$56</definedName>
    <definedName name="OSRRefP22_8x_0" localSheetId="61">'Div 6'!$P$85</definedName>
    <definedName name="OSRRefP22_8x_0" localSheetId="2">Summary!$P$187</definedName>
    <definedName name="OSRRefP22_9x_0" localSheetId="41">'201'!$P$56</definedName>
    <definedName name="OSRRefP22_9x_0" localSheetId="42">'202'!$P$58:$P$60</definedName>
    <definedName name="OSRRefP22_9x_0" localSheetId="43">'203'!$P$59:$P$60</definedName>
    <definedName name="OSRRefP22_9x_0" localSheetId="44">'204'!$P$60</definedName>
    <definedName name="OSRRefP22_9x_0" localSheetId="46">'206'!$P$56</definedName>
    <definedName name="OSRRefP22_9x_0" localSheetId="48">'300'!$P$156</definedName>
    <definedName name="OSRRefP22_9x_0" localSheetId="49">'300 &amp; 317'!$P$179</definedName>
    <definedName name="OSRRefP22_9x_0" localSheetId="50">'301'!$P$58</definedName>
    <definedName name="OSRRefP22_9x_0" localSheetId="52">'307'!$P$74:$P$75</definedName>
    <definedName name="OSRRefP22_9x_0" localSheetId="53">'308'!$P$94:$P$95</definedName>
    <definedName name="OSRRefP22_9x_0" localSheetId="64">'309'!$P$58:$P$59</definedName>
    <definedName name="OSRRefP22_9x_0" localSheetId="63">'310'!$P$64</definedName>
    <definedName name="OSRRefP22_9x_0" localSheetId="71">'310 &amp; 491'!$P$70</definedName>
    <definedName name="OSRRefP22_9x_0" localSheetId="54">'311'!$P$93:$P$94</definedName>
    <definedName name="OSRRefP22_9x_0" localSheetId="65">'313'!$P$61:$P$62</definedName>
    <definedName name="OSRRefP22_9x_0" localSheetId="57">'315'!$P$116</definedName>
    <definedName name="OSRRefP22_9x_0" localSheetId="60">'316'!$P$67:$P$71</definedName>
    <definedName name="OSRRefP22_9x_0" localSheetId="62">'317'!$P$87</definedName>
    <definedName name="OSRRefP22_9x_0" localSheetId="66">'321'!$P$62:$P$63</definedName>
    <definedName name="OSRRefP22_9x_0" localSheetId="67">'322'!$P$59:$P$62</definedName>
    <definedName name="OSRRefP22_9x_0" localSheetId="68">'325'!$P$60</definedName>
    <definedName name="OSRRefP22_9x_0" localSheetId="58">'326'!$P$82</definedName>
    <definedName name="OSRRefP22_9x_0" localSheetId="51">'330'!$P$74:$P$75</definedName>
    <definedName name="OSRRefP22_9x_0" localSheetId="56">'331'!$P$116:$P$117</definedName>
    <definedName name="OSRRefP22_9x_0" localSheetId="59">'332'!$P$67:$P$71</definedName>
    <definedName name="OSRRefP22_9x_0" localSheetId="73">'405'!$P$58:$P$59</definedName>
    <definedName name="OSRRefP22_9x_0" localSheetId="75">'411'!$P$56:$P$57</definedName>
    <definedName name="OSRRefP22_9x_0" localSheetId="76">'412'!$P$58</definedName>
    <definedName name="OSRRefP22_9x_0" localSheetId="77">'413'!$P$60:$P$61</definedName>
    <definedName name="OSRRefP22_9x_0" localSheetId="78">'414'!$P$60</definedName>
    <definedName name="OSRRefP22_9x_0" localSheetId="79">'415'!$P$63</definedName>
    <definedName name="OSRRefP22_9x_0" localSheetId="80">'418'!$P$60:$P$61</definedName>
    <definedName name="OSRRefP22_9x_0" localSheetId="88">'433'!$P$63</definedName>
    <definedName name="OSRRefP22_9x_0" localSheetId="90">'444'!$P$63</definedName>
    <definedName name="OSRRefP22_9x_0" localSheetId="91">'450'!$P$59</definedName>
    <definedName name="OSRRefP22_9x_0" localSheetId="72">'491'!$P$66</definedName>
    <definedName name="OSRRefP22_9x_0" localSheetId="86">'492'!$P$63</definedName>
    <definedName name="OSRRefP22_9x_0" localSheetId="93">'501'!$P$58:$P$61</definedName>
    <definedName name="OSRRefP22_9x_0" localSheetId="39">'Div 2'!$P$59:$P$60</definedName>
    <definedName name="OSRRefP22_9x_0" localSheetId="47">'Div 3'!$P$160</definedName>
    <definedName name="OSRRefP22_9x_0" localSheetId="70">'Div 4'!$P$69</definedName>
    <definedName name="OSRRefP22_9x_0" localSheetId="92">'Div 5'!$P$58:$P$61</definedName>
    <definedName name="OSRRefP22_9x_0" localSheetId="61">'Div 6'!$P$87</definedName>
    <definedName name="OSRRefP22_9x_0" localSheetId="2">Summary!$P$189</definedName>
    <definedName name="OSRRefP22x_0" localSheetId="40">'200'!$P$20,'200'!$P$22,'200'!$P$24,'200'!$P$26,'200'!$P$28:$P$29</definedName>
    <definedName name="OSRRefP22x_0" localSheetId="41">'201'!$P$21:$P$29,'201'!$P$31:$P$40,'201'!$P$42,'201'!$P$44,'201'!$P$46,'201'!$P$48,'201'!$P$50,'201'!$P$52,'201'!$P$54,'201'!$P$56,'201'!$P$58:$P$60,'201'!$P$62,'201'!$P$64,'201'!$P$66:$P$68,'201'!$P$70,'201'!$P$72,'201'!$P$74</definedName>
    <definedName name="OSRRefP22x_0" localSheetId="42">'202'!$P$21:$P$29,'202'!$P$31:$P$40,'202'!$P$42,'202'!$P$44,'202'!$P$46:$P$47,'202'!$P$49,'202'!$P$51,'202'!$P$53:$P$54,'202'!$P$56,'202'!$P$58:$P$60,'202'!$P$62,'202'!$P$64,'202'!$P$66</definedName>
    <definedName name="OSRRefP22x_0" localSheetId="43">'203'!$P$20:$P$29,'203'!$P$31:$P$40,'203'!$P$42,'203'!$P$44,'203'!$P$46,'203'!$P$48,'203'!$P$50,'203'!$P$52:$P$53,'203'!$P$55:$P$57,'203'!$P$59:$P$60,'203'!$P$62,'203'!$P$64:$P$66,'203'!$P$68,'203'!$P$70,'203'!$P$72</definedName>
    <definedName name="OSRRefP22x_0" localSheetId="44">'204'!$P$20:$P$29,'204'!$P$31:$P$40,'204'!$P$42,'204'!$P$44:$P$45,'204'!$P$47,'204'!$P$49,'204'!$P$51,'204'!$P$53:$P$55,'204'!$P$57:$P$58,'204'!$P$60,'204'!$P$62:$P$63,'204'!$P$65,'204'!$P$67</definedName>
    <definedName name="OSRRefP22x_0" localSheetId="45">'205'!$P$20:$P$28,'205'!$P$30:$P$39,'205'!$P$41,'205'!$P$43,'205'!$P$45:$P$46,'205'!$P$48,'205'!$P$50:$P$52,'205'!$P$54</definedName>
    <definedName name="OSRRefP22x_0" localSheetId="46">'206'!$P$20:$P$28,'206'!$P$30:$P$39,'206'!$P$41,'206'!$P$43,'206'!$P$45,'206'!$P$47,'206'!$P$49,'206'!$P$51,'206'!$P$53:$P$54,'206'!$P$56</definedName>
    <definedName name="OSRRefP22x_0" localSheetId="48">'300'!$P$116:$P$125,'300'!$P$127:$P$136,'300'!$P$138,'300'!$P$140:$P$141,'300'!$P$143,'300'!$P$145:$P$146,'300'!$P$148:$P$149,'300'!$P$151:$P$152,'300'!$P$154,'300'!$P$156,'300'!$P$158:$P$159,'300'!$P$161:$P$163,'300'!$P$165,'300'!$P$167,'300'!$P$169,'300'!$P$171,'300'!$P$173:$P$176,'300'!$P$178:$P$181,'300'!$P$183:$P$186,'300'!$P$188:$P$189,'300'!$P$191:$P$199,'300'!$P$201:$P$202,'300'!$P$204,'300'!$P$206:$P$208,'300'!$P$210</definedName>
    <definedName name="OSRRefP22x_0" localSheetId="49">'300 &amp; 317'!$P$139:$P$148,'300 &amp; 317'!$P$150:$P$159,'300 &amp; 317'!$P$161,'300 &amp; 317'!$P$163:$P$164,'300 &amp; 317'!$P$166,'300 &amp; 317'!$P$168:$P$169,'300 &amp; 317'!$P$171:$P$172,'300 &amp; 317'!$P$174:$P$175,'300 &amp; 317'!$P$177,'300 &amp; 317'!$P$179,'300 &amp; 317'!$P$181:$P$182,'300 &amp; 317'!$P$184:$P$186,'300 &amp; 317'!$P$188,'300 &amp; 317'!$P$190,'300 &amp; 317'!$P$192,'300 &amp; 317'!$P$194,'300 &amp; 317'!$P$196:$P$199,'300 &amp; 317'!$P$201:$P$204,'300 &amp; 317'!$P$206:$P$209,'300 &amp; 317'!$P$211:$P$212,'300 &amp; 317'!$P$214:$P$222,'300 &amp; 317'!$P$224:$P$225,'300 &amp; 317'!$P$227,'300 &amp; 317'!$P$229:$P$231,'300 &amp; 317'!$P$233</definedName>
    <definedName name="OSRRefP22x_0" localSheetId="50">'301'!$P$20:$P$29,'301'!$P$31:$P$40,'301'!$P$42,'301'!$P$44:$P$45,'301'!$P$47,'301'!$P$49:$P$50,'301'!$P$52,'301'!$P$54,'301'!$P$56,'301'!$P$58,'301'!$P$60,'301'!$P$62,'301'!$P$64,'301'!$P$66,'301'!$P$68:$P$71,'301'!$P$73:$P$75,'301'!$P$77,'301'!$P$79:$P$85,'301'!$P$87,'301'!$P$89,'301'!$P$91:$P$92,'301'!$P$94</definedName>
    <definedName name="OSRRefP22x_0" localSheetId="52">'307'!$P$39:$P$46,'307'!$P$48:$P$57,'307'!$P$59,'307'!$P$61,'307'!$P$63,'307'!$P$65:$P$66,'307'!$P$68,'307'!$P$70,'307'!$P$72,'307'!$P$74:$P$75,'307'!$P$77:$P$78,'307'!$P$80:$P$83,'307'!$P$85:$P$86,'307'!$P$88</definedName>
    <definedName name="OSRRefP22x_0" localSheetId="53">'308'!$P$56:$P$65,'308'!$P$67:$P$76,'308'!$P$78,'308'!$P$80,'308'!$P$82,'308'!$P$84,'308'!$P$86:$P$87,'308'!$P$89:$P$90,'308'!$P$92,'308'!$P$94:$P$95,'308'!$P$97,'308'!$P$99:$P$101,'308'!$P$103:$P$104,'308'!$P$106</definedName>
    <definedName name="OSRRefP22x_0" localSheetId="64">'309'!$P$22:$P$29,'309'!$P$31:$P$40,'309'!$P$42,'309'!$P$44,'309'!$P$46,'309'!$P$48,'309'!$P$50,'309'!$P$52:$P$53,'309'!$P$55:$P$56,'309'!$P$58:$P$59,'309'!$P$61</definedName>
    <definedName name="OSRRefP22x_0" localSheetId="63">'310'!$P$28:$P$36,'310'!$P$38:$P$47,'310'!$P$49,'310'!$P$51,'310'!$P$53,'310'!$P$55:$P$56,'310'!$P$58,'310'!$P$60,'310'!$P$62,'310'!$P$64,'310'!$P$66,'310'!$P$68,'310'!$P$70,'310'!$P$72:$P$75,'310'!$P$77:$P$78,'310'!$P$80:$P$83,'310'!$P$85,'310'!$P$87:$P$93,'310'!$P$95:$P$96,'310'!$P$98,'310'!$P$100,'310'!$P$102</definedName>
    <definedName name="OSRRefP22x_0" localSheetId="71">'310 &amp; 491'!$P$32:$P$40,'310 &amp; 491'!$P$42:$P$51,'310 &amp; 491'!$P$53,'310 &amp; 491'!$P$55,'310 &amp; 491'!$P$57,'310 &amp; 491'!$P$59:$P$61,'310 &amp; 491'!$P$63,'310 &amp; 491'!$P$65,'310 &amp; 491'!$P$67:$P$68,'310 &amp; 491'!$P$70,'310 &amp; 491'!$P$72,'310 &amp; 491'!$P$74,'310 &amp; 491'!$P$76,'310 &amp; 491'!$P$78:$P$81,'310 &amp; 491'!$P$83:$P$84,'310 &amp; 491'!$P$86:$P$90,'310 &amp; 491'!$P$92:$P$93,'310 &amp; 491'!$P$95:$P$105,'310 &amp; 491'!$P$107:$P$108,'310 &amp; 491'!$P$110,'310 &amp; 491'!$P$112:$P$114,'310 &amp; 491'!$P$116</definedName>
    <definedName name="OSRRefP22x_0" localSheetId="54">'311'!$P$55:$P$64,'311'!$P$66:$P$75,'311'!$P$77,'311'!$P$79,'311'!$P$81,'311'!$P$83,'311'!$P$85:$P$86,'311'!$P$88:$P$89,'311'!$P$91,'311'!$P$93:$P$94,'311'!$P$96,'311'!$P$98:$P$100,'311'!$P$102:$P$103,'311'!$P$105</definedName>
    <definedName name="OSRRefP22x_0" localSheetId="65">'313'!$P$23:$P$31,'313'!$P$33:$P$42,'313'!$P$44,'313'!$P$46,'313'!$P$48,'313'!$P$50,'313'!$P$52:$P$53,'313'!$P$55,'313'!$P$57:$P$59,'313'!$P$61:$P$62,'313'!$P$64,'313'!$P$66</definedName>
    <definedName name="OSRRefP22x_0" localSheetId="57">'315'!$P$80:$P$88,'315'!$P$90:$P$99,'315'!$P$101,'315'!$P$103,'315'!$P$105,'315'!$P$107,'315'!$P$109,'315'!$P$111:$P$112,'315'!$P$114,'315'!$P$116,'315'!$P$118,'315'!$P$120,'315'!$P$122:$P$124,'315'!$P$126:$P$127,'315'!$P$129:$P$135,'315'!$P$137,'315'!$P$139,'315'!$P$141:$P$142</definedName>
    <definedName name="OSRRefP22x_0" localSheetId="60">'316'!$P$30:$P$38,'316'!$P$40:$P$49,'316'!$P$51,'316'!$P$53,'316'!$P$55,'316'!$P$57,'316'!$P$59:$P$60,'316'!$P$62:$P$63,'316'!$P$65,'316'!$P$67:$P$71,'316'!$P$73,'316'!$P$75</definedName>
    <definedName name="OSRRefP22x_0" localSheetId="62">'317'!$P$50:$P$59,'317'!$P$61:$P$70,'317'!$P$72,'317'!$P$74,'317'!$P$76,'317'!$P$78,'317'!$P$80:$P$81,'317'!$P$83,'317'!$P$85,'317'!$P$87,'317'!$P$89:$P$91,'317'!$P$93,'317'!$P$95</definedName>
    <definedName name="OSRRefP22x_0" localSheetId="66">'321'!$P$25:$P$33,'321'!$P$35:$P$44,'321'!$P$46,'321'!$P$48,'321'!$P$50,'321'!$P$52,'321'!$P$54,'321'!$P$56:$P$57,'321'!$P$59:$P$60,'321'!$P$62:$P$63,'321'!$P$65:$P$67,'321'!$P$69:$P$70,'321'!$P$72,'321'!$P$74</definedName>
    <definedName name="OSRRefP22x_0" localSheetId="67">'322'!$P$23:$P$30,'322'!$P$32:$P$41,'322'!$P$43,'322'!$P$45,'322'!$P$47,'322'!$P$49,'322'!$P$51,'322'!$P$53:$P$54,'322'!$P$56:$P$57,'322'!$P$59:$P$62,'322'!$P$64,'322'!$P$66</definedName>
    <definedName name="OSRRefP22x_0" localSheetId="55">'324'!$P$27:$P$34,'324'!$P$36:$P$45</definedName>
    <definedName name="OSRRefP22x_0" localSheetId="68">'325'!$P$25:$P$32,'325'!$P$34:$P$43,'325'!$P$45,'325'!$P$47,'325'!$P$49,'325'!$P$51:$P$52,'325'!$P$54,'325'!$P$56,'325'!$P$58,'325'!$P$60,'325'!$P$62,'325'!$P$64:$P$67,'325'!$P$69:$P$71,'325'!$P$73,'325'!$P$75:$P$79,'325'!$P$81:$P$82,'325'!$P$84,'325'!$P$86</definedName>
    <definedName name="OSRRefP22x_0" localSheetId="58">'326'!$P$46:$P$54,'326'!$P$56:$P$65,'326'!$P$67,'326'!$P$69,'326'!$P$71,'326'!$P$73,'326'!$P$75,'326'!$P$77,'326'!$P$79:$P$80,'326'!$P$82,'326'!$P$84,'326'!$P$86,'326'!$P$88,'326'!$P$90:$P$91,'326'!$P$93:$P$95,'326'!$P$97:$P$98,'326'!$P$100:$P$105,'326'!$P$107:$P$108,'326'!$P$110,'326'!$P$112:$P$113,'326'!$P$115</definedName>
    <definedName name="OSRRefP22x_0" localSheetId="69">'327'!$P$24</definedName>
    <definedName name="OSRRefP22x_0" localSheetId="51">'330'!$P$39:$P$46,'330'!$P$48:$P$57,'330'!$P$59,'330'!$P$61,'330'!$P$63,'330'!$P$65:$P$66,'330'!$P$68,'330'!$P$70,'330'!$P$72,'330'!$P$74:$P$75,'330'!$P$77:$P$78,'330'!$P$80:$P$83,'330'!$P$85:$P$86,'330'!$P$88</definedName>
    <definedName name="OSRRefP22x_0" localSheetId="56">'331'!$P$80:$P$88,'331'!$P$90:$P$99,'331'!$P$101,'331'!$P$103,'331'!$P$105,'331'!$P$107,'331'!$P$109,'331'!$P$111,'331'!$P$113:$P$114,'331'!$P$116:$P$117,'331'!$P$119,'331'!$P$121,'331'!$P$123,'331'!$P$125,'331'!$P$127:$P$128,'331'!$P$130:$P$132,'331'!$P$134:$P$136,'331'!$P$138:$P$139,'331'!$P$141:$P$148,'331'!$P$150:$P$151,'331'!$P$153,'331'!$P$155:$P$156,'331'!$P$158</definedName>
    <definedName name="OSRRefP22x_0" localSheetId="59">'332'!$P$30:$P$38,'332'!$P$40:$P$49,'332'!$P$51,'332'!$P$53,'332'!$P$55,'332'!$P$57,'332'!$P$59:$P$60,'332'!$P$62:$P$63,'332'!$P$65,'332'!$P$67:$P$71,'332'!$P$73,'332'!$P$75</definedName>
    <definedName name="OSRRefP22x_0" localSheetId="73">'405'!$P$23:$P$30,'405'!$P$32:$P$41,'405'!$P$43,'405'!$P$45,'405'!$P$47:$P$48,'405'!$P$50,'405'!$P$52,'405'!$P$54,'405'!$P$56,'405'!$P$58:$P$59,'405'!$P$61,'405'!$P$63:$P$66,'405'!$P$68,'405'!$P$70:$P$78,'405'!$P$80,'405'!$P$82,'405'!$P$84</definedName>
    <definedName name="OSRRefP22x_0" localSheetId="74">'406'!$P$20,'406'!$P$22,'406'!$P$24,'406'!$P$26,'406'!$P$28</definedName>
    <definedName name="OSRRefP22x_0" localSheetId="75">'411'!$P$20:$P$28,'411'!$P$30:$P$39,'411'!$P$41,'411'!$P$43,'411'!$P$45:$P$46,'411'!$P$48,'411'!$P$50,'411'!$P$52,'411'!$P$54,'411'!$P$56:$P$57,'411'!$P$59:$P$62,'411'!$P$64,'411'!$P$66:$P$72,'411'!$P$74,'411'!$P$76,'411'!$P$78</definedName>
    <definedName name="OSRRefP22x_0" localSheetId="76">'412'!$P$22:$P$29,'412'!$P$31:$P$40,'412'!$P$42,'412'!$P$44,'412'!$P$46:$P$47,'412'!$P$49,'412'!$P$51,'412'!$P$53,'412'!$P$55:$P$56,'412'!$P$58,'412'!$P$60:$P$63,'412'!$P$65:$P$69,'412'!$P$71:$P$72,'412'!$P$74</definedName>
    <definedName name="OSRRefP22x_0" localSheetId="77">'413'!$P$23:$P$31,'413'!$P$33:$P$42,'413'!$P$44,'413'!$P$46,'413'!$P$48,'413'!$P$50,'413'!$P$52,'413'!$P$54,'413'!$P$56:$P$58,'413'!$P$60:$P$61,'413'!$P$63:$P$70,'413'!$P$72:$P$73,'413'!$P$75</definedName>
    <definedName name="OSRRefP22x_0" localSheetId="78">'414'!$P$24:$P$32,'414'!$P$34:$P$43,'414'!$P$45,'414'!$P$47,'414'!$P$49,'414'!$P$51,'414'!$P$53,'414'!$P$55,'414'!$P$57:$P$58,'414'!$P$60,'414'!$P$62,'414'!$P$64,'414'!$P$66:$P$68,'414'!$P$70,'414'!$P$72,'414'!$P$74</definedName>
    <definedName name="OSRRefP22x_0" localSheetId="79">'415'!$P$27:$P$35,'415'!$P$37:$P$46,'415'!$P$48,'415'!$P$50,'415'!$P$52,'415'!$P$54:$P$55,'415'!$P$57,'415'!$P$59,'415'!$P$61,'415'!$P$63,'415'!$P$65,'415'!$P$67:$P$68,'415'!$P$70:$P$74,'415'!$P$76,'415'!$P$78:$P$84,'415'!$P$86:$P$87,'415'!$P$89,'415'!$P$91:$P$92,'415'!$P$94</definedName>
    <definedName name="OSRRefP22x_0" localSheetId="80">'418'!$P$23:$P$30,'418'!$P$32:$P$41,'418'!$P$43,'418'!$P$45,'418'!$P$47:$P$48,'418'!$P$50,'418'!$P$52,'418'!$P$54,'418'!$P$56:$P$58,'418'!$P$60:$P$61,'418'!$P$63:$P$64,'418'!$P$66:$P$75,'418'!$P$77:$P$78,'418'!$P$80</definedName>
    <definedName name="OSRRefP22x_0" localSheetId="81">'420'!$P$21</definedName>
    <definedName name="OSRRefP22x_0" localSheetId="82">'423'!$P$20:$P$27,'423'!$P$29:$P$38,'423'!$P$40,'423'!$P$42:$P$43,'423'!$P$45,'423'!$P$47,'423'!$P$49</definedName>
    <definedName name="OSRRefP22x_0" localSheetId="83">'424'!$P$20,'424'!$P$22,'424'!$P$24,'424'!$P$26</definedName>
    <definedName name="OSRRefP22x_0" localSheetId="84">'425'!$P$20:$P$24,'425'!$P$26,'425'!$P$28,'425'!$P$30,'425'!$P$32:$P$33,'425'!$P$35</definedName>
    <definedName name="OSRRefP22x_0" localSheetId="87">'430'!$P$20:$P$28,'430'!$P$30:$P$39,'430'!$P$41,'430'!$P$43,'430'!$P$45:$P$47,'430'!$P$49:$P$50,'430'!$P$52,'430'!$P$54</definedName>
    <definedName name="OSRRefP22x_0" localSheetId="88">'433'!$P$27:$P$36,'433'!$P$38:$P$47,'433'!$P$49,'433'!$P$51,'433'!$P$53,'433'!$P$55,'433'!$P$57,'433'!$P$59,'433'!$P$61,'433'!$P$63,'433'!$P$65,'433'!$P$67:$P$68,'433'!$P$70:$P$73,'433'!$P$75:$P$82,'433'!$P$84</definedName>
    <definedName name="OSRRefP22x_0" localSheetId="89">'435'!$P$20</definedName>
    <definedName name="OSRRefP22x_0" localSheetId="90">'444'!$P$27:$P$36,'444'!$P$38:$P$47,'444'!$P$49,'444'!$P$51,'444'!$P$53,'444'!$P$55,'444'!$P$57,'444'!$P$59,'444'!$P$61,'444'!$P$63,'444'!$P$65,'444'!$P$67:$P$70,'444'!$P$72:$P$75,'444'!$P$77,'444'!$P$79:$P$87,'444'!$P$89:$P$90,'444'!$P$92</definedName>
    <definedName name="OSRRefP22x_0" localSheetId="91">'450'!$P$23:$P$32,'450'!$P$34:$P$43,'450'!$P$45,'450'!$P$47,'450'!$P$49,'450'!$P$51,'450'!$P$53,'450'!$P$55,'450'!$P$57,'450'!$P$59,'450'!$P$61,'450'!$P$63,'450'!$P$65,'450'!$P$67:$P$69,'450'!$P$71:$P$77,'450'!$P$79:$P$80,'450'!$P$82</definedName>
    <definedName name="OSRRefP22x_0" localSheetId="72">'491'!$P$29:$P$37,'491'!$P$39:$P$48,'491'!$P$50,'491'!$P$52,'491'!$P$54,'491'!$P$56:$P$58,'491'!$P$60,'491'!$P$62,'491'!$P$64,'491'!$P$66,'491'!$P$68,'491'!$P$70,'491'!$P$72,'491'!$P$74:$P$77,'491'!$P$79:$P$80,'491'!$P$82:$P$86,'491'!$P$88:$P$89,'491'!$P$91:$P$101,'491'!$P$103:$P$104,'491'!$P$106,'491'!$P$108:$P$110,'491'!$P$112</definedName>
    <definedName name="OSRRefP22x_0" localSheetId="86">'492'!$P$27:$P$36,'492'!$P$38:$P$47,'492'!$P$49,'492'!$P$51,'492'!$P$53,'492'!$P$55,'492'!$P$57,'492'!$P$59,'492'!$P$61,'492'!$P$63,'492'!$P$65,'492'!$P$67,'492'!$P$69:$P$72,'492'!$P$74:$P$77,'492'!$P$79,'492'!$P$81:$P$90,'492'!$P$92:$P$93,'492'!$P$95,'492'!$P$97</definedName>
    <definedName name="OSRRefP22x_0" localSheetId="93">'501'!$P$21:$P$30,'501'!$P$32:$P$41,'501'!$P$43,'501'!$P$45,'501'!$P$47,'501'!$P$49:$P$50,'501'!$P$52,'501'!$P$54,'501'!$P$56,'501'!$P$58:$P$61,'501'!$P$63:$P$64,'501'!$P$66</definedName>
    <definedName name="OSRRefP22x_0" localSheetId="39">'Div 2'!$P$21:$P$31,'Div 2'!$P$33:$P$42,'Div 2'!$P$44,'Div 2'!$P$46,'Div 2'!$P$48,'Div 2'!$P$50:$P$51,'Div 2'!$P$53,'Div 2'!$P$55,'Div 2'!$P$57,'Div 2'!$P$59:$P$60,'Div 2'!$P$62,'Div 2'!$P$64:$P$65,'Div 2'!$P$67:$P$70,'Div 2'!$P$72:$P$75,'Div 2'!$P$77:$P$78,'Div 2'!$P$80:$P$81,'Div 2'!$P$83:$P$87,'Div 2'!$P$89:$P$90,'Div 2'!$P$92,'Div 2'!$P$94:$P$95</definedName>
    <definedName name="OSRRefP22x_0" localSheetId="47">'Div 3'!$P$120:$P$129,'Div 3'!$P$131:$P$140,'Div 3'!$P$142,'Div 3'!$P$144:$P$145,'Div 3'!$P$147,'Div 3'!$P$149:$P$150,'Div 3'!$P$152:$P$153,'Div 3'!$P$155:$P$156,'Div 3'!$P$158,'Div 3'!$P$160,'Div 3'!$P$162:$P$163,'Div 3'!$P$165:$P$167,'Div 3'!$P$169,'Div 3'!$P$171,'Div 3'!$P$173,'Div 3'!$P$175,'Div 3'!$P$177,'Div 3'!$P$179:$P$182,'Div 3'!$P$184:$P$187,'Div 3'!$P$189:$P$193,'Div 3'!$P$195:$P$196,'Div 3'!$P$198:$P$206,'Div 3'!$P$208:$P$209,'Div 3'!$P$211,'Div 3'!$P$213:$P$215,'Div 3'!$P$217</definedName>
    <definedName name="OSRRefP22x_0" localSheetId="70">'Div 4'!$P$31:$P$40,'Div 4'!$P$42:$P$51,'Div 4'!$P$53,'Div 4'!$P$55,'Div 4'!$P$57,'Div 4'!$P$59:$P$61,'Div 4'!$P$63,'Div 4'!$P$65,'Div 4'!$P$67,'Div 4'!$P$69,'Div 4'!$P$71,'Div 4'!$P$73,'Div 4'!$P$75,'Div 4'!$P$77,'Div 4'!$P$79,'Div 4'!$P$81:$P$84,'Div 4'!$P$86:$P$87,'Div 4'!$P$89:$P$93,'Div 4'!$P$95:$P$96,'Div 4'!$P$98:$P$108,'Div 4'!$P$110:$P$111,'Div 4'!$P$113,'Div 4'!$P$115:$P$117,'Div 4'!$P$119</definedName>
    <definedName name="OSRRefP22x_0" localSheetId="92">'Div 5'!$P$21:$P$30,'Div 5'!$P$32:$P$41,'Div 5'!$P$43,'Div 5'!$P$45,'Div 5'!$P$47,'Div 5'!$P$49:$P$50,'Div 5'!$P$52,'Div 5'!$P$54,'Div 5'!$P$56,'Div 5'!$P$58:$P$61,'Div 5'!$P$63:$P$64,'Div 5'!$P$66</definedName>
    <definedName name="OSRRefP22x_0" localSheetId="61">'Div 6'!$P$50:$P$59,'Div 6'!$P$61:$P$70,'Div 6'!$P$72,'Div 6'!$P$74,'Div 6'!$P$76,'Div 6'!$P$78,'Div 6'!$P$80:$P$81,'Div 6'!$P$83,'Div 6'!$P$85,'Div 6'!$P$87,'Div 6'!$P$89:$P$91,'Div 6'!$P$93,'Div 6'!$P$95</definedName>
    <definedName name="OSRRefP22x_0" localSheetId="2">Summary!$P$148:$P$157,Summary!$P$159:$P$168,Summary!$P$170,Summary!$P$172:$P$173,Summary!$P$175,Summary!$P$177:$P$179,Summary!$P$181:$P$182,Summary!$P$184:$P$185,Summary!$P$187,Summary!$P$189,Summary!$P$191:$P$192,Summary!$P$194:$P$196,Summary!$P$198,Summary!$P$200,Summary!$P$202,Summary!$P$204,Summary!$P$206,Summary!$P$208,Summary!$P$210:$P$213,Summary!$P$215:$P$218,Summary!$P$220:$P$224,Summary!$P$226:$P$227,Summary!$P$229:$P$239,Summary!$P$241:$P$242,Summary!$P$244,Summary!$P$246:$P$248,Summary!$P$250</definedName>
    <definedName name="OSRRefP25x_0" localSheetId="42">'202'!$P$69:$P$71</definedName>
    <definedName name="OSRRefP25x_0" localSheetId="48">'300'!$P$213:$P$216</definedName>
    <definedName name="OSRRefP25x_0" localSheetId="49">'300 &amp; 317'!$P$236:$P$240</definedName>
    <definedName name="OSRRefP25x_0" localSheetId="50">'301'!$P$97:$P$98</definedName>
    <definedName name="OSRRefP25x_0" localSheetId="53">'308'!$P$109:$P$111</definedName>
    <definedName name="OSRRefP25x_0" localSheetId="71">'310 &amp; 491'!$P$119:$P$122</definedName>
    <definedName name="OSRRefP25x_0" localSheetId="54">'311'!$P$108:$P$110</definedName>
    <definedName name="OSRRefP25x_0" localSheetId="57">'315'!$P$145:$P$147</definedName>
    <definedName name="OSRRefP25x_0" localSheetId="60">'316'!$P$78</definedName>
    <definedName name="OSRRefP25x_0" localSheetId="62">'317'!$P$98:$P$99</definedName>
    <definedName name="OSRRefP25x_0" localSheetId="56">'331'!$P$161:$P$163</definedName>
    <definedName name="OSRRefP25x_0" localSheetId="59">'332'!$P$78</definedName>
    <definedName name="OSRRefP25x_0" localSheetId="75">'411'!$P$81:$P$82</definedName>
    <definedName name="OSRRefP25x_0" localSheetId="80">'418'!$P$83</definedName>
    <definedName name="OSRRefP25x_0" localSheetId="82">'423'!$P$52:$P$54</definedName>
    <definedName name="OSRRefP25x_0" localSheetId="85">'455'!$P$21:$P$22</definedName>
    <definedName name="OSRRefP25x_0" localSheetId="72">'491'!$P$115:$P$118</definedName>
    <definedName name="OSRRefP25x_0" localSheetId="93">'501'!$P$69</definedName>
    <definedName name="OSRRefP25x_0" localSheetId="39">'Div 2'!$P$98:$P$100</definedName>
    <definedName name="OSRRefP25x_0" localSheetId="47">'Div 3'!$P$220:$P$223</definedName>
    <definedName name="OSRRefP25x_0" localSheetId="70">'Div 4'!$P$122:$P$125</definedName>
    <definedName name="OSRRefP25x_0" localSheetId="92">'Div 5'!$P$69</definedName>
    <definedName name="OSRRefP25x_0" localSheetId="61">'Div 6'!$P$98:$P$99</definedName>
    <definedName name="OSRRefP25x_0" localSheetId="2">Summary!$P$253:$P$259</definedName>
    <definedName name="OSRRefT13x_0" localSheetId="41">'201'!$T$13</definedName>
    <definedName name="OSRRefT13x_0" localSheetId="42">'202'!$T$13</definedName>
    <definedName name="OSRRefT13x_0" localSheetId="48">'300'!$T$13:$T$74</definedName>
    <definedName name="OSRRefT13x_0" localSheetId="49">'300 &amp; 317'!$T$13:$T$88</definedName>
    <definedName name="OSRRefT13x_0" localSheetId="52">'307'!$T$13:$T$23</definedName>
    <definedName name="OSRRefT13x_0" localSheetId="53">'308'!$T$13:$T$33</definedName>
    <definedName name="OSRRefT13x_0" localSheetId="64">'309'!$T$13</definedName>
    <definedName name="OSRRefT13x_0" localSheetId="63">'310'!$T$13:$T$17</definedName>
    <definedName name="OSRRefT13x_0" localSheetId="71">'310 &amp; 491'!$T$13:$T$21</definedName>
    <definedName name="OSRRefT13x_0" localSheetId="54">'311'!$T$13:$T$32</definedName>
    <definedName name="OSRRefT13x_0" localSheetId="65">'313'!$T$13</definedName>
    <definedName name="OSRRefT13x_0" localSheetId="57">'315'!$T$13:$T$50</definedName>
    <definedName name="OSRRefT13x_0" localSheetId="60">'316'!$T$13:$T$22</definedName>
    <definedName name="OSRRefT13x_0" localSheetId="62">'317'!$T$13:$T$30</definedName>
    <definedName name="OSRRefT13x_0" localSheetId="66">'321'!$T$13:$T$15</definedName>
    <definedName name="OSRRefT13x_0" localSheetId="67">'322'!$T$13</definedName>
    <definedName name="OSRRefT13x_0" localSheetId="55">'324'!$T$13:$T$16</definedName>
    <definedName name="OSRRefT13x_0" localSheetId="68">'325'!$T$13:$T$14</definedName>
    <definedName name="OSRRefT13x_0" localSheetId="58">'326'!$T$13:$T$33</definedName>
    <definedName name="OSRRefT13x_0" localSheetId="69">'327'!$T$13:$T$14</definedName>
    <definedName name="OSRRefT13x_0" localSheetId="51">'330'!$T$13:$T$23</definedName>
    <definedName name="OSRRefT13x_0" localSheetId="56">'331'!$T$13:$T$50</definedName>
    <definedName name="OSRRefT13x_0" localSheetId="59">'332'!$T$13:$T$22</definedName>
    <definedName name="OSRRefT13x_0" localSheetId="73">'405'!$T$13:$T$14</definedName>
    <definedName name="OSRRefT13x_0" localSheetId="76">'412'!$T$13</definedName>
    <definedName name="OSRRefT13x_0" localSheetId="77">'413'!$T$13:$T$14</definedName>
    <definedName name="OSRRefT13x_0" localSheetId="78">'414'!$T$13:$T$15</definedName>
    <definedName name="OSRRefT13x_0" localSheetId="79">'415'!$T$13:$T$16</definedName>
    <definedName name="OSRRefT13x_0" localSheetId="80">'418'!$T$13:$T$14</definedName>
    <definedName name="OSRRefT13x_0" localSheetId="81">'420'!$T$13</definedName>
    <definedName name="OSRRefT13x_0" localSheetId="88">'433'!$T$13:$T$16</definedName>
    <definedName name="OSRRefT13x_0" localSheetId="90">'444'!$T$13:$T$16</definedName>
    <definedName name="OSRRefT13x_0" localSheetId="91">'450'!$T$13:$T$14</definedName>
    <definedName name="OSRRefT13x_0" localSheetId="72">'491'!$T$13:$T$18</definedName>
    <definedName name="OSRRefT13x_0" localSheetId="86">'492'!$T$13:$T$16</definedName>
    <definedName name="OSRRefT13x_0" localSheetId="93">'501'!$T$13</definedName>
    <definedName name="OSRRefT13x_0" localSheetId="39">'Div 2'!$T$13</definedName>
    <definedName name="OSRRefT13x_0" localSheetId="47">'Div 3'!$T$13:$T$76</definedName>
    <definedName name="OSRRefT13x_0" localSheetId="70">'Div 4'!$T$13:$T$20</definedName>
    <definedName name="OSRRefT13x_0" localSheetId="92">'Div 5'!$T$13</definedName>
    <definedName name="OSRRefT13x_0" localSheetId="61">'Div 6'!$T$13:$T$30</definedName>
    <definedName name="OSRRefT13x_0" localSheetId="2">Summary!$T$13:$T$95</definedName>
    <definedName name="OSRRefT16x_0" localSheetId="48">'300'!$T$77:$T$110</definedName>
    <definedName name="OSRRefT16x_0" localSheetId="49">'300 &amp; 317'!$T$91:$T$133</definedName>
    <definedName name="OSRRefT16x_0" localSheetId="52">'307'!$T$26:$T$33</definedName>
    <definedName name="OSRRefT16x_0" localSheetId="53">'308'!$T$36:$T$50</definedName>
    <definedName name="OSRRefT16x_0" localSheetId="64">'309'!$T$16</definedName>
    <definedName name="OSRRefT16x_0" localSheetId="63">'310'!$T$20:$T$22</definedName>
    <definedName name="OSRRefT16x_0" localSheetId="71">'310 &amp; 491'!$T$24:$T$26</definedName>
    <definedName name="OSRRefT16x_0" localSheetId="54">'311'!$T$35:$T$49</definedName>
    <definedName name="OSRRefT16x_0" localSheetId="65">'313'!$T$16:$T$17</definedName>
    <definedName name="OSRRefT16x_0" localSheetId="57">'315'!$T$53:$T$74</definedName>
    <definedName name="OSRRefT16x_0" localSheetId="62">'317'!$T$33:$T$44</definedName>
    <definedName name="OSRRefT16x_0" localSheetId="66">'321'!$T$18:$T$19</definedName>
    <definedName name="OSRRefT16x_0" localSheetId="67">'322'!$T$16:$T$17</definedName>
    <definedName name="OSRRefT16x_0" localSheetId="55">'324'!$T$19:$T$21</definedName>
    <definedName name="OSRRefT16x_0" localSheetId="68">'325'!$T$17:$T$19</definedName>
    <definedName name="OSRRefT16x_0" localSheetId="58">'326'!$T$36:$T$40</definedName>
    <definedName name="OSRRefT16x_0" localSheetId="69">'327'!$T$17:$T$18</definedName>
    <definedName name="OSRRefT16x_0" localSheetId="51">'330'!$T$26:$T$33</definedName>
    <definedName name="OSRRefT16x_0" localSheetId="56">'331'!$T$53:$T$74</definedName>
    <definedName name="OSRRefT16x_0" localSheetId="73">'405'!$T$17</definedName>
    <definedName name="OSRRefT16x_0" localSheetId="76">'412'!$T$16</definedName>
    <definedName name="OSRRefT16x_0" localSheetId="77">'413'!$T$17</definedName>
    <definedName name="OSRRefT16x_0" localSheetId="78">'414'!$T$18</definedName>
    <definedName name="OSRRefT16x_0" localSheetId="79">'415'!$T$19:$T$21</definedName>
    <definedName name="OSRRefT16x_0" localSheetId="80">'418'!$T$17</definedName>
    <definedName name="OSRRefT16x_0" localSheetId="88">'433'!$T$19:$T$21</definedName>
    <definedName name="OSRRefT16x_0" localSheetId="90">'444'!$T$19:$T$21</definedName>
    <definedName name="OSRRefT16x_0" localSheetId="91">'450'!$T$17</definedName>
    <definedName name="OSRRefT16x_0" localSheetId="72">'491'!$T$21:$T$23</definedName>
    <definedName name="OSRRefT16x_0" localSheetId="86">'492'!$T$19:$T$21</definedName>
    <definedName name="OSRRefT16x_0" localSheetId="47">'Div 3'!$T$79:$T$114</definedName>
    <definedName name="OSRRefT16x_0" localSheetId="70">'Div 4'!$T$23:$T$25</definedName>
    <definedName name="OSRRefT16x_0" localSheetId="61">'Div 6'!$T$33:$T$44</definedName>
    <definedName name="OSRRefT16x_0" localSheetId="2">Summary!$T$98:$T$142</definedName>
    <definedName name="OSRRefT22_0x_0" localSheetId="40">'200'!$T$20</definedName>
    <definedName name="OSRRefT22_0x_0" localSheetId="41">'201'!$T$21:$T$29</definedName>
    <definedName name="OSRRefT22_0x_0" localSheetId="42">'202'!$T$21:$T$29</definedName>
    <definedName name="OSRRefT22_0x_0" localSheetId="43">'203'!$T$20:$T$29</definedName>
    <definedName name="OSRRefT22_0x_0" localSheetId="44">'204'!$T$20:$T$29</definedName>
    <definedName name="OSRRefT22_0x_0" localSheetId="45">'205'!$T$20:$T$28</definedName>
    <definedName name="OSRRefT22_0x_0" localSheetId="46">'206'!$T$20:$T$28</definedName>
    <definedName name="OSRRefT22_0x_0" localSheetId="48">'300'!$T$116:$T$125</definedName>
    <definedName name="OSRRefT22_0x_0" localSheetId="49">'300 &amp; 317'!$T$139:$T$148</definedName>
    <definedName name="OSRRefT22_0x_0" localSheetId="50">'301'!$T$20:$T$29</definedName>
    <definedName name="OSRRefT22_0x_0" localSheetId="52">'307'!$T$39:$T$46</definedName>
    <definedName name="OSRRefT22_0x_0" localSheetId="53">'308'!$T$56:$T$65</definedName>
    <definedName name="OSRRefT22_0x_0" localSheetId="64">'309'!$T$22:$T$29</definedName>
    <definedName name="OSRRefT22_0x_0" localSheetId="63">'310'!$T$28:$T$36</definedName>
    <definedName name="OSRRefT22_0x_0" localSheetId="71">'310 &amp; 491'!$T$32:$T$40</definedName>
    <definedName name="OSRRefT22_0x_0" localSheetId="54">'311'!$T$55:$T$64</definedName>
    <definedName name="OSRRefT22_0x_0" localSheetId="65">'313'!$T$23:$T$31</definedName>
    <definedName name="OSRRefT22_0x_0" localSheetId="57">'315'!$T$80:$T$88</definedName>
    <definedName name="OSRRefT22_0x_0" localSheetId="60">'316'!$T$30:$T$38</definedName>
    <definedName name="OSRRefT22_0x_0" localSheetId="62">'317'!$T$50:$T$59</definedName>
    <definedName name="OSRRefT22_0x_0" localSheetId="66">'321'!$T$25:$T$33</definedName>
    <definedName name="OSRRefT22_0x_0" localSheetId="67">'322'!$T$23:$T$30</definedName>
    <definedName name="OSRRefT22_0x_0" localSheetId="55">'324'!$T$27:$T$34</definedName>
    <definedName name="OSRRefT22_0x_0" localSheetId="68">'325'!$T$25:$T$32</definedName>
    <definedName name="OSRRefT22_0x_0" localSheetId="58">'326'!$T$46:$T$54</definedName>
    <definedName name="OSRRefT22_0x_0" localSheetId="69">'327'!$T$24</definedName>
    <definedName name="OSRRefT22_0x_0" localSheetId="51">'330'!$T$39:$T$46</definedName>
    <definedName name="OSRRefT22_0x_0" localSheetId="56">'331'!$T$80:$T$88</definedName>
    <definedName name="OSRRefT22_0x_0" localSheetId="59">'332'!$T$30:$T$38</definedName>
    <definedName name="OSRRefT22_0x_0" localSheetId="73">'405'!$T$23:$T$30</definedName>
    <definedName name="OSRRefT22_0x_0" localSheetId="74">'406'!$T$20</definedName>
    <definedName name="OSRRefT22_0x_0" localSheetId="75">'411'!$T$20:$T$28</definedName>
    <definedName name="OSRRefT22_0x_0" localSheetId="76">'412'!$T$22:$T$29</definedName>
    <definedName name="OSRRefT22_0x_0" localSheetId="77">'413'!$T$23:$T$31</definedName>
    <definedName name="OSRRefT22_0x_0" localSheetId="78">'414'!$T$24:$T$32</definedName>
    <definedName name="OSRRefT22_0x_0" localSheetId="79">'415'!$T$27:$T$35</definedName>
    <definedName name="OSRRefT22_0x_0" localSheetId="80">'418'!$T$23:$T$30</definedName>
    <definedName name="OSRRefT22_0x_0" localSheetId="81">'420'!$T$21</definedName>
    <definedName name="OSRRefT22_0x_0" localSheetId="82">'423'!$T$20:$T$27</definedName>
    <definedName name="OSRRefT22_0x_0" localSheetId="83">'424'!$T$20</definedName>
    <definedName name="OSRRefT22_0x_0" localSheetId="84">'425'!$T$20:$T$24</definedName>
    <definedName name="OSRRefT22_0x_0" localSheetId="87">'430'!$T$20:$T$28</definedName>
    <definedName name="OSRRefT22_0x_0" localSheetId="88">'433'!$T$27:$T$36</definedName>
    <definedName name="OSRRefT22_0x_0" localSheetId="89">'435'!$T$20</definedName>
    <definedName name="OSRRefT22_0x_0" localSheetId="90">'444'!$T$27:$T$36</definedName>
    <definedName name="OSRRefT22_0x_0" localSheetId="91">'450'!$T$23:$T$32</definedName>
    <definedName name="OSRRefT22_0x_0" localSheetId="72">'491'!$T$29:$T$37</definedName>
    <definedName name="OSRRefT22_0x_0" localSheetId="86">'492'!$T$27:$T$36</definedName>
    <definedName name="OSRRefT22_0x_0" localSheetId="93">'501'!$T$21:$T$30</definedName>
    <definedName name="OSRRefT22_0x_0" localSheetId="39">'Div 2'!$T$21:$T$31</definedName>
    <definedName name="OSRRefT22_0x_0" localSheetId="47">'Div 3'!$T$120:$T$129</definedName>
    <definedName name="OSRRefT22_0x_0" localSheetId="70">'Div 4'!$T$31:$T$40</definedName>
    <definedName name="OSRRefT22_0x_0" localSheetId="92">'Div 5'!$T$21:$T$30</definedName>
    <definedName name="OSRRefT22_0x_0" localSheetId="61">'Div 6'!$T$50:$T$59</definedName>
    <definedName name="OSRRefT22_0x_0" localSheetId="2">Summary!$T$148:$T$157</definedName>
    <definedName name="OSRRefT22_10x_0" localSheetId="41">'201'!$T$58:$T$60</definedName>
    <definedName name="OSRRefT22_10x_0" localSheetId="42">'202'!$T$62</definedName>
    <definedName name="OSRRefT22_10x_0" localSheetId="43">'203'!$T$62</definedName>
    <definedName name="OSRRefT22_10x_0" localSheetId="44">'204'!$T$62:$T$63</definedName>
    <definedName name="OSRRefT22_10x_0" localSheetId="48">'300'!$T$158:$T$159</definedName>
    <definedName name="OSRRefT22_10x_0" localSheetId="49">'300 &amp; 317'!$T$181:$T$182</definedName>
    <definedName name="OSRRefT22_10x_0" localSheetId="50">'301'!$T$60</definedName>
    <definedName name="OSRRefT22_10x_0" localSheetId="52">'307'!$T$77:$T$78</definedName>
    <definedName name="OSRRefT22_10x_0" localSheetId="53">'308'!$T$97</definedName>
    <definedName name="OSRRefT22_10x_0" localSheetId="64">'309'!$T$61</definedName>
    <definedName name="OSRRefT22_10x_0" localSheetId="63">'310'!$T$66</definedName>
    <definedName name="OSRRefT22_10x_0" localSheetId="71">'310 &amp; 491'!$T$72</definedName>
    <definedName name="OSRRefT22_10x_0" localSheetId="54">'311'!$T$96</definedName>
    <definedName name="OSRRefT22_10x_0" localSheetId="65">'313'!$T$64</definedName>
    <definedName name="OSRRefT22_10x_0" localSheetId="57">'315'!$T$118</definedName>
    <definedName name="OSRRefT22_10x_0" localSheetId="60">'316'!$T$73</definedName>
    <definedName name="OSRRefT22_10x_0" localSheetId="62">'317'!$T$89:$T$91</definedName>
    <definedName name="OSRRefT22_10x_0" localSheetId="66">'321'!$T$65:$T$67</definedName>
    <definedName name="OSRRefT22_10x_0" localSheetId="67">'322'!$T$64</definedName>
    <definedName name="OSRRefT22_10x_0" localSheetId="68">'325'!$T$62</definedName>
    <definedName name="OSRRefT22_10x_0" localSheetId="58">'326'!$T$84</definedName>
    <definedName name="OSRRefT22_10x_0" localSheetId="51">'330'!$T$77:$T$78</definedName>
    <definedName name="OSRRefT22_10x_0" localSheetId="56">'331'!$T$119</definedName>
    <definedName name="OSRRefT22_10x_0" localSheetId="59">'332'!$T$73</definedName>
    <definedName name="OSRRefT22_10x_0" localSheetId="73">'405'!$T$61</definedName>
    <definedName name="OSRRefT22_10x_0" localSheetId="75">'411'!$T$59:$T$62</definedName>
    <definedName name="OSRRefT22_10x_0" localSheetId="76">'412'!$T$60:$T$63</definedName>
    <definedName name="OSRRefT22_10x_0" localSheetId="77">'413'!$T$63:$T$70</definedName>
    <definedName name="OSRRefT22_10x_0" localSheetId="78">'414'!$T$62</definedName>
    <definedName name="OSRRefT22_10x_0" localSheetId="79">'415'!$T$65</definedName>
    <definedName name="OSRRefT22_10x_0" localSheetId="80">'418'!$T$63:$T$64</definedName>
    <definedName name="OSRRefT22_10x_0" localSheetId="88">'433'!$T$65</definedName>
    <definedName name="OSRRefT22_10x_0" localSheetId="90">'444'!$T$65</definedName>
    <definedName name="OSRRefT22_10x_0" localSheetId="91">'450'!$T$61</definedName>
    <definedName name="OSRRefT22_10x_0" localSheetId="72">'491'!$T$68</definedName>
    <definedName name="OSRRefT22_10x_0" localSheetId="86">'492'!$T$65</definedName>
    <definedName name="OSRRefT22_10x_0" localSheetId="93">'501'!$T$63:$T$64</definedName>
    <definedName name="OSRRefT22_10x_0" localSheetId="39">'Div 2'!$T$62</definedName>
    <definedName name="OSRRefT22_10x_0" localSheetId="47">'Div 3'!$T$162:$T$163</definedName>
    <definedName name="OSRRefT22_10x_0" localSheetId="70">'Div 4'!$T$71</definedName>
    <definedName name="OSRRefT22_10x_0" localSheetId="92">'Div 5'!$T$63:$T$64</definedName>
    <definedName name="OSRRefT22_10x_0" localSheetId="61">'Div 6'!$T$89:$T$91</definedName>
    <definedName name="OSRRefT22_10x_0" localSheetId="2">Summary!$T$191:$T$192</definedName>
    <definedName name="OSRRefT22_11x_0" localSheetId="41">'201'!$T$62</definedName>
    <definedName name="OSRRefT22_11x_0" localSheetId="42">'202'!$T$64</definedName>
    <definedName name="OSRRefT22_11x_0" localSheetId="43">'203'!$T$64:$T$66</definedName>
    <definedName name="OSRRefT22_11x_0" localSheetId="44">'204'!$T$65</definedName>
    <definedName name="OSRRefT22_11x_0" localSheetId="48">'300'!$T$161:$T$163</definedName>
    <definedName name="OSRRefT22_11x_0" localSheetId="49">'300 &amp; 317'!$T$184:$T$186</definedName>
    <definedName name="OSRRefT22_11x_0" localSheetId="50">'301'!$T$62</definedName>
    <definedName name="OSRRefT22_11x_0" localSheetId="52">'307'!$T$80:$T$83</definedName>
    <definedName name="OSRRefT22_11x_0" localSheetId="53">'308'!$T$99:$T$101</definedName>
    <definedName name="OSRRefT22_11x_0" localSheetId="63">'310'!$T$68</definedName>
    <definedName name="OSRRefT22_11x_0" localSheetId="71">'310 &amp; 491'!$T$74</definedName>
    <definedName name="OSRRefT22_11x_0" localSheetId="54">'311'!$T$98:$T$100</definedName>
    <definedName name="OSRRefT22_11x_0" localSheetId="65">'313'!$T$66</definedName>
    <definedName name="OSRRefT22_11x_0" localSheetId="57">'315'!$T$120</definedName>
    <definedName name="OSRRefT22_11x_0" localSheetId="60">'316'!$T$75</definedName>
    <definedName name="OSRRefT22_11x_0" localSheetId="62">'317'!$T$93</definedName>
    <definedName name="OSRRefT22_11x_0" localSheetId="66">'321'!$T$69:$T$70</definedName>
    <definedName name="OSRRefT22_11x_0" localSheetId="67">'322'!$T$66</definedName>
    <definedName name="OSRRefT22_11x_0" localSheetId="68">'325'!$T$64:$T$67</definedName>
    <definedName name="OSRRefT22_11x_0" localSheetId="58">'326'!$T$86</definedName>
    <definedName name="OSRRefT22_11x_0" localSheetId="51">'330'!$T$80:$T$83</definedName>
    <definedName name="OSRRefT22_11x_0" localSheetId="56">'331'!$T$121</definedName>
    <definedName name="OSRRefT22_11x_0" localSheetId="59">'332'!$T$75</definedName>
    <definedName name="OSRRefT22_11x_0" localSheetId="73">'405'!$T$63:$T$66</definedName>
    <definedName name="OSRRefT22_11x_0" localSheetId="75">'411'!$T$64</definedName>
    <definedName name="OSRRefT22_11x_0" localSheetId="76">'412'!$T$65:$T$69</definedName>
    <definedName name="OSRRefT22_11x_0" localSheetId="77">'413'!$T$72:$T$73</definedName>
    <definedName name="OSRRefT22_11x_0" localSheetId="78">'414'!$T$64</definedName>
    <definedName name="OSRRefT22_11x_0" localSheetId="79">'415'!$T$67:$T$68</definedName>
    <definedName name="OSRRefT22_11x_0" localSheetId="80">'418'!$T$66:$T$75</definedName>
    <definedName name="OSRRefT22_11x_0" localSheetId="88">'433'!$T$67:$T$68</definedName>
    <definedName name="OSRRefT22_11x_0" localSheetId="90">'444'!$T$67:$T$70</definedName>
    <definedName name="OSRRefT22_11x_0" localSheetId="91">'450'!$T$63</definedName>
    <definedName name="OSRRefT22_11x_0" localSheetId="72">'491'!$T$70</definedName>
    <definedName name="OSRRefT22_11x_0" localSheetId="86">'492'!$T$67</definedName>
    <definedName name="OSRRefT22_11x_0" localSheetId="93">'501'!$T$66</definedName>
    <definedName name="OSRRefT22_11x_0" localSheetId="39">'Div 2'!$T$64:$T$65</definedName>
    <definedName name="OSRRefT22_11x_0" localSheetId="47">'Div 3'!$T$165:$T$167</definedName>
    <definedName name="OSRRefT22_11x_0" localSheetId="70">'Div 4'!$T$73</definedName>
    <definedName name="OSRRefT22_11x_0" localSheetId="92">'Div 5'!$T$66</definedName>
    <definedName name="OSRRefT22_11x_0" localSheetId="61">'Div 6'!$T$93</definedName>
    <definedName name="OSRRefT22_11x_0" localSheetId="2">Summary!$T$194:$T$196</definedName>
    <definedName name="OSRRefT22_12x_0" localSheetId="41">'201'!$T$64</definedName>
    <definedName name="OSRRefT22_12x_0" localSheetId="42">'202'!$T$66</definedName>
    <definedName name="OSRRefT22_12x_0" localSheetId="43">'203'!$T$68</definedName>
    <definedName name="OSRRefT22_12x_0" localSheetId="44">'204'!$T$67</definedName>
    <definedName name="OSRRefT22_12x_0" localSheetId="48">'300'!$T$165</definedName>
    <definedName name="OSRRefT22_12x_0" localSheetId="49">'300 &amp; 317'!$T$188</definedName>
    <definedName name="OSRRefT22_12x_0" localSheetId="50">'301'!$T$64</definedName>
    <definedName name="OSRRefT22_12x_0" localSheetId="52">'307'!$T$85:$T$86</definedName>
    <definedName name="OSRRefT22_12x_0" localSheetId="53">'308'!$T$103:$T$104</definedName>
    <definedName name="OSRRefT22_12x_0" localSheetId="63">'310'!$T$70</definedName>
    <definedName name="OSRRefT22_12x_0" localSheetId="71">'310 &amp; 491'!$T$76</definedName>
    <definedName name="OSRRefT22_12x_0" localSheetId="54">'311'!$T$102:$T$103</definedName>
    <definedName name="OSRRefT22_12x_0" localSheetId="57">'315'!$T$122:$T$124</definedName>
    <definedName name="OSRRefT22_12x_0" localSheetId="62">'317'!$T$95</definedName>
    <definedName name="OSRRefT22_12x_0" localSheetId="66">'321'!$T$72</definedName>
    <definedName name="OSRRefT22_12x_0" localSheetId="68">'325'!$T$69:$T$71</definedName>
    <definedName name="OSRRefT22_12x_0" localSheetId="58">'326'!$T$88</definedName>
    <definedName name="OSRRefT22_12x_0" localSheetId="51">'330'!$T$85:$T$86</definedName>
    <definedName name="OSRRefT22_12x_0" localSheetId="56">'331'!$T$123</definedName>
    <definedName name="OSRRefT22_12x_0" localSheetId="73">'405'!$T$68</definedName>
    <definedName name="OSRRefT22_12x_0" localSheetId="75">'411'!$T$66:$T$72</definedName>
    <definedName name="OSRRefT22_12x_0" localSheetId="76">'412'!$T$71:$T$72</definedName>
    <definedName name="OSRRefT22_12x_0" localSheetId="77">'413'!$T$75</definedName>
    <definedName name="OSRRefT22_12x_0" localSheetId="78">'414'!$T$66:$T$68</definedName>
    <definedName name="OSRRefT22_12x_0" localSheetId="79">'415'!$T$70:$T$74</definedName>
    <definedName name="OSRRefT22_12x_0" localSheetId="80">'418'!$T$77:$T$78</definedName>
    <definedName name="OSRRefT22_12x_0" localSheetId="88">'433'!$T$70:$T$73</definedName>
    <definedName name="OSRRefT22_12x_0" localSheetId="90">'444'!$T$72:$T$75</definedName>
    <definedName name="OSRRefT22_12x_0" localSheetId="91">'450'!$T$65</definedName>
    <definedName name="OSRRefT22_12x_0" localSheetId="72">'491'!$T$72</definedName>
    <definedName name="OSRRefT22_12x_0" localSheetId="86">'492'!$T$69:$T$72</definedName>
    <definedName name="OSRRefT22_12x_0" localSheetId="39">'Div 2'!$T$67:$T$70</definedName>
    <definedName name="OSRRefT22_12x_0" localSheetId="47">'Div 3'!$T$169</definedName>
    <definedName name="OSRRefT22_12x_0" localSheetId="70">'Div 4'!$T$75</definedName>
    <definedName name="OSRRefT22_12x_0" localSheetId="61">'Div 6'!$T$95</definedName>
    <definedName name="OSRRefT22_12x_0" localSheetId="2">Summary!$T$198</definedName>
    <definedName name="OSRRefT22_13x_0" localSheetId="41">'201'!$T$66:$T$68</definedName>
    <definedName name="OSRRefT22_13x_0" localSheetId="43">'203'!$T$70</definedName>
    <definedName name="OSRRefT22_13x_0" localSheetId="48">'300'!$T$167</definedName>
    <definedName name="OSRRefT22_13x_0" localSheetId="49">'300 &amp; 317'!$T$190</definedName>
    <definedName name="OSRRefT22_13x_0" localSheetId="50">'301'!$T$66</definedName>
    <definedName name="OSRRefT22_13x_0" localSheetId="52">'307'!$T$88</definedName>
    <definedName name="OSRRefT22_13x_0" localSheetId="53">'308'!$T$106</definedName>
    <definedName name="OSRRefT22_13x_0" localSheetId="63">'310'!$T$72:$T$75</definedName>
    <definedName name="OSRRefT22_13x_0" localSheetId="71">'310 &amp; 491'!$T$78:$T$81</definedName>
    <definedName name="OSRRefT22_13x_0" localSheetId="54">'311'!$T$105</definedName>
    <definedName name="OSRRefT22_13x_0" localSheetId="57">'315'!$T$126:$T$127</definedName>
    <definedName name="OSRRefT22_13x_0" localSheetId="66">'321'!$T$74</definedName>
    <definedName name="OSRRefT22_13x_0" localSheetId="68">'325'!$T$73</definedName>
    <definedName name="OSRRefT22_13x_0" localSheetId="58">'326'!$T$90:$T$91</definedName>
    <definedName name="OSRRefT22_13x_0" localSheetId="51">'330'!$T$88</definedName>
    <definedName name="OSRRefT22_13x_0" localSheetId="56">'331'!$T$125</definedName>
    <definedName name="OSRRefT22_13x_0" localSheetId="73">'405'!$T$70:$T$78</definedName>
    <definedName name="OSRRefT22_13x_0" localSheetId="75">'411'!$T$74</definedName>
    <definedName name="OSRRefT22_13x_0" localSheetId="76">'412'!$T$74</definedName>
    <definedName name="OSRRefT22_13x_0" localSheetId="78">'414'!$T$70</definedName>
    <definedName name="OSRRefT22_13x_0" localSheetId="79">'415'!$T$76</definedName>
    <definedName name="OSRRefT22_13x_0" localSheetId="80">'418'!$T$80</definedName>
    <definedName name="OSRRefT22_13x_0" localSheetId="88">'433'!$T$75:$T$82</definedName>
    <definedName name="OSRRefT22_13x_0" localSheetId="90">'444'!$T$77</definedName>
    <definedName name="OSRRefT22_13x_0" localSheetId="91">'450'!$T$67:$T$69</definedName>
    <definedName name="OSRRefT22_13x_0" localSheetId="72">'491'!$T$74:$T$77</definedName>
    <definedName name="OSRRefT22_13x_0" localSheetId="86">'492'!$T$74:$T$77</definedName>
    <definedName name="OSRRefT22_13x_0" localSheetId="39">'Div 2'!$T$72:$T$75</definedName>
    <definedName name="OSRRefT22_13x_0" localSheetId="47">'Div 3'!$T$171</definedName>
    <definedName name="OSRRefT22_13x_0" localSheetId="70">'Div 4'!$T$77</definedName>
    <definedName name="OSRRefT22_13x_0" localSheetId="2">Summary!$T$200</definedName>
    <definedName name="OSRRefT22_14x_0" localSheetId="41">'201'!$T$70</definedName>
    <definedName name="OSRRefT22_14x_0" localSheetId="43">'203'!$T$72</definedName>
    <definedName name="OSRRefT22_14x_0" localSheetId="48">'300'!$T$169</definedName>
    <definedName name="OSRRefT22_14x_0" localSheetId="49">'300 &amp; 317'!$T$192</definedName>
    <definedName name="OSRRefT22_14x_0" localSheetId="50">'301'!$T$68:$T$71</definedName>
    <definedName name="OSRRefT22_14x_0" localSheetId="63">'310'!$T$77:$T$78</definedName>
    <definedName name="OSRRefT22_14x_0" localSheetId="71">'310 &amp; 491'!$T$83:$T$84</definedName>
    <definedName name="OSRRefT22_14x_0" localSheetId="57">'315'!$T$129:$T$135</definedName>
    <definedName name="OSRRefT22_14x_0" localSheetId="68">'325'!$T$75:$T$79</definedName>
    <definedName name="OSRRefT22_14x_0" localSheetId="58">'326'!$T$93:$T$95</definedName>
    <definedName name="OSRRefT22_14x_0" localSheetId="56">'331'!$T$127:$T$128</definedName>
    <definedName name="OSRRefT22_14x_0" localSheetId="73">'405'!$T$80</definedName>
    <definedName name="OSRRefT22_14x_0" localSheetId="75">'411'!$T$76</definedName>
    <definedName name="OSRRefT22_14x_0" localSheetId="78">'414'!$T$72</definedName>
    <definedName name="OSRRefT22_14x_0" localSheetId="79">'415'!$T$78:$T$84</definedName>
    <definedName name="OSRRefT22_14x_0" localSheetId="88">'433'!$T$84</definedName>
    <definedName name="OSRRefT22_14x_0" localSheetId="90">'444'!$T$79:$T$87</definedName>
    <definedName name="OSRRefT22_14x_0" localSheetId="91">'450'!$T$71:$T$77</definedName>
    <definedName name="OSRRefT22_14x_0" localSheetId="72">'491'!$T$79:$T$80</definedName>
    <definedName name="OSRRefT22_14x_0" localSheetId="86">'492'!$T$79</definedName>
    <definedName name="OSRRefT22_14x_0" localSheetId="39">'Div 2'!$T$77:$T$78</definedName>
    <definedName name="OSRRefT22_14x_0" localSheetId="47">'Div 3'!$T$173</definedName>
    <definedName name="OSRRefT22_14x_0" localSheetId="70">'Div 4'!$T$79</definedName>
    <definedName name="OSRRefT22_14x_0" localSheetId="2">Summary!$T$202</definedName>
    <definedName name="OSRRefT22_15x_0" localSheetId="41">'201'!$T$72</definedName>
    <definedName name="OSRRefT22_15x_0" localSheetId="48">'300'!$T$171</definedName>
    <definedName name="OSRRefT22_15x_0" localSheetId="49">'300 &amp; 317'!$T$194</definedName>
    <definedName name="OSRRefT22_15x_0" localSheetId="50">'301'!$T$73:$T$75</definedName>
    <definedName name="OSRRefT22_15x_0" localSheetId="63">'310'!$T$80:$T$83</definedName>
    <definedName name="OSRRefT22_15x_0" localSheetId="71">'310 &amp; 491'!$T$86:$T$90</definedName>
    <definedName name="OSRRefT22_15x_0" localSheetId="57">'315'!$T$137</definedName>
    <definedName name="OSRRefT22_15x_0" localSheetId="68">'325'!$T$81:$T$82</definedName>
    <definedName name="OSRRefT22_15x_0" localSheetId="58">'326'!$T$97:$T$98</definedName>
    <definedName name="OSRRefT22_15x_0" localSheetId="56">'331'!$T$130:$T$132</definedName>
    <definedName name="OSRRefT22_15x_0" localSheetId="73">'405'!$T$82</definedName>
    <definedName name="OSRRefT22_15x_0" localSheetId="75">'411'!$T$78</definedName>
    <definedName name="OSRRefT22_15x_0" localSheetId="78">'414'!$T$74</definedName>
    <definedName name="OSRRefT22_15x_0" localSheetId="79">'415'!$T$86:$T$87</definedName>
    <definedName name="OSRRefT22_15x_0" localSheetId="90">'444'!$T$89:$T$90</definedName>
    <definedName name="OSRRefT22_15x_0" localSheetId="91">'450'!$T$79:$T$80</definedName>
    <definedName name="OSRRefT22_15x_0" localSheetId="72">'491'!$T$82:$T$86</definedName>
    <definedName name="OSRRefT22_15x_0" localSheetId="86">'492'!$T$81:$T$90</definedName>
    <definedName name="OSRRefT22_15x_0" localSheetId="39">'Div 2'!$T$80:$T$81</definedName>
    <definedName name="OSRRefT22_15x_0" localSheetId="47">'Div 3'!$T$175</definedName>
    <definedName name="OSRRefT22_15x_0" localSheetId="70">'Div 4'!$T$81:$T$84</definedName>
    <definedName name="OSRRefT22_15x_0" localSheetId="2">Summary!$T$204</definedName>
    <definedName name="OSRRefT22_16x_0" localSheetId="41">'201'!$T$74</definedName>
    <definedName name="OSRRefT22_16x_0" localSheetId="48">'300'!$T$173:$T$176</definedName>
    <definedName name="OSRRefT22_16x_0" localSheetId="49">'300 &amp; 317'!$T$196:$T$199</definedName>
    <definedName name="OSRRefT22_16x_0" localSheetId="50">'301'!$T$77</definedName>
    <definedName name="OSRRefT22_16x_0" localSheetId="63">'310'!$T$85</definedName>
    <definedName name="OSRRefT22_16x_0" localSheetId="71">'310 &amp; 491'!$T$92:$T$93</definedName>
    <definedName name="OSRRefT22_16x_0" localSheetId="57">'315'!$T$139</definedName>
    <definedName name="OSRRefT22_16x_0" localSheetId="68">'325'!$T$84</definedName>
    <definedName name="OSRRefT22_16x_0" localSheetId="58">'326'!$T$100:$T$105</definedName>
    <definedName name="OSRRefT22_16x_0" localSheetId="56">'331'!$T$134:$T$136</definedName>
    <definedName name="OSRRefT22_16x_0" localSheetId="73">'405'!$T$84</definedName>
    <definedName name="OSRRefT22_16x_0" localSheetId="79">'415'!$T$89</definedName>
    <definedName name="OSRRefT22_16x_0" localSheetId="90">'444'!$T$92</definedName>
    <definedName name="OSRRefT22_16x_0" localSheetId="91">'450'!$T$82</definedName>
    <definedName name="OSRRefT22_16x_0" localSheetId="72">'491'!$T$88:$T$89</definedName>
    <definedName name="OSRRefT22_16x_0" localSheetId="86">'492'!$T$92:$T$93</definedName>
    <definedName name="OSRRefT22_16x_0" localSheetId="39">'Div 2'!$T$83:$T$87</definedName>
    <definedName name="OSRRefT22_16x_0" localSheetId="47">'Div 3'!$T$177</definedName>
    <definedName name="OSRRefT22_16x_0" localSheetId="70">'Div 4'!$T$86:$T$87</definedName>
    <definedName name="OSRRefT22_16x_0" localSheetId="2">Summary!$T$206</definedName>
    <definedName name="OSRRefT22_17x_0" localSheetId="48">'300'!$T$178:$T$181</definedName>
    <definedName name="OSRRefT22_17x_0" localSheetId="49">'300 &amp; 317'!$T$201:$T$204</definedName>
    <definedName name="OSRRefT22_17x_0" localSheetId="50">'301'!$T$79:$T$85</definedName>
    <definedName name="OSRRefT22_17x_0" localSheetId="63">'310'!$T$87:$T$93</definedName>
    <definedName name="OSRRefT22_17x_0" localSheetId="71">'310 &amp; 491'!$T$95:$T$105</definedName>
    <definedName name="OSRRefT22_17x_0" localSheetId="57">'315'!$T$141:$T$142</definedName>
    <definedName name="OSRRefT22_17x_0" localSheetId="68">'325'!$T$86</definedName>
    <definedName name="OSRRefT22_17x_0" localSheetId="58">'326'!$T$107:$T$108</definedName>
    <definedName name="OSRRefT22_17x_0" localSheetId="56">'331'!$T$138:$T$139</definedName>
    <definedName name="OSRRefT22_17x_0" localSheetId="79">'415'!$T$91:$T$92</definedName>
    <definedName name="OSRRefT22_17x_0" localSheetId="72">'491'!$T$91:$T$101</definedName>
    <definedName name="OSRRefT22_17x_0" localSheetId="86">'492'!$T$95</definedName>
    <definedName name="OSRRefT22_17x_0" localSheetId="39">'Div 2'!$T$89:$T$90</definedName>
    <definedName name="OSRRefT22_17x_0" localSheetId="47">'Div 3'!$T$179:$T$182</definedName>
    <definedName name="OSRRefT22_17x_0" localSheetId="70">'Div 4'!$T$89:$T$93</definedName>
    <definedName name="OSRRefT22_17x_0" localSheetId="2">Summary!$T$208</definedName>
    <definedName name="OSRRefT22_18x_0" localSheetId="48">'300'!$T$183:$T$186</definedName>
    <definedName name="OSRRefT22_18x_0" localSheetId="49">'300 &amp; 317'!$T$206:$T$209</definedName>
    <definedName name="OSRRefT22_18x_0" localSheetId="50">'301'!$T$87</definedName>
    <definedName name="OSRRefT22_18x_0" localSheetId="63">'310'!$T$95:$T$96</definedName>
    <definedName name="OSRRefT22_18x_0" localSheetId="71">'310 &amp; 491'!$T$107:$T$108</definedName>
    <definedName name="OSRRefT22_18x_0" localSheetId="58">'326'!$T$110</definedName>
    <definedName name="OSRRefT22_18x_0" localSheetId="56">'331'!$T$141:$T$148</definedName>
    <definedName name="OSRRefT22_18x_0" localSheetId="79">'415'!$T$94</definedName>
    <definedName name="OSRRefT22_18x_0" localSheetId="72">'491'!$T$103:$T$104</definedName>
    <definedName name="OSRRefT22_18x_0" localSheetId="86">'492'!$T$97</definedName>
    <definedName name="OSRRefT22_18x_0" localSheetId="39">'Div 2'!$T$92</definedName>
    <definedName name="OSRRefT22_18x_0" localSheetId="47">'Div 3'!$T$184:$T$187</definedName>
    <definedName name="OSRRefT22_18x_0" localSheetId="70">'Div 4'!$T$95:$T$96</definedName>
    <definedName name="OSRRefT22_18x_0" localSheetId="2">Summary!$T$210:$T$213</definedName>
    <definedName name="OSRRefT22_19x_0" localSheetId="48">'300'!$T$188:$T$189</definedName>
    <definedName name="OSRRefT22_19x_0" localSheetId="49">'300 &amp; 317'!$T$211:$T$212</definedName>
    <definedName name="OSRRefT22_19x_0" localSheetId="50">'301'!$T$89</definedName>
    <definedName name="OSRRefT22_19x_0" localSheetId="63">'310'!$T$98</definedName>
    <definedName name="OSRRefT22_19x_0" localSheetId="71">'310 &amp; 491'!$T$110</definedName>
    <definedName name="OSRRefT22_19x_0" localSheetId="58">'326'!$T$112:$T$113</definedName>
    <definedName name="OSRRefT22_19x_0" localSheetId="56">'331'!$T$150:$T$151</definedName>
    <definedName name="OSRRefT22_19x_0" localSheetId="72">'491'!$T$106</definedName>
    <definedName name="OSRRefT22_19x_0" localSheetId="39">'Div 2'!$T$94:$T$95</definedName>
    <definedName name="OSRRefT22_19x_0" localSheetId="47">'Div 3'!$T$189:$T$193</definedName>
    <definedName name="OSRRefT22_19x_0" localSheetId="70">'Div 4'!$T$98:$T$108</definedName>
    <definedName name="OSRRefT22_19x_0" localSheetId="2">Summary!$T$215:$T$218</definedName>
    <definedName name="OSRRefT22_1x_0" localSheetId="40">'200'!$T$22</definedName>
    <definedName name="OSRRefT22_1x_0" localSheetId="41">'201'!$T$31:$T$40</definedName>
    <definedName name="OSRRefT22_1x_0" localSheetId="42">'202'!$T$31:$T$40</definedName>
    <definedName name="OSRRefT22_1x_0" localSheetId="43">'203'!$T$31:$T$40</definedName>
    <definedName name="OSRRefT22_1x_0" localSheetId="44">'204'!$T$31:$T$40</definedName>
    <definedName name="OSRRefT22_1x_0" localSheetId="45">'205'!$T$30:$T$39</definedName>
    <definedName name="OSRRefT22_1x_0" localSheetId="46">'206'!$T$30:$T$39</definedName>
    <definedName name="OSRRefT22_1x_0" localSheetId="48">'300'!$T$127:$T$136</definedName>
    <definedName name="OSRRefT22_1x_0" localSheetId="49">'300 &amp; 317'!$T$150:$T$159</definedName>
    <definedName name="OSRRefT22_1x_0" localSheetId="50">'301'!$T$31:$T$40</definedName>
    <definedName name="OSRRefT22_1x_0" localSheetId="52">'307'!$T$48:$T$57</definedName>
    <definedName name="OSRRefT22_1x_0" localSheetId="53">'308'!$T$67:$T$76</definedName>
    <definedName name="OSRRefT22_1x_0" localSheetId="64">'309'!$T$31:$T$40</definedName>
    <definedName name="OSRRefT22_1x_0" localSheetId="63">'310'!$T$38:$T$47</definedName>
    <definedName name="OSRRefT22_1x_0" localSheetId="71">'310 &amp; 491'!$T$42:$T$51</definedName>
    <definedName name="OSRRefT22_1x_0" localSheetId="54">'311'!$T$66:$T$75</definedName>
    <definedName name="OSRRefT22_1x_0" localSheetId="65">'313'!$T$33:$T$42</definedName>
    <definedName name="OSRRefT22_1x_0" localSheetId="57">'315'!$T$90:$T$99</definedName>
    <definedName name="OSRRefT22_1x_0" localSheetId="60">'316'!$T$40:$T$49</definedName>
    <definedName name="OSRRefT22_1x_0" localSheetId="62">'317'!$T$61:$T$70</definedName>
    <definedName name="OSRRefT22_1x_0" localSheetId="66">'321'!$T$35:$T$44</definedName>
    <definedName name="OSRRefT22_1x_0" localSheetId="67">'322'!$T$32:$T$41</definedName>
    <definedName name="OSRRefT22_1x_0" localSheetId="55">'324'!$T$36:$T$45</definedName>
    <definedName name="OSRRefT22_1x_0" localSheetId="68">'325'!$T$34:$T$43</definedName>
    <definedName name="OSRRefT22_1x_0" localSheetId="58">'326'!$T$56:$T$65</definedName>
    <definedName name="OSRRefT22_1x_0" localSheetId="51">'330'!$T$48:$T$57</definedName>
    <definedName name="OSRRefT22_1x_0" localSheetId="56">'331'!$T$90:$T$99</definedName>
    <definedName name="OSRRefT22_1x_0" localSheetId="59">'332'!$T$40:$T$49</definedName>
    <definedName name="OSRRefT22_1x_0" localSheetId="73">'405'!$T$32:$T$41</definedName>
    <definedName name="OSRRefT22_1x_0" localSheetId="74">'406'!$T$22</definedName>
    <definedName name="OSRRefT22_1x_0" localSheetId="75">'411'!$T$30:$T$39</definedName>
    <definedName name="OSRRefT22_1x_0" localSheetId="76">'412'!$T$31:$T$40</definedName>
    <definedName name="OSRRefT22_1x_0" localSheetId="77">'413'!$T$33:$T$42</definedName>
    <definedName name="OSRRefT22_1x_0" localSheetId="78">'414'!$T$34:$T$43</definedName>
    <definedName name="OSRRefT22_1x_0" localSheetId="79">'415'!$T$37:$T$46</definedName>
    <definedName name="OSRRefT22_1x_0" localSheetId="80">'418'!$T$32:$T$41</definedName>
    <definedName name="OSRRefT22_1x_0" localSheetId="82">'423'!$T$29:$T$38</definedName>
    <definedName name="OSRRefT22_1x_0" localSheetId="83">'424'!$T$22</definedName>
    <definedName name="OSRRefT22_1x_0" localSheetId="84">'425'!$T$26</definedName>
    <definedName name="OSRRefT22_1x_0" localSheetId="87">'430'!$T$30:$T$39</definedName>
    <definedName name="OSRRefT22_1x_0" localSheetId="88">'433'!$T$38:$T$47</definedName>
    <definedName name="OSRRefT22_1x_0" localSheetId="90">'444'!$T$38:$T$47</definedName>
    <definedName name="OSRRefT22_1x_0" localSheetId="91">'450'!$T$34:$T$43</definedName>
    <definedName name="OSRRefT22_1x_0" localSheetId="72">'491'!$T$39:$T$48</definedName>
    <definedName name="OSRRefT22_1x_0" localSheetId="86">'492'!$T$38:$T$47</definedName>
    <definedName name="OSRRefT22_1x_0" localSheetId="93">'501'!$T$32:$T$41</definedName>
    <definedName name="OSRRefT22_1x_0" localSheetId="39">'Div 2'!$T$33:$T$42</definedName>
    <definedName name="OSRRefT22_1x_0" localSheetId="47">'Div 3'!$T$131:$T$140</definedName>
    <definedName name="OSRRefT22_1x_0" localSheetId="70">'Div 4'!$T$42:$T$51</definedName>
    <definedName name="OSRRefT22_1x_0" localSheetId="92">'Div 5'!$T$32:$T$41</definedName>
    <definedName name="OSRRefT22_1x_0" localSheetId="61">'Div 6'!$T$61:$T$70</definedName>
    <definedName name="OSRRefT22_1x_0" localSheetId="2">Summary!$T$159:$T$168</definedName>
    <definedName name="OSRRefT22_20x_0" localSheetId="48">'300'!$T$191:$T$199</definedName>
    <definedName name="OSRRefT22_20x_0" localSheetId="49">'300 &amp; 317'!$T$214:$T$222</definedName>
    <definedName name="OSRRefT22_20x_0" localSheetId="50">'301'!$T$91:$T$92</definedName>
    <definedName name="OSRRefT22_20x_0" localSheetId="63">'310'!$T$100</definedName>
    <definedName name="OSRRefT22_20x_0" localSheetId="71">'310 &amp; 491'!$T$112:$T$114</definedName>
    <definedName name="OSRRefT22_20x_0" localSheetId="58">'326'!$T$115</definedName>
    <definedName name="OSRRefT22_20x_0" localSheetId="56">'331'!$T$153</definedName>
    <definedName name="OSRRefT22_20x_0" localSheetId="72">'491'!$T$108:$T$110</definedName>
    <definedName name="OSRRefT22_20x_0" localSheetId="47">'Div 3'!$T$195:$T$196</definedName>
    <definedName name="OSRRefT22_20x_0" localSheetId="70">'Div 4'!$T$110:$T$111</definedName>
    <definedName name="OSRRefT22_20x_0" localSheetId="2">Summary!$T$220:$T$224</definedName>
    <definedName name="OSRRefT22_21x_0" localSheetId="48">'300'!$T$201:$T$202</definedName>
    <definedName name="OSRRefT22_21x_0" localSheetId="49">'300 &amp; 317'!$T$224:$T$225</definedName>
    <definedName name="OSRRefT22_21x_0" localSheetId="50">'301'!$T$94</definedName>
    <definedName name="OSRRefT22_21x_0" localSheetId="63">'310'!$T$102</definedName>
    <definedName name="OSRRefT22_21x_0" localSheetId="71">'310 &amp; 491'!$T$116</definedName>
    <definedName name="OSRRefT22_21x_0" localSheetId="56">'331'!$T$155:$T$156</definedName>
    <definedName name="OSRRefT22_21x_0" localSheetId="72">'491'!$T$112</definedName>
    <definedName name="OSRRefT22_21x_0" localSheetId="47">'Div 3'!$T$198:$T$206</definedName>
    <definedName name="OSRRefT22_21x_0" localSheetId="70">'Div 4'!$T$113</definedName>
    <definedName name="OSRRefT22_21x_0" localSheetId="2">Summary!$T$226:$T$227</definedName>
    <definedName name="OSRRefT22_22x_0" localSheetId="48">'300'!$T$204</definedName>
    <definedName name="OSRRefT22_22x_0" localSheetId="49">'300 &amp; 317'!$T$227</definedName>
    <definedName name="OSRRefT22_22x_0" localSheetId="56">'331'!$T$158</definedName>
    <definedName name="OSRRefT22_22x_0" localSheetId="47">'Div 3'!$T$208:$T$209</definedName>
    <definedName name="OSRRefT22_22x_0" localSheetId="70">'Div 4'!$T$115:$T$117</definedName>
    <definedName name="OSRRefT22_22x_0" localSheetId="2">Summary!$T$229:$T$239</definedName>
    <definedName name="OSRRefT22_23x_0" localSheetId="48">'300'!$T$206:$T$208</definedName>
    <definedName name="OSRRefT22_23x_0" localSheetId="49">'300 &amp; 317'!$T$229:$T$231</definedName>
    <definedName name="OSRRefT22_23x_0" localSheetId="47">'Div 3'!$T$211</definedName>
    <definedName name="OSRRefT22_23x_0" localSheetId="70">'Div 4'!$T$119</definedName>
    <definedName name="OSRRefT22_23x_0" localSheetId="2">Summary!$T$241:$T$242</definedName>
    <definedName name="OSRRefT22_24x_0" localSheetId="48">'300'!$T$210</definedName>
    <definedName name="OSRRefT22_24x_0" localSheetId="49">'300 &amp; 317'!$T$233</definedName>
    <definedName name="OSRRefT22_24x_0" localSheetId="47">'Div 3'!$T$213:$T$215</definedName>
    <definedName name="OSRRefT22_24x_0" localSheetId="2">Summary!$T$244</definedName>
    <definedName name="OSRRefT22_25x_0" localSheetId="47">'Div 3'!$T$217</definedName>
    <definedName name="OSRRefT22_25x_0" localSheetId="2">Summary!$T$246:$T$248</definedName>
    <definedName name="OSRRefT22_26x_0" localSheetId="2">Summary!$T$250</definedName>
    <definedName name="OSRRefT22_2x_0" localSheetId="40">'200'!$T$24</definedName>
    <definedName name="OSRRefT22_2x_0" localSheetId="41">'201'!$T$42</definedName>
    <definedName name="OSRRefT22_2x_0" localSheetId="42">'202'!$T$42</definedName>
    <definedName name="OSRRefT22_2x_0" localSheetId="43">'203'!$T$42</definedName>
    <definedName name="OSRRefT22_2x_0" localSheetId="44">'204'!$T$42</definedName>
    <definedName name="OSRRefT22_2x_0" localSheetId="45">'205'!$T$41</definedName>
    <definedName name="OSRRefT22_2x_0" localSheetId="46">'206'!$T$41</definedName>
    <definedName name="OSRRefT22_2x_0" localSheetId="48">'300'!$T$138</definedName>
    <definedName name="OSRRefT22_2x_0" localSheetId="49">'300 &amp; 317'!$T$161</definedName>
    <definedName name="OSRRefT22_2x_0" localSheetId="50">'301'!$T$42</definedName>
    <definedName name="OSRRefT22_2x_0" localSheetId="52">'307'!$T$59</definedName>
    <definedName name="OSRRefT22_2x_0" localSheetId="53">'308'!$T$78</definedName>
    <definedName name="OSRRefT22_2x_0" localSheetId="64">'309'!$T$42</definedName>
    <definedName name="OSRRefT22_2x_0" localSheetId="63">'310'!$T$49</definedName>
    <definedName name="OSRRefT22_2x_0" localSheetId="71">'310 &amp; 491'!$T$53</definedName>
    <definedName name="OSRRefT22_2x_0" localSheetId="54">'311'!$T$77</definedName>
    <definedName name="OSRRefT22_2x_0" localSheetId="65">'313'!$T$44</definedName>
    <definedName name="OSRRefT22_2x_0" localSheetId="57">'315'!$T$101</definedName>
    <definedName name="OSRRefT22_2x_0" localSheetId="60">'316'!$T$51</definedName>
    <definedName name="OSRRefT22_2x_0" localSheetId="62">'317'!$T$72</definedName>
    <definedName name="OSRRefT22_2x_0" localSheetId="66">'321'!$T$46</definedName>
    <definedName name="OSRRefT22_2x_0" localSheetId="67">'322'!$T$43</definedName>
    <definedName name="OSRRefT22_2x_0" localSheetId="68">'325'!$T$45</definedName>
    <definedName name="OSRRefT22_2x_0" localSheetId="58">'326'!$T$67</definedName>
    <definedName name="OSRRefT22_2x_0" localSheetId="51">'330'!$T$59</definedName>
    <definedName name="OSRRefT22_2x_0" localSheetId="56">'331'!$T$101</definedName>
    <definedName name="OSRRefT22_2x_0" localSheetId="59">'332'!$T$51</definedName>
    <definedName name="OSRRefT22_2x_0" localSheetId="73">'405'!$T$43</definedName>
    <definedName name="OSRRefT22_2x_0" localSheetId="74">'406'!$T$24</definedName>
    <definedName name="OSRRefT22_2x_0" localSheetId="75">'411'!$T$41</definedName>
    <definedName name="OSRRefT22_2x_0" localSheetId="76">'412'!$T$42</definedName>
    <definedName name="OSRRefT22_2x_0" localSheetId="77">'413'!$T$44</definedName>
    <definedName name="OSRRefT22_2x_0" localSheetId="78">'414'!$T$45</definedName>
    <definedName name="OSRRefT22_2x_0" localSheetId="79">'415'!$T$48</definedName>
    <definedName name="OSRRefT22_2x_0" localSheetId="80">'418'!$T$43</definedName>
    <definedName name="OSRRefT22_2x_0" localSheetId="82">'423'!$T$40</definedName>
    <definedName name="OSRRefT22_2x_0" localSheetId="83">'424'!$T$24</definedName>
    <definedName name="OSRRefT22_2x_0" localSheetId="84">'425'!$T$28</definedName>
    <definedName name="OSRRefT22_2x_0" localSheetId="87">'430'!$T$41</definedName>
    <definedName name="OSRRefT22_2x_0" localSheetId="88">'433'!$T$49</definedName>
    <definedName name="OSRRefT22_2x_0" localSheetId="90">'444'!$T$49</definedName>
    <definedName name="OSRRefT22_2x_0" localSheetId="91">'450'!$T$45</definedName>
    <definedName name="OSRRefT22_2x_0" localSheetId="72">'491'!$T$50</definedName>
    <definedName name="OSRRefT22_2x_0" localSheetId="86">'492'!$T$49</definedName>
    <definedName name="OSRRefT22_2x_0" localSheetId="93">'501'!$T$43</definedName>
    <definedName name="OSRRefT22_2x_0" localSheetId="39">'Div 2'!$T$44</definedName>
    <definedName name="OSRRefT22_2x_0" localSheetId="47">'Div 3'!$T$142</definedName>
    <definedName name="OSRRefT22_2x_0" localSheetId="70">'Div 4'!$T$53</definedName>
    <definedName name="OSRRefT22_2x_0" localSheetId="92">'Div 5'!$T$43</definedName>
    <definedName name="OSRRefT22_2x_0" localSheetId="61">'Div 6'!$T$72</definedName>
    <definedName name="OSRRefT22_2x_0" localSheetId="2">Summary!$T$170</definedName>
    <definedName name="OSRRefT22_3x_0" localSheetId="40">'200'!$T$26</definedName>
    <definedName name="OSRRefT22_3x_0" localSheetId="41">'201'!$T$44</definedName>
    <definedName name="OSRRefT22_3x_0" localSheetId="42">'202'!$T$44</definedName>
    <definedName name="OSRRefT22_3x_0" localSheetId="43">'203'!$T$44</definedName>
    <definedName name="OSRRefT22_3x_0" localSheetId="44">'204'!$T$44:$T$45</definedName>
    <definedName name="OSRRefT22_3x_0" localSheetId="45">'205'!$T$43</definedName>
    <definedName name="OSRRefT22_3x_0" localSheetId="46">'206'!$T$43</definedName>
    <definedName name="OSRRefT22_3x_0" localSheetId="48">'300'!$T$140:$T$141</definedName>
    <definedName name="OSRRefT22_3x_0" localSheetId="49">'300 &amp; 317'!$T$163:$T$164</definedName>
    <definedName name="OSRRefT22_3x_0" localSheetId="50">'301'!$T$44:$T$45</definedName>
    <definedName name="OSRRefT22_3x_0" localSheetId="52">'307'!$T$61</definedName>
    <definedName name="OSRRefT22_3x_0" localSheetId="53">'308'!$T$80</definedName>
    <definedName name="OSRRefT22_3x_0" localSheetId="64">'309'!$T$44</definedName>
    <definedName name="OSRRefT22_3x_0" localSheetId="63">'310'!$T$51</definedName>
    <definedName name="OSRRefT22_3x_0" localSheetId="71">'310 &amp; 491'!$T$55</definedName>
    <definedName name="OSRRefT22_3x_0" localSheetId="54">'311'!$T$79</definedName>
    <definedName name="OSRRefT22_3x_0" localSheetId="65">'313'!$T$46</definedName>
    <definedName name="OSRRefT22_3x_0" localSheetId="57">'315'!$T$103</definedName>
    <definedName name="OSRRefT22_3x_0" localSheetId="60">'316'!$T$53</definedName>
    <definedName name="OSRRefT22_3x_0" localSheetId="62">'317'!$T$74</definedName>
    <definedName name="OSRRefT22_3x_0" localSheetId="66">'321'!$T$48</definedName>
    <definedName name="OSRRefT22_3x_0" localSheetId="67">'322'!$T$45</definedName>
    <definedName name="OSRRefT22_3x_0" localSheetId="68">'325'!$T$47</definedName>
    <definedName name="OSRRefT22_3x_0" localSheetId="58">'326'!$T$69</definedName>
    <definedName name="OSRRefT22_3x_0" localSheetId="51">'330'!$T$61</definedName>
    <definedName name="OSRRefT22_3x_0" localSheetId="56">'331'!$T$103</definedName>
    <definedName name="OSRRefT22_3x_0" localSheetId="59">'332'!$T$53</definedName>
    <definedName name="OSRRefT22_3x_0" localSheetId="73">'405'!$T$45</definedName>
    <definedName name="OSRRefT22_3x_0" localSheetId="74">'406'!$T$26</definedName>
    <definedName name="OSRRefT22_3x_0" localSheetId="75">'411'!$T$43</definedName>
    <definedName name="OSRRefT22_3x_0" localSheetId="76">'412'!$T$44</definedName>
    <definedName name="OSRRefT22_3x_0" localSheetId="77">'413'!$T$46</definedName>
    <definedName name="OSRRefT22_3x_0" localSheetId="78">'414'!$T$47</definedName>
    <definedName name="OSRRefT22_3x_0" localSheetId="79">'415'!$T$50</definedName>
    <definedName name="OSRRefT22_3x_0" localSheetId="80">'418'!$T$45</definedName>
    <definedName name="OSRRefT22_3x_0" localSheetId="82">'423'!$T$42:$T$43</definedName>
    <definedName name="OSRRefT22_3x_0" localSheetId="83">'424'!$T$26</definedName>
    <definedName name="OSRRefT22_3x_0" localSheetId="84">'425'!$T$30</definedName>
    <definedName name="OSRRefT22_3x_0" localSheetId="87">'430'!$T$43</definedName>
    <definedName name="OSRRefT22_3x_0" localSheetId="88">'433'!$T$51</definedName>
    <definedName name="OSRRefT22_3x_0" localSheetId="90">'444'!$T$51</definedName>
    <definedName name="OSRRefT22_3x_0" localSheetId="91">'450'!$T$47</definedName>
    <definedName name="OSRRefT22_3x_0" localSheetId="72">'491'!$T$52</definedName>
    <definedName name="OSRRefT22_3x_0" localSheetId="86">'492'!$T$51</definedName>
    <definedName name="OSRRefT22_3x_0" localSheetId="93">'501'!$T$45</definedName>
    <definedName name="OSRRefT22_3x_0" localSheetId="39">'Div 2'!$T$46</definedName>
    <definedName name="OSRRefT22_3x_0" localSheetId="47">'Div 3'!$T$144:$T$145</definedName>
    <definedName name="OSRRefT22_3x_0" localSheetId="70">'Div 4'!$T$55</definedName>
    <definedName name="OSRRefT22_3x_0" localSheetId="92">'Div 5'!$T$45</definedName>
    <definedName name="OSRRefT22_3x_0" localSheetId="61">'Div 6'!$T$74</definedName>
    <definedName name="OSRRefT22_3x_0" localSheetId="2">Summary!$T$172:$T$173</definedName>
    <definedName name="OSRRefT22_4x_0" localSheetId="40">'200'!$T$28:$T$29</definedName>
    <definedName name="OSRRefT22_4x_0" localSheetId="41">'201'!$T$46</definedName>
    <definedName name="OSRRefT22_4x_0" localSheetId="42">'202'!$T$46:$T$47</definedName>
    <definedName name="OSRRefT22_4x_0" localSheetId="43">'203'!$T$46</definedName>
    <definedName name="OSRRefT22_4x_0" localSheetId="44">'204'!$T$47</definedName>
    <definedName name="OSRRefT22_4x_0" localSheetId="45">'205'!$T$45:$T$46</definedName>
    <definedName name="OSRRefT22_4x_0" localSheetId="46">'206'!$T$45</definedName>
    <definedName name="OSRRefT22_4x_0" localSheetId="48">'300'!$T$143</definedName>
    <definedName name="OSRRefT22_4x_0" localSheetId="49">'300 &amp; 317'!$T$166</definedName>
    <definedName name="OSRRefT22_4x_0" localSheetId="50">'301'!$T$47</definedName>
    <definedName name="OSRRefT22_4x_0" localSheetId="52">'307'!$T$63</definedName>
    <definedName name="OSRRefT22_4x_0" localSheetId="53">'308'!$T$82</definedName>
    <definedName name="OSRRefT22_4x_0" localSheetId="64">'309'!$T$46</definedName>
    <definedName name="OSRRefT22_4x_0" localSheetId="63">'310'!$T$53</definedName>
    <definedName name="OSRRefT22_4x_0" localSheetId="71">'310 &amp; 491'!$T$57</definedName>
    <definedName name="OSRRefT22_4x_0" localSheetId="54">'311'!$T$81</definedName>
    <definedName name="OSRRefT22_4x_0" localSheetId="65">'313'!$T$48</definedName>
    <definedName name="OSRRefT22_4x_0" localSheetId="57">'315'!$T$105</definedName>
    <definedName name="OSRRefT22_4x_0" localSheetId="60">'316'!$T$55</definedName>
    <definedName name="OSRRefT22_4x_0" localSheetId="62">'317'!$T$76</definedName>
    <definedName name="OSRRefT22_4x_0" localSheetId="66">'321'!$T$50</definedName>
    <definedName name="OSRRefT22_4x_0" localSheetId="67">'322'!$T$47</definedName>
    <definedName name="OSRRefT22_4x_0" localSheetId="68">'325'!$T$49</definedName>
    <definedName name="OSRRefT22_4x_0" localSheetId="58">'326'!$T$71</definedName>
    <definedName name="OSRRefT22_4x_0" localSheetId="51">'330'!$T$63</definedName>
    <definedName name="OSRRefT22_4x_0" localSheetId="56">'331'!$T$105</definedName>
    <definedName name="OSRRefT22_4x_0" localSheetId="59">'332'!$T$55</definedName>
    <definedName name="OSRRefT22_4x_0" localSheetId="73">'405'!$T$47:$T$48</definedName>
    <definedName name="OSRRefT22_4x_0" localSheetId="74">'406'!$T$28</definedName>
    <definedName name="OSRRefT22_4x_0" localSheetId="75">'411'!$T$45:$T$46</definedName>
    <definedName name="OSRRefT22_4x_0" localSheetId="76">'412'!$T$46:$T$47</definedName>
    <definedName name="OSRRefT22_4x_0" localSheetId="77">'413'!$T$48</definedName>
    <definedName name="OSRRefT22_4x_0" localSheetId="78">'414'!$T$49</definedName>
    <definedName name="OSRRefT22_4x_0" localSheetId="79">'415'!$T$52</definedName>
    <definedName name="OSRRefT22_4x_0" localSheetId="80">'418'!$T$47:$T$48</definedName>
    <definedName name="OSRRefT22_4x_0" localSheetId="82">'423'!$T$45</definedName>
    <definedName name="OSRRefT22_4x_0" localSheetId="84">'425'!$T$32:$T$33</definedName>
    <definedName name="OSRRefT22_4x_0" localSheetId="87">'430'!$T$45:$T$47</definedName>
    <definedName name="OSRRefT22_4x_0" localSheetId="88">'433'!$T$53</definedName>
    <definedName name="OSRRefT22_4x_0" localSheetId="90">'444'!$T$53</definedName>
    <definedName name="OSRRefT22_4x_0" localSheetId="91">'450'!$T$49</definedName>
    <definedName name="OSRRefT22_4x_0" localSheetId="72">'491'!$T$54</definedName>
    <definedName name="OSRRefT22_4x_0" localSheetId="86">'492'!$T$53</definedName>
    <definedName name="OSRRefT22_4x_0" localSheetId="93">'501'!$T$47</definedName>
    <definedName name="OSRRefT22_4x_0" localSheetId="39">'Div 2'!$T$48</definedName>
    <definedName name="OSRRefT22_4x_0" localSheetId="47">'Div 3'!$T$147</definedName>
    <definedName name="OSRRefT22_4x_0" localSheetId="70">'Div 4'!$T$57</definedName>
    <definedName name="OSRRefT22_4x_0" localSheetId="92">'Div 5'!$T$47</definedName>
    <definedName name="OSRRefT22_4x_0" localSheetId="61">'Div 6'!$T$76</definedName>
    <definedName name="OSRRefT22_4x_0" localSheetId="2">Summary!$T$175</definedName>
    <definedName name="OSRRefT22_5x_0" localSheetId="41">'201'!$T$48</definedName>
    <definedName name="OSRRefT22_5x_0" localSheetId="42">'202'!$T$49</definedName>
    <definedName name="OSRRefT22_5x_0" localSheetId="43">'203'!$T$48</definedName>
    <definedName name="OSRRefT22_5x_0" localSheetId="44">'204'!$T$49</definedName>
    <definedName name="OSRRefT22_5x_0" localSheetId="45">'205'!$T$48</definedName>
    <definedName name="OSRRefT22_5x_0" localSheetId="46">'206'!$T$47</definedName>
    <definedName name="OSRRefT22_5x_0" localSheetId="48">'300'!$T$145:$T$146</definedName>
    <definedName name="OSRRefT22_5x_0" localSheetId="49">'300 &amp; 317'!$T$168:$T$169</definedName>
    <definedName name="OSRRefT22_5x_0" localSheetId="50">'301'!$T$49:$T$50</definedName>
    <definedName name="OSRRefT22_5x_0" localSheetId="52">'307'!$T$65:$T$66</definedName>
    <definedName name="OSRRefT22_5x_0" localSheetId="53">'308'!$T$84</definedName>
    <definedName name="OSRRefT22_5x_0" localSheetId="64">'309'!$T$48</definedName>
    <definedName name="OSRRefT22_5x_0" localSheetId="63">'310'!$T$55:$T$56</definedName>
    <definedName name="OSRRefT22_5x_0" localSheetId="71">'310 &amp; 491'!$T$59:$T$61</definedName>
    <definedName name="OSRRefT22_5x_0" localSheetId="54">'311'!$T$83</definedName>
    <definedName name="OSRRefT22_5x_0" localSheetId="65">'313'!$T$50</definedName>
    <definedName name="OSRRefT22_5x_0" localSheetId="57">'315'!$T$107</definedName>
    <definedName name="OSRRefT22_5x_0" localSheetId="60">'316'!$T$57</definedName>
    <definedName name="OSRRefT22_5x_0" localSheetId="62">'317'!$T$78</definedName>
    <definedName name="OSRRefT22_5x_0" localSheetId="66">'321'!$T$52</definedName>
    <definedName name="OSRRefT22_5x_0" localSheetId="67">'322'!$T$49</definedName>
    <definedName name="OSRRefT22_5x_0" localSheetId="68">'325'!$T$51:$T$52</definedName>
    <definedName name="OSRRefT22_5x_0" localSheetId="58">'326'!$T$73</definedName>
    <definedName name="OSRRefT22_5x_0" localSheetId="51">'330'!$T$65:$T$66</definedName>
    <definedName name="OSRRefT22_5x_0" localSheetId="56">'331'!$T$107</definedName>
    <definedName name="OSRRefT22_5x_0" localSheetId="59">'332'!$T$57</definedName>
    <definedName name="OSRRefT22_5x_0" localSheetId="73">'405'!$T$50</definedName>
    <definedName name="OSRRefT22_5x_0" localSheetId="75">'411'!$T$48</definedName>
    <definedName name="OSRRefT22_5x_0" localSheetId="76">'412'!$T$49</definedName>
    <definedName name="OSRRefT22_5x_0" localSheetId="77">'413'!$T$50</definedName>
    <definedName name="OSRRefT22_5x_0" localSheetId="78">'414'!$T$51</definedName>
    <definedName name="OSRRefT22_5x_0" localSheetId="79">'415'!$T$54:$T$55</definedName>
    <definedName name="OSRRefT22_5x_0" localSheetId="80">'418'!$T$50</definedName>
    <definedName name="OSRRefT22_5x_0" localSheetId="82">'423'!$T$47</definedName>
    <definedName name="OSRRefT22_5x_0" localSheetId="84">'425'!$T$35</definedName>
    <definedName name="OSRRefT22_5x_0" localSheetId="87">'430'!$T$49:$T$50</definedName>
    <definedName name="OSRRefT22_5x_0" localSheetId="88">'433'!$T$55</definedName>
    <definedName name="OSRRefT22_5x_0" localSheetId="90">'444'!$T$55</definedName>
    <definedName name="OSRRefT22_5x_0" localSheetId="91">'450'!$T$51</definedName>
    <definedName name="OSRRefT22_5x_0" localSheetId="72">'491'!$T$56:$T$58</definedName>
    <definedName name="OSRRefT22_5x_0" localSheetId="86">'492'!$T$55</definedName>
    <definedName name="OSRRefT22_5x_0" localSheetId="93">'501'!$T$49:$T$50</definedName>
    <definedName name="OSRRefT22_5x_0" localSheetId="39">'Div 2'!$T$50:$T$51</definedName>
    <definedName name="OSRRefT22_5x_0" localSheetId="47">'Div 3'!$T$149:$T$150</definedName>
    <definedName name="OSRRefT22_5x_0" localSheetId="70">'Div 4'!$T$59:$T$61</definedName>
    <definedName name="OSRRefT22_5x_0" localSheetId="92">'Div 5'!$T$49:$T$50</definedName>
    <definedName name="OSRRefT22_5x_0" localSheetId="61">'Div 6'!$T$78</definedName>
    <definedName name="OSRRefT22_5x_0" localSheetId="2">Summary!$T$177:$T$179</definedName>
    <definedName name="OSRRefT22_6x_0" localSheetId="41">'201'!$T$50</definedName>
    <definedName name="OSRRefT22_6x_0" localSheetId="42">'202'!$T$51</definedName>
    <definedName name="OSRRefT22_6x_0" localSheetId="43">'203'!$T$50</definedName>
    <definedName name="OSRRefT22_6x_0" localSheetId="44">'204'!$T$51</definedName>
    <definedName name="OSRRefT22_6x_0" localSheetId="45">'205'!$T$50:$T$52</definedName>
    <definedName name="OSRRefT22_6x_0" localSheetId="46">'206'!$T$49</definedName>
    <definedName name="OSRRefT22_6x_0" localSheetId="48">'300'!$T$148:$T$149</definedName>
    <definedName name="OSRRefT22_6x_0" localSheetId="49">'300 &amp; 317'!$T$171:$T$172</definedName>
    <definedName name="OSRRefT22_6x_0" localSheetId="50">'301'!$T$52</definedName>
    <definedName name="OSRRefT22_6x_0" localSheetId="52">'307'!$T$68</definedName>
    <definedName name="OSRRefT22_6x_0" localSheetId="53">'308'!$T$86:$T$87</definedName>
    <definedName name="OSRRefT22_6x_0" localSheetId="64">'309'!$T$50</definedName>
    <definedName name="OSRRefT22_6x_0" localSheetId="63">'310'!$T$58</definedName>
    <definedName name="OSRRefT22_6x_0" localSheetId="71">'310 &amp; 491'!$T$63</definedName>
    <definedName name="OSRRefT22_6x_0" localSheetId="54">'311'!$T$85:$T$86</definedName>
    <definedName name="OSRRefT22_6x_0" localSheetId="65">'313'!$T$52:$T$53</definedName>
    <definedName name="OSRRefT22_6x_0" localSheetId="57">'315'!$T$109</definedName>
    <definedName name="OSRRefT22_6x_0" localSheetId="60">'316'!$T$59:$T$60</definedName>
    <definedName name="OSRRefT22_6x_0" localSheetId="62">'317'!$T$80:$T$81</definedName>
    <definedName name="OSRRefT22_6x_0" localSheetId="66">'321'!$T$54</definedName>
    <definedName name="OSRRefT22_6x_0" localSheetId="67">'322'!$T$51</definedName>
    <definedName name="OSRRefT22_6x_0" localSheetId="68">'325'!$T$54</definedName>
    <definedName name="OSRRefT22_6x_0" localSheetId="58">'326'!$T$75</definedName>
    <definedName name="OSRRefT22_6x_0" localSheetId="51">'330'!$T$68</definedName>
    <definedName name="OSRRefT22_6x_0" localSheetId="56">'331'!$T$109</definedName>
    <definedName name="OSRRefT22_6x_0" localSheetId="59">'332'!$T$59:$T$60</definedName>
    <definedName name="OSRRefT22_6x_0" localSheetId="73">'405'!$T$52</definedName>
    <definedName name="OSRRefT22_6x_0" localSheetId="75">'411'!$T$50</definedName>
    <definedName name="OSRRefT22_6x_0" localSheetId="76">'412'!$T$51</definedName>
    <definedName name="OSRRefT22_6x_0" localSheetId="77">'413'!$T$52</definedName>
    <definedName name="OSRRefT22_6x_0" localSheetId="78">'414'!$T$53</definedName>
    <definedName name="OSRRefT22_6x_0" localSheetId="79">'415'!$T$57</definedName>
    <definedName name="OSRRefT22_6x_0" localSheetId="80">'418'!$T$52</definedName>
    <definedName name="OSRRefT22_6x_0" localSheetId="82">'423'!$T$49</definedName>
    <definedName name="OSRRefT22_6x_0" localSheetId="87">'430'!$T$52</definedName>
    <definedName name="OSRRefT22_6x_0" localSheetId="88">'433'!$T$57</definedName>
    <definedName name="OSRRefT22_6x_0" localSheetId="90">'444'!$T$57</definedName>
    <definedName name="OSRRefT22_6x_0" localSheetId="91">'450'!$T$53</definedName>
    <definedName name="OSRRefT22_6x_0" localSheetId="72">'491'!$T$60</definedName>
    <definedName name="OSRRefT22_6x_0" localSheetId="86">'492'!$T$57</definedName>
    <definedName name="OSRRefT22_6x_0" localSheetId="93">'501'!$T$52</definedName>
    <definedName name="OSRRefT22_6x_0" localSheetId="39">'Div 2'!$T$53</definedName>
    <definedName name="OSRRefT22_6x_0" localSheetId="47">'Div 3'!$T$152:$T$153</definedName>
    <definedName name="OSRRefT22_6x_0" localSheetId="70">'Div 4'!$T$63</definedName>
    <definedName name="OSRRefT22_6x_0" localSheetId="92">'Div 5'!$T$52</definedName>
    <definedName name="OSRRefT22_6x_0" localSheetId="61">'Div 6'!$T$80:$T$81</definedName>
    <definedName name="OSRRefT22_6x_0" localSheetId="2">Summary!$T$181:$T$182</definedName>
    <definedName name="OSRRefT22_7x_0" localSheetId="41">'201'!$T$52</definedName>
    <definedName name="OSRRefT22_7x_0" localSheetId="42">'202'!$T$53:$T$54</definedName>
    <definedName name="OSRRefT22_7x_0" localSheetId="43">'203'!$T$52:$T$53</definedName>
    <definedName name="OSRRefT22_7x_0" localSheetId="44">'204'!$T$53:$T$55</definedName>
    <definedName name="OSRRefT22_7x_0" localSheetId="45">'205'!$T$54</definedName>
    <definedName name="OSRRefT22_7x_0" localSheetId="46">'206'!$T$51</definedName>
    <definedName name="OSRRefT22_7x_0" localSheetId="48">'300'!$T$151:$T$152</definedName>
    <definedName name="OSRRefT22_7x_0" localSheetId="49">'300 &amp; 317'!$T$174:$T$175</definedName>
    <definedName name="OSRRefT22_7x_0" localSheetId="50">'301'!$T$54</definedName>
    <definedName name="OSRRefT22_7x_0" localSheetId="52">'307'!$T$70</definedName>
    <definedName name="OSRRefT22_7x_0" localSheetId="53">'308'!$T$89:$T$90</definedName>
    <definedName name="OSRRefT22_7x_0" localSheetId="64">'309'!$T$52:$T$53</definedName>
    <definedName name="OSRRefT22_7x_0" localSheetId="63">'310'!$T$60</definedName>
    <definedName name="OSRRefT22_7x_0" localSheetId="71">'310 &amp; 491'!$T$65</definedName>
    <definedName name="OSRRefT22_7x_0" localSheetId="54">'311'!$T$88:$T$89</definedName>
    <definedName name="OSRRefT22_7x_0" localSheetId="65">'313'!$T$55</definedName>
    <definedName name="OSRRefT22_7x_0" localSheetId="57">'315'!$T$111:$T$112</definedName>
    <definedName name="OSRRefT22_7x_0" localSheetId="60">'316'!$T$62:$T$63</definedName>
    <definedName name="OSRRefT22_7x_0" localSheetId="62">'317'!$T$83</definedName>
    <definedName name="OSRRefT22_7x_0" localSheetId="66">'321'!$T$56:$T$57</definedName>
    <definedName name="OSRRefT22_7x_0" localSheetId="67">'322'!$T$53:$T$54</definedName>
    <definedName name="OSRRefT22_7x_0" localSheetId="68">'325'!$T$56</definedName>
    <definedName name="OSRRefT22_7x_0" localSheetId="58">'326'!$T$77</definedName>
    <definedName name="OSRRefT22_7x_0" localSheetId="51">'330'!$T$70</definedName>
    <definedName name="OSRRefT22_7x_0" localSheetId="56">'331'!$T$111</definedName>
    <definedName name="OSRRefT22_7x_0" localSheetId="59">'332'!$T$62:$T$63</definedName>
    <definedName name="OSRRefT22_7x_0" localSheetId="73">'405'!$T$54</definedName>
    <definedName name="OSRRefT22_7x_0" localSheetId="75">'411'!$T$52</definedName>
    <definedName name="OSRRefT22_7x_0" localSheetId="76">'412'!$T$53</definedName>
    <definedName name="OSRRefT22_7x_0" localSheetId="77">'413'!$T$54</definedName>
    <definedName name="OSRRefT22_7x_0" localSheetId="78">'414'!$T$55</definedName>
    <definedName name="OSRRefT22_7x_0" localSheetId="79">'415'!$T$59</definedName>
    <definedName name="OSRRefT22_7x_0" localSheetId="80">'418'!$T$54</definedName>
    <definedName name="OSRRefT22_7x_0" localSheetId="87">'430'!$T$54</definedName>
    <definedName name="OSRRefT22_7x_0" localSheetId="88">'433'!$T$59</definedName>
    <definedName name="OSRRefT22_7x_0" localSheetId="90">'444'!$T$59</definedName>
    <definedName name="OSRRefT22_7x_0" localSheetId="91">'450'!$T$55</definedName>
    <definedName name="OSRRefT22_7x_0" localSheetId="72">'491'!$T$62</definedName>
    <definedName name="OSRRefT22_7x_0" localSheetId="86">'492'!$T$59</definedName>
    <definedName name="OSRRefT22_7x_0" localSheetId="93">'501'!$T$54</definedName>
    <definedName name="OSRRefT22_7x_0" localSheetId="39">'Div 2'!$T$55</definedName>
    <definedName name="OSRRefT22_7x_0" localSheetId="47">'Div 3'!$T$155:$T$156</definedName>
    <definedName name="OSRRefT22_7x_0" localSheetId="70">'Div 4'!$T$65</definedName>
    <definedName name="OSRRefT22_7x_0" localSheetId="92">'Div 5'!$T$54</definedName>
    <definedName name="OSRRefT22_7x_0" localSheetId="61">'Div 6'!$T$83</definedName>
    <definedName name="OSRRefT22_7x_0" localSheetId="2">Summary!$T$184:$T$185</definedName>
    <definedName name="OSRRefT22_8x_0" localSheetId="41">'201'!$T$54</definedName>
    <definedName name="OSRRefT22_8x_0" localSheetId="42">'202'!$T$56</definedName>
    <definedName name="OSRRefT22_8x_0" localSheetId="43">'203'!$T$55:$T$57</definedName>
    <definedName name="OSRRefT22_8x_0" localSheetId="44">'204'!$T$57:$T$58</definedName>
    <definedName name="OSRRefT22_8x_0" localSheetId="46">'206'!$T$53:$T$54</definedName>
    <definedName name="OSRRefT22_8x_0" localSheetId="48">'300'!$T$154</definedName>
    <definedName name="OSRRefT22_8x_0" localSheetId="49">'300 &amp; 317'!$T$177</definedName>
    <definedName name="OSRRefT22_8x_0" localSheetId="50">'301'!$T$56</definedName>
    <definedName name="OSRRefT22_8x_0" localSheetId="52">'307'!$T$72</definedName>
    <definedName name="OSRRefT22_8x_0" localSheetId="53">'308'!$T$92</definedName>
    <definedName name="OSRRefT22_8x_0" localSheetId="64">'309'!$T$55:$T$56</definedName>
    <definedName name="OSRRefT22_8x_0" localSheetId="63">'310'!$T$62</definedName>
    <definedName name="OSRRefT22_8x_0" localSheetId="71">'310 &amp; 491'!$T$67:$T$68</definedName>
    <definedName name="OSRRefT22_8x_0" localSheetId="54">'311'!$T$91</definedName>
    <definedName name="OSRRefT22_8x_0" localSheetId="65">'313'!$T$57:$T$59</definedName>
    <definedName name="OSRRefT22_8x_0" localSheetId="57">'315'!$T$114</definedName>
    <definedName name="OSRRefT22_8x_0" localSheetId="60">'316'!$T$65</definedName>
    <definedName name="OSRRefT22_8x_0" localSheetId="62">'317'!$T$85</definedName>
    <definedName name="OSRRefT22_8x_0" localSheetId="66">'321'!$T$59:$T$60</definedName>
    <definedName name="OSRRefT22_8x_0" localSheetId="67">'322'!$T$56:$T$57</definedName>
    <definedName name="OSRRefT22_8x_0" localSheetId="68">'325'!$T$58</definedName>
    <definedName name="OSRRefT22_8x_0" localSheetId="58">'326'!$T$79:$T$80</definedName>
    <definedName name="OSRRefT22_8x_0" localSheetId="51">'330'!$T$72</definedName>
    <definedName name="OSRRefT22_8x_0" localSheetId="56">'331'!$T$113:$T$114</definedName>
    <definedName name="OSRRefT22_8x_0" localSheetId="59">'332'!$T$65</definedName>
    <definedName name="OSRRefT22_8x_0" localSheetId="73">'405'!$T$56</definedName>
    <definedName name="OSRRefT22_8x_0" localSheetId="75">'411'!$T$54</definedName>
    <definedName name="OSRRefT22_8x_0" localSheetId="76">'412'!$T$55:$T$56</definedName>
    <definedName name="OSRRefT22_8x_0" localSheetId="77">'413'!$T$56:$T$58</definedName>
    <definedName name="OSRRefT22_8x_0" localSheetId="78">'414'!$T$57:$T$58</definedName>
    <definedName name="OSRRefT22_8x_0" localSheetId="79">'415'!$T$61</definedName>
    <definedName name="OSRRefT22_8x_0" localSheetId="80">'418'!$T$56:$T$58</definedName>
    <definedName name="OSRRefT22_8x_0" localSheetId="88">'433'!$T$61</definedName>
    <definedName name="OSRRefT22_8x_0" localSheetId="90">'444'!$T$61</definedName>
    <definedName name="OSRRefT22_8x_0" localSheetId="91">'450'!$T$57</definedName>
    <definedName name="OSRRefT22_8x_0" localSheetId="72">'491'!$T$64</definedName>
    <definedName name="OSRRefT22_8x_0" localSheetId="86">'492'!$T$61</definedName>
    <definedName name="OSRRefT22_8x_0" localSheetId="93">'501'!$T$56</definedName>
    <definedName name="OSRRefT22_8x_0" localSheetId="39">'Div 2'!$T$57</definedName>
    <definedName name="OSRRefT22_8x_0" localSheetId="47">'Div 3'!$T$158</definedName>
    <definedName name="OSRRefT22_8x_0" localSheetId="70">'Div 4'!$T$67</definedName>
    <definedName name="OSRRefT22_8x_0" localSheetId="92">'Div 5'!$T$56</definedName>
    <definedName name="OSRRefT22_8x_0" localSheetId="61">'Div 6'!$T$85</definedName>
    <definedName name="OSRRefT22_8x_0" localSheetId="2">Summary!$T$187</definedName>
    <definedName name="OSRRefT22_9x_0" localSheetId="41">'201'!$T$56</definedName>
    <definedName name="OSRRefT22_9x_0" localSheetId="42">'202'!$T$58:$T$60</definedName>
    <definedName name="OSRRefT22_9x_0" localSheetId="43">'203'!$T$59:$T$60</definedName>
    <definedName name="OSRRefT22_9x_0" localSheetId="44">'204'!$T$60</definedName>
    <definedName name="OSRRefT22_9x_0" localSheetId="46">'206'!$T$56</definedName>
    <definedName name="OSRRefT22_9x_0" localSheetId="48">'300'!$T$156</definedName>
    <definedName name="OSRRefT22_9x_0" localSheetId="49">'300 &amp; 317'!$T$179</definedName>
    <definedName name="OSRRefT22_9x_0" localSheetId="50">'301'!$T$58</definedName>
    <definedName name="OSRRefT22_9x_0" localSheetId="52">'307'!$T$74:$T$75</definedName>
    <definedName name="OSRRefT22_9x_0" localSheetId="53">'308'!$T$94:$T$95</definedName>
    <definedName name="OSRRefT22_9x_0" localSheetId="64">'309'!$T$58:$T$59</definedName>
    <definedName name="OSRRefT22_9x_0" localSheetId="63">'310'!$T$64</definedName>
    <definedName name="OSRRefT22_9x_0" localSheetId="71">'310 &amp; 491'!$T$70</definedName>
    <definedName name="OSRRefT22_9x_0" localSheetId="54">'311'!$T$93:$T$94</definedName>
    <definedName name="OSRRefT22_9x_0" localSheetId="65">'313'!$T$61:$T$62</definedName>
    <definedName name="OSRRefT22_9x_0" localSheetId="57">'315'!$T$116</definedName>
    <definedName name="OSRRefT22_9x_0" localSheetId="60">'316'!$T$67:$T$71</definedName>
    <definedName name="OSRRefT22_9x_0" localSheetId="62">'317'!$T$87</definedName>
    <definedName name="OSRRefT22_9x_0" localSheetId="66">'321'!$T$62:$T$63</definedName>
    <definedName name="OSRRefT22_9x_0" localSheetId="67">'322'!$T$59:$T$62</definedName>
    <definedName name="OSRRefT22_9x_0" localSheetId="68">'325'!$T$60</definedName>
    <definedName name="OSRRefT22_9x_0" localSheetId="58">'326'!$T$82</definedName>
    <definedName name="OSRRefT22_9x_0" localSheetId="51">'330'!$T$74:$T$75</definedName>
    <definedName name="OSRRefT22_9x_0" localSheetId="56">'331'!$T$116:$T$117</definedName>
    <definedName name="OSRRefT22_9x_0" localSheetId="59">'332'!$T$67:$T$71</definedName>
    <definedName name="OSRRefT22_9x_0" localSheetId="73">'405'!$T$58:$T$59</definedName>
    <definedName name="OSRRefT22_9x_0" localSheetId="75">'411'!$T$56:$T$57</definedName>
    <definedName name="OSRRefT22_9x_0" localSheetId="76">'412'!$T$58</definedName>
    <definedName name="OSRRefT22_9x_0" localSheetId="77">'413'!$T$60:$T$61</definedName>
    <definedName name="OSRRefT22_9x_0" localSheetId="78">'414'!$T$60</definedName>
    <definedName name="OSRRefT22_9x_0" localSheetId="79">'415'!$T$63</definedName>
    <definedName name="OSRRefT22_9x_0" localSheetId="80">'418'!$T$60:$T$61</definedName>
    <definedName name="OSRRefT22_9x_0" localSheetId="88">'433'!$T$63</definedName>
    <definedName name="OSRRefT22_9x_0" localSheetId="90">'444'!$T$63</definedName>
    <definedName name="OSRRefT22_9x_0" localSheetId="91">'450'!$T$59</definedName>
    <definedName name="OSRRefT22_9x_0" localSheetId="72">'491'!$T$66</definedName>
    <definedName name="OSRRefT22_9x_0" localSheetId="86">'492'!$T$63</definedName>
    <definedName name="OSRRefT22_9x_0" localSheetId="93">'501'!$T$58:$T$61</definedName>
    <definedName name="OSRRefT22_9x_0" localSheetId="39">'Div 2'!$T$59:$T$60</definedName>
    <definedName name="OSRRefT22_9x_0" localSheetId="47">'Div 3'!$T$160</definedName>
    <definedName name="OSRRefT22_9x_0" localSheetId="70">'Div 4'!$T$69</definedName>
    <definedName name="OSRRefT22_9x_0" localSheetId="92">'Div 5'!$T$58:$T$61</definedName>
    <definedName name="OSRRefT22_9x_0" localSheetId="61">'Div 6'!$T$87</definedName>
    <definedName name="OSRRefT22_9x_0" localSheetId="2">Summary!$T$189</definedName>
    <definedName name="OSRRefT22x_0" localSheetId="40">'200'!$T$20,'200'!$T$22,'200'!$T$24,'200'!$T$26,'200'!$T$28:$T$29</definedName>
    <definedName name="OSRRefT22x_0" localSheetId="41">'201'!$T$21:$T$29,'201'!$T$31:$T$40,'201'!$T$42,'201'!$T$44,'201'!$T$46,'201'!$T$48,'201'!$T$50,'201'!$T$52,'201'!$T$54,'201'!$T$56,'201'!$T$58:$T$60,'201'!$T$62,'201'!$T$64,'201'!$T$66:$T$68,'201'!$T$70,'201'!$T$72,'201'!$T$74</definedName>
    <definedName name="OSRRefT22x_0" localSheetId="42">'202'!$T$21:$T$29,'202'!$T$31:$T$40,'202'!$T$42,'202'!$T$44,'202'!$T$46:$T$47,'202'!$T$49,'202'!$T$51,'202'!$T$53:$T$54,'202'!$T$56,'202'!$T$58:$T$60,'202'!$T$62,'202'!$T$64,'202'!$T$66</definedName>
    <definedName name="OSRRefT22x_0" localSheetId="43">'203'!$T$20:$T$29,'203'!$T$31:$T$40,'203'!$T$42,'203'!$T$44,'203'!$T$46,'203'!$T$48,'203'!$T$50,'203'!$T$52:$T$53,'203'!$T$55:$T$57,'203'!$T$59:$T$60,'203'!$T$62,'203'!$T$64:$T$66,'203'!$T$68,'203'!$T$70,'203'!$T$72</definedName>
    <definedName name="OSRRefT22x_0" localSheetId="44">'204'!$T$20:$T$29,'204'!$T$31:$T$40,'204'!$T$42,'204'!$T$44:$T$45,'204'!$T$47,'204'!$T$49,'204'!$T$51,'204'!$T$53:$T$55,'204'!$T$57:$T$58,'204'!$T$60,'204'!$T$62:$T$63,'204'!$T$65,'204'!$T$67</definedName>
    <definedName name="OSRRefT22x_0" localSheetId="45">'205'!$T$20:$T$28,'205'!$T$30:$T$39,'205'!$T$41,'205'!$T$43,'205'!$T$45:$T$46,'205'!$T$48,'205'!$T$50:$T$52,'205'!$T$54</definedName>
    <definedName name="OSRRefT22x_0" localSheetId="46">'206'!$T$20:$T$28,'206'!$T$30:$T$39,'206'!$T$41,'206'!$T$43,'206'!$T$45,'206'!$T$47,'206'!$T$49,'206'!$T$51,'206'!$T$53:$T$54,'206'!$T$56</definedName>
    <definedName name="OSRRefT22x_0" localSheetId="48">'300'!$T$116:$T$125,'300'!$T$127:$T$136,'300'!$T$138,'300'!$T$140:$T$141,'300'!$T$143,'300'!$T$145:$T$146,'300'!$T$148:$T$149,'300'!$T$151:$T$152,'300'!$T$154,'300'!$T$156,'300'!$T$158:$T$159,'300'!$T$161:$T$163,'300'!$T$165,'300'!$T$167,'300'!$T$169,'300'!$T$171,'300'!$T$173:$T$176,'300'!$T$178:$T$181,'300'!$T$183:$T$186,'300'!$T$188:$T$189,'300'!$T$191:$T$199,'300'!$T$201:$T$202,'300'!$T$204,'300'!$T$206:$T$208,'300'!$T$210</definedName>
    <definedName name="OSRRefT22x_0" localSheetId="49">'300 &amp; 317'!$T$139:$T$148,'300 &amp; 317'!$T$150:$T$159,'300 &amp; 317'!$T$161,'300 &amp; 317'!$T$163:$T$164,'300 &amp; 317'!$T$166,'300 &amp; 317'!$T$168:$T$169,'300 &amp; 317'!$T$171:$T$172,'300 &amp; 317'!$T$174:$T$175,'300 &amp; 317'!$T$177,'300 &amp; 317'!$T$179,'300 &amp; 317'!$T$181:$T$182,'300 &amp; 317'!$T$184:$T$186,'300 &amp; 317'!$T$188,'300 &amp; 317'!$T$190,'300 &amp; 317'!$T$192,'300 &amp; 317'!$T$194,'300 &amp; 317'!$T$196:$T$199,'300 &amp; 317'!$T$201:$T$204,'300 &amp; 317'!$T$206:$T$209,'300 &amp; 317'!$T$211:$T$212,'300 &amp; 317'!$T$214:$T$222,'300 &amp; 317'!$T$224:$T$225,'300 &amp; 317'!$T$227,'300 &amp; 317'!$T$229:$T$231,'300 &amp; 317'!$T$233</definedName>
    <definedName name="OSRRefT22x_0" localSheetId="50">'301'!$T$20:$T$29,'301'!$T$31:$T$40,'301'!$T$42,'301'!$T$44:$T$45,'301'!$T$47,'301'!$T$49:$T$50,'301'!$T$52,'301'!$T$54,'301'!$T$56,'301'!$T$58,'301'!$T$60,'301'!$T$62,'301'!$T$64,'301'!$T$66,'301'!$T$68:$T$71,'301'!$T$73:$T$75,'301'!$T$77,'301'!$T$79:$T$85,'301'!$T$87,'301'!$T$89,'301'!$T$91:$T$92,'301'!$T$94</definedName>
    <definedName name="OSRRefT22x_0" localSheetId="52">'307'!$T$39:$T$46,'307'!$T$48:$T$57,'307'!$T$59,'307'!$T$61,'307'!$T$63,'307'!$T$65:$T$66,'307'!$T$68,'307'!$T$70,'307'!$T$72,'307'!$T$74:$T$75,'307'!$T$77:$T$78,'307'!$T$80:$T$83,'307'!$T$85:$T$86,'307'!$T$88</definedName>
    <definedName name="OSRRefT22x_0" localSheetId="53">'308'!$T$56:$T$65,'308'!$T$67:$T$76,'308'!$T$78,'308'!$T$80,'308'!$T$82,'308'!$T$84,'308'!$T$86:$T$87,'308'!$T$89:$T$90,'308'!$T$92,'308'!$T$94:$T$95,'308'!$T$97,'308'!$T$99:$T$101,'308'!$T$103:$T$104,'308'!$T$106</definedName>
    <definedName name="OSRRefT22x_0" localSheetId="64">'309'!$T$22:$T$29,'309'!$T$31:$T$40,'309'!$T$42,'309'!$T$44,'309'!$T$46,'309'!$T$48,'309'!$T$50,'309'!$T$52:$T$53,'309'!$T$55:$T$56,'309'!$T$58:$T$59,'309'!$T$61</definedName>
    <definedName name="OSRRefT22x_0" localSheetId="63">'310'!$T$28:$T$36,'310'!$T$38:$T$47,'310'!$T$49,'310'!$T$51,'310'!$T$53,'310'!$T$55:$T$56,'310'!$T$58,'310'!$T$60,'310'!$T$62,'310'!$T$64,'310'!$T$66,'310'!$T$68,'310'!$T$70,'310'!$T$72:$T$75,'310'!$T$77:$T$78,'310'!$T$80:$T$83,'310'!$T$85,'310'!$T$87:$T$93,'310'!$T$95:$T$96,'310'!$T$98,'310'!$T$100,'310'!$T$102</definedName>
    <definedName name="OSRRefT22x_0" localSheetId="71">'310 &amp; 491'!$T$32:$T$40,'310 &amp; 491'!$T$42:$T$51,'310 &amp; 491'!$T$53,'310 &amp; 491'!$T$55,'310 &amp; 491'!$T$57,'310 &amp; 491'!$T$59:$T$61,'310 &amp; 491'!$T$63,'310 &amp; 491'!$T$65,'310 &amp; 491'!$T$67:$T$68,'310 &amp; 491'!$T$70,'310 &amp; 491'!$T$72,'310 &amp; 491'!$T$74,'310 &amp; 491'!$T$76,'310 &amp; 491'!$T$78:$T$81,'310 &amp; 491'!$T$83:$T$84,'310 &amp; 491'!$T$86:$T$90,'310 &amp; 491'!$T$92:$T$93,'310 &amp; 491'!$T$95:$T$105,'310 &amp; 491'!$T$107:$T$108,'310 &amp; 491'!$T$110,'310 &amp; 491'!$T$112:$T$114,'310 &amp; 491'!$T$116</definedName>
    <definedName name="OSRRefT22x_0" localSheetId="54">'311'!$T$55:$T$64,'311'!$T$66:$T$75,'311'!$T$77,'311'!$T$79,'311'!$T$81,'311'!$T$83,'311'!$T$85:$T$86,'311'!$T$88:$T$89,'311'!$T$91,'311'!$T$93:$T$94,'311'!$T$96,'311'!$T$98:$T$100,'311'!$T$102:$T$103,'311'!$T$105</definedName>
    <definedName name="OSRRefT22x_0" localSheetId="65">'313'!$T$23:$T$31,'313'!$T$33:$T$42,'313'!$T$44,'313'!$T$46,'313'!$T$48,'313'!$T$50,'313'!$T$52:$T$53,'313'!$T$55,'313'!$T$57:$T$59,'313'!$T$61:$T$62,'313'!$T$64,'313'!$T$66</definedName>
    <definedName name="OSRRefT22x_0" localSheetId="57">'315'!$T$80:$T$88,'315'!$T$90:$T$99,'315'!$T$101,'315'!$T$103,'315'!$T$105,'315'!$T$107,'315'!$T$109,'315'!$T$111:$T$112,'315'!$T$114,'315'!$T$116,'315'!$T$118,'315'!$T$120,'315'!$T$122:$T$124,'315'!$T$126:$T$127,'315'!$T$129:$T$135,'315'!$T$137,'315'!$T$139,'315'!$T$141:$T$142</definedName>
    <definedName name="OSRRefT22x_0" localSheetId="60">'316'!$T$30:$T$38,'316'!$T$40:$T$49,'316'!$T$51,'316'!$T$53,'316'!$T$55,'316'!$T$57,'316'!$T$59:$T$60,'316'!$T$62:$T$63,'316'!$T$65,'316'!$T$67:$T$71,'316'!$T$73,'316'!$T$75</definedName>
    <definedName name="OSRRefT22x_0" localSheetId="62">'317'!$T$50:$T$59,'317'!$T$61:$T$70,'317'!$T$72,'317'!$T$74,'317'!$T$76,'317'!$T$78,'317'!$T$80:$T$81,'317'!$T$83,'317'!$T$85,'317'!$T$87,'317'!$T$89:$T$91,'317'!$T$93,'317'!$T$95</definedName>
    <definedName name="OSRRefT22x_0" localSheetId="66">'321'!$T$25:$T$33,'321'!$T$35:$T$44,'321'!$T$46,'321'!$T$48,'321'!$T$50,'321'!$T$52,'321'!$T$54,'321'!$T$56:$T$57,'321'!$T$59:$T$60,'321'!$T$62:$T$63,'321'!$T$65:$T$67,'321'!$T$69:$T$70,'321'!$T$72,'321'!$T$74</definedName>
    <definedName name="OSRRefT22x_0" localSheetId="67">'322'!$T$23:$T$30,'322'!$T$32:$T$41,'322'!$T$43,'322'!$T$45,'322'!$T$47,'322'!$T$49,'322'!$T$51,'322'!$T$53:$T$54,'322'!$T$56:$T$57,'322'!$T$59:$T$62,'322'!$T$64,'322'!$T$66</definedName>
    <definedName name="OSRRefT22x_0" localSheetId="55">'324'!$T$27:$T$34,'324'!$T$36:$T$45</definedName>
    <definedName name="OSRRefT22x_0" localSheetId="68">'325'!$T$25:$T$32,'325'!$T$34:$T$43,'325'!$T$45,'325'!$T$47,'325'!$T$49,'325'!$T$51:$T$52,'325'!$T$54,'325'!$T$56,'325'!$T$58,'325'!$T$60,'325'!$T$62,'325'!$T$64:$T$67,'325'!$T$69:$T$71,'325'!$T$73,'325'!$T$75:$T$79,'325'!$T$81:$T$82,'325'!$T$84,'325'!$T$86</definedName>
    <definedName name="OSRRefT22x_0" localSheetId="58">'326'!$T$46:$T$54,'326'!$T$56:$T$65,'326'!$T$67,'326'!$T$69,'326'!$T$71,'326'!$T$73,'326'!$T$75,'326'!$T$77,'326'!$T$79:$T$80,'326'!$T$82,'326'!$T$84,'326'!$T$86,'326'!$T$88,'326'!$T$90:$T$91,'326'!$T$93:$T$95,'326'!$T$97:$T$98,'326'!$T$100:$T$105,'326'!$T$107:$T$108,'326'!$T$110,'326'!$T$112:$T$113,'326'!$T$115</definedName>
    <definedName name="OSRRefT22x_0" localSheetId="69">'327'!$T$24</definedName>
    <definedName name="OSRRefT22x_0" localSheetId="51">'330'!$T$39:$T$46,'330'!$T$48:$T$57,'330'!$T$59,'330'!$T$61,'330'!$T$63,'330'!$T$65:$T$66,'330'!$T$68,'330'!$T$70,'330'!$T$72,'330'!$T$74:$T$75,'330'!$T$77:$T$78,'330'!$T$80:$T$83,'330'!$T$85:$T$86,'330'!$T$88</definedName>
    <definedName name="OSRRefT22x_0" localSheetId="56">'331'!$T$80:$T$88,'331'!$T$90:$T$99,'331'!$T$101,'331'!$T$103,'331'!$T$105,'331'!$T$107,'331'!$T$109,'331'!$T$111,'331'!$T$113:$T$114,'331'!$T$116:$T$117,'331'!$T$119,'331'!$T$121,'331'!$T$123,'331'!$T$125,'331'!$T$127:$T$128,'331'!$T$130:$T$132,'331'!$T$134:$T$136,'331'!$T$138:$T$139,'331'!$T$141:$T$148,'331'!$T$150:$T$151,'331'!$T$153,'331'!$T$155:$T$156,'331'!$T$158</definedName>
    <definedName name="OSRRefT22x_0" localSheetId="59">'332'!$T$30:$T$38,'332'!$T$40:$T$49,'332'!$T$51,'332'!$T$53,'332'!$T$55,'332'!$T$57,'332'!$T$59:$T$60,'332'!$T$62:$T$63,'332'!$T$65,'332'!$T$67:$T$71,'332'!$T$73,'332'!$T$75</definedName>
    <definedName name="OSRRefT22x_0" localSheetId="73">'405'!$T$23:$T$30,'405'!$T$32:$T$41,'405'!$T$43,'405'!$T$45,'405'!$T$47:$T$48,'405'!$T$50,'405'!$T$52,'405'!$T$54,'405'!$T$56,'405'!$T$58:$T$59,'405'!$T$61,'405'!$T$63:$T$66,'405'!$T$68,'405'!$T$70:$T$78,'405'!$T$80,'405'!$T$82,'405'!$T$84</definedName>
    <definedName name="OSRRefT22x_0" localSheetId="74">'406'!$T$20,'406'!$T$22,'406'!$T$24,'406'!$T$26,'406'!$T$28</definedName>
    <definedName name="OSRRefT22x_0" localSheetId="75">'411'!$T$20:$T$28,'411'!$T$30:$T$39,'411'!$T$41,'411'!$T$43,'411'!$T$45:$T$46,'411'!$T$48,'411'!$T$50,'411'!$T$52,'411'!$T$54,'411'!$T$56:$T$57,'411'!$T$59:$T$62,'411'!$T$64,'411'!$T$66:$T$72,'411'!$T$74,'411'!$T$76,'411'!$T$78</definedName>
    <definedName name="OSRRefT22x_0" localSheetId="76">'412'!$T$22:$T$29,'412'!$T$31:$T$40,'412'!$T$42,'412'!$T$44,'412'!$T$46:$T$47,'412'!$T$49,'412'!$T$51,'412'!$T$53,'412'!$T$55:$T$56,'412'!$T$58,'412'!$T$60:$T$63,'412'!$T$65:$T$69,'412'!$T$71:$T$72,'412'!$T$74</definedName>
    <definedName name="OSRRefT22x_0" localSheetId="77">'413'!$T$23:$T$31,'413'!$T$33:$T$42,'413'!$T$44,'413'!$T$46,'413'!$T$48,'413'!$T$50,'413'!$T$52,'413'!$T$54,'413'!$T$56:$T$58,'413'!$T$60:$T$61,'413'!$T$63:$T$70,'413'!$T$72:$T$73,'413'!$T$75</definedName>
    <definedName name="OSRRefT22x_0" localSheetId="78">'414'!$T$24:$T$32,'414'!$T$34:$T$43,'414'!$T$45,'414'!$T$47,'414'!$T$49,'414'!$T$51,'414'!$T$53,'414'!$T$55,'414'!$T$57:$T$58,'414'!$T$60,'414'!$T$62,'414'!$T$64,'414'!$T$66:$T$68,'414'!$T$70,'414'!$T$72,'414'!$T$74</definedName>
    <definedName name="OSRRefT22x_0" localSheetId="79">'415'!$T$27:$T$35,'415'!$T$37:$T$46,'415'!$T$48,'415'!$T$50,'415'!$T$52,'415'!$T$54:$T$55,'415'!$T$57,'415'!$T$59,'415'!$T$61,'415'!$T$63,'415'!$T$65,'415'!$T$67:$T$68,'415'!$T$70:$T$74,'415'!$T$76,'415'!$T$78:$T$84,'415'!$T$86:$T$87,'415'!$T$89,'415'!$T$91:$T$92,'415'!$T$94</definedName>
    <definedName name="OSRRefT22x_0" localSheetId="80">'418'!$T$23:$T$30,'418'!$T$32:$T$41,'418'!$T$43,'418'!$T$45,'418'!$T$47:$T$48,'418'!$T$50,'418'!$T$52,'418'!$T$54,'418'!$T$56:$T$58,'418'!$T$60:$T$61,'418'!$T$63:$T$64,'418'!$T$66:$T$75,'418'!$T$77:$T$78,'418'!$T$80</definedName>
    <definedName name="OSRRefT22x_0" localSheetId="81">'420'!$T$21</definedName>
    <definedName name="OSRRefT22x_0" localSheetId="82">'423'!$T$20:$T$27,'423'!$T$29:$T$38,'423'!$T$40,'423'!$T$42:$T$43,'423'!$T$45,'423'!$T$47,'423'!$T$49</definedName>
    <definedName name="OSRRefT22x_0" localSheetId="83">'424'!$T$20,'424'!$T$22,'424'!$T$24,'424'!$T$26</definedName>
    <definedName name="OSRRefT22x_0" localSheetId="84">'425'!$T$20:$T$24,'425'!$T$26,'425'!$T$28,'425'!$T$30,'425'!$T$32:$T$33,'425'!$T$35</definedName>
    <definedName name="OSRRefT22x_0" localSheetId="87">'430'!$T$20:$T$28,'430'!$T$30:$T$39,'430'!$T$41,'430'!$T$43,'430'!$T$45:$T$47,'430'!$T$49:$T$50,'430'!$T$52,'430'!$T$54</definedName>
    <definedName name="OSRRefT22x_0" localSheetId="88">'433'!$T$27:$T$36,'433'!$T$38:$T$47,'433'!$T$49,'433'!$T$51,'433'!$T$53,'433'!$T$55,'433'!$T$57,'433'!$T$59,'433'!$T$61,'433'!$T$63,'433'!$T$65,'433'!$T$67:$T$68,'433'!$T$70:$T$73,'433'!$T$75:$T$82,'433'!$T$84</definedName>
    <definedName name="OSRRefT22x_0" localSheetId="89">'435'!$T$20</definedName>
    <definedName name="OSRRefT22x_0" localSheetId="90">'444'!$T$27:$T$36,'444'!$T$38:$T$47,'444'!$T$49,'444'!$T$51,'444'!$T$53,'444'!$T$55,'444'!$T$57,'444'!$T$59,'444'!$T$61,'444'!$T$63,'444'!$T$65,'444'!$T$67:$T$70,'444'!$T$72:$T$75,'444'!$T$77,'444'!$T$79:$T$87,'444'!$T$89:$T$90,'444'!$T$92</definedName>
    <definedName name="OSRRefT22x_0" localSheetId="91">'450'!$T$23:$T$32,'450'!$T$34:$T$43,'450'!$T$45,'450'!$T$47,'450'!$T$49,'450'!$T$51,'450'!$T$53,'450'!$T$55,'450'!$T$57,'450'!$T$59,'450'!$T$61,'450'!$T$63,'450'!$T$65,'450'!$T$67:$T$69,'450'!$T$71:$T$77,'450'!$T$79:$T$80,'450'!$T$82</definedName>
    <definedName name="OSRRefT22x_0" localSheetId="72">'491'!$T$29:$T$37,'491'!$T$39:$T$48,'491'!$T$50,'491'!$T$52,'491'!$T$54,'491'!$T$56:$T$58,'491'!$T$60,'491'!$T$62,'491'!$T$64,'491'!$T$66,'491'!$T$68,'491'!$T$70,'491'!$T$72,'491'!$T$74:$T$77,'491'!$T$79:$T$80,'491'!$T$82:$T$86,'491'!$T$88:$T$89,'491'!$T$91:$T$101,'491'!$T$103:$T$104,'491'!$T$106,'491'!$T$108:$T$110,'491'!$T$112</definedName>
    <definedName name="OSRRefT22x_0" localSheetId="86">'492'!$T$27:$T$36,'492'!$T$38:$T$47,'492'!$T$49,'492'!$T$51,'492'!$T$53,'492'!$T$55,'492'!$T$57,'492'!$T$59,'492'!$T$61,'492'!$T$63,'492'!$T$65,'492'!$T$67,'492'!$T$69:$T$72,'492'!$T$74:$T$77,'492'!$T$79,'492'!$T$81:$T$90,'492'!$T$92:$T$93,'492'!$T$95,'492'!$T$97</definedName>
    <definedName name="OSRRefT22x_0" localSheetId="93">'501'!$T$21:$T$30,'501'!$T$32:$T$41,'501'!$T$43,'501'!$T$45,'501'!$T$47,'501'!$T$49:$T$50,'501'!$T$52,'501'!$T$54,'501'!$T$56,'501'!$T$58:$T$61,'501'!$T$63:$T$64,'501'!$T$66</definedName>
    <definedName name="OSRRefT22x_0" localSheetId="39">'Div 2'!$T$21:$T$31,'Div 2'!$T$33:$T$42,'Div 2'!$T$44,'Div 2'!$T$46,'Div 2'!$T$48,'Div 2'!$T$50:$T$51,'Div 2'!$T$53,'Div 2'!$T$55,'Div 2'!$T$57,'Div 2'!$T$59:$T$60,'Div 2'!$T$62,'Div 2'!$T$64:$T$65,'Div 2'!$T$67:$T$70,'Div 2'!$T$72:$T$75,'Div 2'!$T$77:$T$78,'Div 2'!$T$80:$T$81,'Div 2'!$T$83:$T$87,'Div 2'!$T$89:$T$90,'Div 2'!$T$92,'Div 2'!$T$94:$T$95</definedName>
    <definedName name="OSRRefT22x_0" localSheetId="47">'Div 3'!$T$120:$T$129,'Div 3'!$T$131:$T$140,'Div 3'!$T$142,'Div 3'!$T$144:$T$145,'Div 3'!$T$147,'Div 3'!$T$149:$T$150,'Div 3'!$T$152:$T$153,'Div 3'!$T$155:$T$156,'Div 3'!$T$158,'Div 3'!$T$160,'Div 3'!$T$162:$T$163,'Div 3'!$T$165:$T$167,'Div 3'!$T$169,'Div 3'!$T$171,'Div 3'!$T$173,'Div 3'!$T$175,'Div 3'!$T$177,'Div 3'!$T$179:$T$182,'Div 3'!$T$184:$T$187,'Div 3'!$T$189:$T$193,'Div 3'!$T$195:$T$196,'Div 3'!$T$198:$T$206,'Div 3'!$T$208:$T$209,'Div 3'!$T$211,'Div 3'!$T$213:$T$215,'Div 3'!$T$217</definedName>
    <definedName name="OSRRefT22x_0" localSheetId="70">'Div 4'!$T$31:$T$40,'Div 4'!$T$42:$T$51,'Div 4'!$T$53,'Div 4'!$T$55,'Div 4'!$T$57,'Div 4'!$T$59:$T$61,'Div 4'!$T$63,'Div 4'!$T$65,'Div 4'!$T$67,'Div 4'!$T$69,'Div 4'!$T$71,'Div 4'!$T$73,'Div 4'!$T$75,'Div 4'!$T$77,'Div 4'!$T$79,'Div 4'!$T$81:$T$84,'Div 4'!$T$86:$T$87,'Div 4'!$T$89:$T$93,'Div 4'!$T$95:$T$96,'Div 4'!$T$98:$T$108,'Div 4'!$T$110:$T$111,'Div 4'!$T$113,'Div 4'!$T$115:$T$117,'Div 4'!$T$119</definedName>
    <definedName name="OSRRefT22x_0" localSheetId="92">'Div 5'!$T$21:$T$30,'Div 5'!$T$32:$T$41,'Div 5'!$T$43,'Div 5'!$T$45,'Div 5'!$T$47,'Div 5'!$T$49:$T$50,'Div 5'!$T$52,'Div 5'!$T$54,'Div 5'!$T$56,'Div 5'!$T$58:$T$61,'Div 5'!$T$63:$T$64,'Div 5'!$T$66</definedName>
    <definedName name="OSRRefT22x_0" localSheetId="61">'Div 6'!$T$50:$T$59,'Div 6'!$T$61:$T$70,'Div 6'!$T$72,'Div 6'!$T$74,'Div 6'!$T$76,'Div 6'!$T$78,'Div 6'!$T$80:$T$81,'Div 6'!$T$83,'Div 6'!$T$85,'Div 6'!$T$87,'Div 6'!$T$89:$T$91,'Div 6'!$T$93,'Div 6'!$T$95</definedName>
    <definedName name="OSRRefT22x_0" localSheetId="2">Summary!$T$148:$T$157,Summary!$T$159:$T$168,Summary!$T$170,Summary!$T$172:$T$173,Summary!$T$175,Summary!$T$177:$T$179,Summary!$T$181:$T$182,Summary!$T$184:$T$185,Summary!$T$187,Summary!$T$189,Summary!$T$191:$T$192,Summary!$T$194:$T$196,Summary!$T$198,Summary!$T$200,Summary!$T$202,Summary!$T$204,Summary!$T$206,Summary!$T$208,Summary!$T$210:$T$213,Summary!$T$215:$T$218,Summary!$T$220:$T$224,Summary!$T$226:$T$227,Summary!$T$229:$T$239,Summary!$T$241:$T$242,Summary!$T$244,Summary!$T$246:$T$248,Summary!$T$250</definedName>
    <definedName name="OSRRefT25x_0" localSheetId="42">'202'!$T$69:$T$71</definedName>
    <definedName name="OSRRefT25x_0" localSheetId="48">'300'!$T$213:$T$216</definedName>
    <definedName name="OSRRefT25x_0" localSheetId="49">'300 &amp; 317'!$T$236:$T$240</definedName>
    <definedName name="OSRRefT25x_0" localSheetId="50">'301'!$T$97:$T$98</definedName>
    <definedName name="OSRRefT25x_0" localSheetId="53">'308'!$T$109:$T$111</definedName>
    <definedName name="OSRRefT25x_0" localSheetId="71">'310 &amp; 491'!$T$119:$T$122</definedName>
    <definedName name="OSRRefT25x_0" localSheetId="54">'311'!$T$108:$T$110</definedName>
    <definedName name="OSRRefT25x_0" localSheetId="57">'315'!$T$145:$T$147</definedName>
    <definedName name="OSRRefT25x_0" localSheetId="60">'316'!$T$78</definedName>
    <definedName name="OSRRefT25x_0" localSheetId="62">'317'!$T$98:$T$99</definedName>
    <definedName name="OSRRefT25x_0" localSheetId="56">'331'!$T$161:$T$163</definedName>
    <definedName name="OSRRefT25x_0" localSheetId="59">'332'!$T$78</definedName>
    <definedName name="OSRRefT25x_0" localSheetId="75">'411'!$T$81:$T$82</definedName>
    <definedName name="OSRRefT25x_0" localSheetId="80">'418'!$T$83</definedName>
    <definedName name="OSRRefT25x_0" localSheetId="82">'423'!$T$52:$T$54</definedName>
    <definedName name="OSRRefT25x_0" localSheetId="85">'455'!$T$21:$T$22</definedName>
    <definedName name="OSRRefT25x_0" localSheetId="72">'491'!$T$115:$T$118</definedName>
    <definedName name="OSRRefT25x_0" localSheetId="93">'501'!$T$69</definedName>
    <definedName name="OSRRefT25x_0" localSheetId="39">'Div 2'!$T$98:$T$100</definedName>
    <definedName name="OSRRefT25x_0" localSheetId="47">'Div 3'!$T$220:$T$223</definedName>
    <definedName name="OSRRefT25x_0" localSheetId="70">'Div 4'!$T$122:$T$125</definedName>
    <definedName name="OSRRefT25x_0" localSheetId="92">'Div 5'!$T$69</definedName>
    <definedName name="OSRRefT25x_0" localSheetId="61">'Div 6'!$T$98:$T$99</definedName>
    <definedName name="OSRRefT25x_0" localSheetId="2">Summary!$T$253:$T$259</definedName>
    <definedName name="_xlnm.Print_Area" localSheetId="38">'100'!$A$1:$Z$34</definedName>
    <definedName name="_xlnm.Print_Area" localSheetId="40">'200'!$A$1:$Z$43</definedName>
    <definedName name="_xlnm.Print_Area" localSheetId="41">'201'!$A$1:$Z$88</definedName>
    <definedName name="_xlnm.Print_Area" localSheetId="42">'202'!$A$1:$Z$83</definedName>
    <definedName name="_xlnm.Print_Area" localSheetId="43">'203'!$A$1:$Z$86</definedName>
    <definedName name="_xlnm.Print_Area" localSheetId="44">'204'!$A$1:$Z$81</definedName>
    <definedName name="_xlnm.Print_Area" localSheetId="45">'205'!$A$1:$Z$68</definedName>
    <definedName name="_xlnm.Print_Area" localSheetId="46">'206'!$A$1:$Z$70</definedName>
    <definedName name="_xlnm.Print_Area" localSheetId="48">'300'!$A$1:$Z$228</definedName>
    <definedName name="_xlnm.Print_Area" localSheetId="49">'300 &amp; 317'!$A$1:$Z$252</definedName>
    <definedName name="_xlnm.Print_Area" localSheetId="50">'301'!$A$1:$Z$110</definedName>
    <definedName name="_xlnm.Print_Area" localSheetId="52">'307'!$A$1:$Z$102</definedName>
    <definedName name="_xlnm.Print_Area" localSheetId="53">'308'!$A$1:$Z$123</definedName>
    <definedName name="_xlnm.Print_Area" localSheetId="64">'309'!$A$1:$Z$75</definedName>
    <definedName name="_xlnm.Print_Area" localSheetId="63">'310'!$A$1:$Z$116</definedName>
    <definedName name="_xlnm.Print_Area" localSheetId="71">'310 &amp; 491'!$A$1:$Z$134</definedName>
    <definedName name="_xlnm.Print_Area" localSheetId="54">'311'!$A$1:$Z$122</definedName>
    <definedName name="_xlnm.Print_Area" localSheetId="65">'313'!$A$1:$Z$80</definedName>
    <definedName name="_xlnm.Print_Area" localSheetId="57">'315'!$A$1:$Z$159</definedName>
    <definedName name="_xlnm.Print_Area" localSheetId="60">'316'!$A$1:$Z$90</definedName>
    <definedName name="_xlnm.Print_Area" localSheetId="62">'317'!$A$1:$Z$111</definedName>
    <definedName name="_xlnm.Print_Area" localSheetId="66">'321'!$A$1:$Z$88</definedName>
    <definedName name="_xlnm.Print_Area" localSheetId="67">'322'!$A$1:$Z$80</definedName>
    <definedName name="_xlnm.Print_Area" localSheetId="55">'324'!$A$1:$Z$59</definedName>
    <definedName name="_xlnm.Print_Area" localSheetId="68">'325'!$A$1:$Z$100</definedName>
    <definedName name="_xlnm.Print_Area" localSheetId="58">'326'!$A$1:$Z$129</definedName>
    <definedName name="_xlnm.Print_Area" localSheetId="69">'327'!$A$1:$Z$38</definedName>
    <definedName name="_xlnm.Print_Area" localSheetId="51">'330'!$A$1:$Z$102</definedName>
    <definedName name="_xlnm.Print_Area" localSheetId="56">'331'!$A$1:$Z$175</definedName>
    <definedName name="_xlnm.Print_Area" localSheetId="59">'332'!$A$1:$Z$90</definedName>
    <definedName name="_xlnm.Print_Area" localSheetId="73">'405'!$A$1:$Z$98</definedName>
    <definedName name="_xlnm.Print_Area" localSheetId="74">'406'!$A$1:$Z$42</definedName>
    <definedName name="_xlnm.Print_Area" localSheetId="75">'411'!$A$1:$Z$94</definedName>
    <definedName name="_xlnm.Print_Area" localSheetId="76">'412'!$A$1:$Z$88</definedName>
    <definedName name="_xlnm.Print_Area" localSheetId="77">'413'!$A$1:$Z$89</definedName>
    <definedName name="_xlnm.Print_Area" localSheetId="78">'414'!$A$1:$Z$88</definedName>
    <definedName name="_xlnm.Print_Area" localSheetId="79">'415'!$A$1:$Z$108</definedName>
    <definedName name="_xlnm.Print_Area" localSheetId="80">'418'!$A$1:$Z$95</definedName>
    <definedName name="_xlnm.Print_Area" localSheetId="81">'420'!$A$1:$Z$35</definedName>
    <definedName name="_xlnm.Print_Area" localSheetId="82">'423'!$A$1:$Z$66</definedName>
    <definedName name="_xlnm.Print_Area" localSheetId="83">'424'!$A$1:$Z$40</definedName>
    <definedName name="_xlnm.Print_Area" localSheetId="84">'425'!$A$1:$Z$49</definedName>
    <definedName name="_xlnm.Print_Area" localSheetId="87">'430'!$A$1:$Z$68</definedName>
    <definedName name="_xlnm.Print_Area" localSheetId="88">'433'!$A$1:$Z$98</definedName>
    <definedName name="_xlnm.Print_Area" localSheetId="89">'435'!$A$1:$Z$34</definedName>
    <definedName name="_xlnm.Print_Area" localSheetId="90">'444'!$A$1:$Z$106</definedName>
    <definedName name="_xlnm.Print_Area" localSheetId="91">'450'!$A$1:$Z$96</definedName>
    <definedName name="_xlnm.Print_Area" localSheetId="85">'455'!$A$1:$Z$34</definedName>
    <definedName name="_xlnm.Print_Area" localSheetId="72">'491'!$A$1:$Z$130</definedName>
    <definedName name="_xlnm.Print_Area" localSheetId="86">'492'!$A$1:$Z$111</definedName>
    <definedName name="_xlnm.Print_Area" localSheetId="93">'501'!$A$1:$Z$81</definedName>
    <definedName name="_xlnm.Print_Area" localSheetId="94">Dept!$A$1:$Z$39</definedName>
    <definedName name="_xlnm.Print_Area" localSheetId="5">'Div 1'!$A$1:$Z$34</definedName>
    <definedName name="_xlnm.Print_Area" localSheetId="39">'Div 2'!$A$1:$Z$112</definedName>
    <definedName name="_xlnm.Print_Area" localSheetId="47">'Div 3'!$A$1:$Z$235</definedName>
    <definedName name="_xlnm.Print_Area" localSheetId="70">'Div 4'!$A$1:$Z$137</definedName>
    <definedName name="_xlnm.Print_Area" localSheetId="92">'Div 5'!$A$1:$Z$81</definedName>
    <definedName name="_xlnm.Print_Area" localSheetId="61">'Div 6'!$A$1:$Z$111</definedName>
    <definedName name="_xlnm.Print_Area" localSheetId="14">'OSR_300 &amp; 317_1C00ID4'!$A$1:$Z$39</definedName>
    <definedName name="_xlnm.Print_Area" localSheetId="15">'OSR_300 (2)_...6aa5a22d_14M6XO4'!$A$1:$Z$39</definedName>
    <definedName name="_xlnm.Print_Area" localSheetId="11">'OSR_300 (2)_7...54cb56fc_UFX0O2'!$A$1:$Z$39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3">'OSR_310 (2)_5...3d931dee_QNK8R2'!$A$1:$Z$39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(2)_...853a34aa_1UNC34K'!$A$1:$Z$39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5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(2)...32d16c57_IVJ1QO'!$A$1:$Z$39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6">'OSR_Summary (...56e5d78f_5JEYZH'!$A$1:$Z$39</definedName>
    <definedName name="_xlnm.Print_Area" localSheetId="3">OSR_Summary_18VAVWG!$A$1:$Z$39</definedName>
    <definedName name="_xlnm.Print_Area" localSheetId="2">Summary!$A$1:$Z$273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2">'307'!$A:$C,'307'!$1:$10</definedName>
    <definedName name="_xlnm.Print_Titles" localSheetId="53">'308'!$A:$C,'308'!$1:$10</definedName>
    <definedName name="_xlnm.Print_Titles" localSheetId="64">'309'!$A:$C,'309'!$1:$10</definedName>
    <definedName name="_xlnm.Print_Titles" localSheetId="63">'310'!$A:$C,'310'!$1:$10</definedName>
    <definedName name="_xlnm.Print_Titles" localSheetId="71">'310 &amp; 491'!$A:$C,'310 &amp; 491'!$1:$10</definedName>
    <definedName name="_xlnm.Print_Titles" localSheetId="54">'311'!$A:$C,'311'!$1:$10</definedName>
    <definedName name="_xlnm.Print_Titles" localSheetId="65">'313'!$A:$C,'313'!$1:$10</definedName>
    <definedName name="_xlnm.Print_Titles" localSheetId="57">'315'!$A:$C,'315'!$1:$10</definedName>
    <definedName name="_xlnm.Print_Titles" localSheetId="60">'316'!$A:$C,'316'!$1:$10</definedName>
    <definedName name="_xlnm.Print_Titles" localSheetId="62">'317'!$A:$C,'317'!$1:$10</definedName>
    <definedName name="_xlnm.Print_Titles" localSheetId="66">'321'!$A:$C,'321'!$1:$10</definedName>
    <definedName name="_xlnm.Print_Titles" localSheetId="67">'322'!$A:$C,'322'!$1:$10</definedName>
    <definedName name="_xlnm.Print_Titles" localSheetId="55">'324'!$A:$C,'324'!$1:$10</definedName>
    <definedName name="_xlnm.Print_Titles" localSheetId="68">'325'!$A:$C,'325'!$1:$10</definedName>
    <definedName name="_xlnm.Print_Titles" localSheetId="58">'326'!$A:$C,'326'!$1:$10</definedName>
    <definedName name="_xlnm.Print_Titles" localSheetId="69">'327'!$A:$C,'327'!$1:$10</definedName>
    <definedName name="_xlnm.Print_Titles" localSheetId="51">'330'!$A:$C,'330'!$1:$10</definedName>
    <definedName name="_xlnm.Print_Titles" localSheetId="56">'331'!$A:$C,'331'!$1:$10</definedName>
    <definedName name="_xlnm.Print_Titles" localSheetId="59">'332'!$A:$C,'332'!$1:$10</definedName>
    <definedName name="_xlnm.Print_Titles" localSheetId="73">'405'!$A:$C,'405'!$1:$10</definedName>
    <definedName name="_xlnm.Print_Titles" localSheetId="74">'406'!$A:$C,'406'!$1:$10</definedName>
    <definedName name="_xlnm.Print_Titles" localSheetId="75">'411'!$A:$C,'411'!$1:$10</definedName>
    <definedName name="_xlnm.Print_Titles" localSheetId="76">'412'!$A:$C,'412'!$1:$10</definedName>
    <definedName name="_xlnm.Print_Titles" localSheetId="77">'413'!$A:$C,'413'!$1:$10</definedName>
    <definedName name="_xlnm.Print_Titles" localSheetId="78">'414'!$A:$C,'414'!$1:$10</definedName>
    <definedName name="_xlnm.Print_Titles" localSheetId="79">'415'!$A:$C,'415'!$1:$10</definedName>
    <definedName name="_xlnm.Print_Titles" localSheetId="80">'418'!$A:$C,'418'!$1:$10</definedName>
    <definedName name="_xlnm.Print_Titles" localSheetId="81">'420'!$A:$C,'420'!$1:$10</definedName>
    <definedName name="_xlnm.Print_Titles" localSheetId="82">'423'!$A:$C,'423'!$1:$10</definedName>
    <definedName name="_xlnm.Print_Titles" localSheetId="83">'424'!$A:$C,'424'!$1:$10</definedName>
    <definedName name="_xlnm.Print_Titles" localSheetId="84">'425'!$A:$C,'425'!$1:$10</definedName>
    <definedName name="_xlnm.Print_Titles" localSheetId="87">'430'!$A:$C,'430'!$1:$10</definedName>
    <definedName name="_xlnm.Print_Titles" localSheetId="88">'433'!$A:$C,'433'!$1:$10</definedName>
    <definedName name="_xlnm.Print_Titles" localSheetId="89">'435'!$A:$C,'435'!$1:$10</definedName>
    <definedName name="_xlnm.Print_Titles" localSheetId="90">'444'!$A:$C,'444'!$1:$10</definedName>
    <definedName name="_xlnm.Print_Titles" localSheetId="91">'450'!$A:$C,'450'!$1:$10</definedName>
    <definedName name="_xlnm.Print_Titles" localSheetId="85">'455'!$A:$C,'455'!$1:$10</definedName>
    <definedName name="_xlnm.Print_Titles" localSheetId="72">'491'!$A:$C,'491'!$1:$10</definedName>
    <definedName name="_xlnm.Print_Titles" localSheetId="86">'492'!$A:$C,'492'!$1:$10</definedName>
    <definedName name="_xlnm.Print_Titles" localSheetId="93">'501'!$A:$C,'501'!$1:$10</definedName>
    <definedName name="_xlnm.Print_Titles" localSheetId="94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0">'Div 4'!$A:$C,'Div 4'!$1:$10</definedName>
    <definedName name="_xlnm.Print_Titles" localSheetId="92">'Div 5'!$A:$C,'Div 5'!$1:$10</definedName>
    <definedName name="_xlnm.Print_Titles" localSheetId="61">'Div 6'!$A:$C,'Div 6'!$1:$10</definedName>
    <definedName name="_xlnm.Print_Titles" localSheetId="14">'OSR_300 &amp; 317_1C00ID4'!$A:$C,'OSR_300 &amp; 317_1C00ID4'!$1:$10</definedName>
    <definedName name="_xlnm.Print_Titles" localSheetId="15">'OSR_300 (2)_...6aa5a22d_14M6XO4'!$A:$C,'OSR_300 (2)_...6aa5a22d_14M6XO4'!$1:$10</definedName>
    <definedName name="_xlnm.Print_Titles" localSheetId="11">'OSR_300 (2)_7...54cb56fc_UFX0O2'!$A:$C,'OSR_300 (2)_7...54cb56fc_UFX0O2'!$1:$10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3">'OSR_310 (2)_5...3d931dee_QNK8R2'!$A:$C,'OSR_310 (2)_5...3d931dee_QNK8R2'!$1:$10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(2)_...853a34aa_1UNC34K'!$A:$C,'OSR_491 (2)_...853a34aa_1UNC34K'!$1:$10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5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(2)...32d16c57_IVJ1QO'!$A:$C,'OSR_Div 5 (2)...32d16c57_IVJ1QO'!$1:$10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6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X73" i="109" l="1"/>
  <c r="Z73" i="109" s="1"/>
  <c r="N73" i="109"/>
  <c r="L73" i="109"/>
  <c r="X69" i="109"/>
  <c r="Z69" i="109" s="1"/>
  <c r="P69" i="109"/>
  <c r="N69" i="109"/>
  <c r="L69" i="109"/>
  <c r="D69" i="109"/>
  <c r="B69" i="109"/>
  <c r="T68" i="109"/>
  <c r="P68" i="109"/>
  <c r="J68" i="109"/>
  <c r="H68" i="109"/>
  <c r="D68" i="109"/>
  <c r="L68" i="109" s="1"/>
  <c r="Z66" i="109"/>
  <c r="X66" i="109"/>
  <c r="V66" i="109"/>
  <c r="N66" i="109"/>
  <c r="L66" i="109"/>
  <c r="B66" i="109"/>
  <c r="Z65" i="109"/>
  <c r="T65" i="109"/>
  <c r="P65" i="109"/>
  <c r="X65" i="109" s="1"/>
  <c r="L65" i="109"/>
  <c r="H65" i="109"/>
  <c r="D65" i="109"/>
  <c r="B65" i="109"/>
  <c r="Z64" i="109"/>
  <c r="X64" i="109"/>
  <c r="N64" i="109"/>
  <c r="L64" i="109"/>
  <c r="B64" i="109"/>
  <c r="X63" i="109"/>
  <c r="Z63" i="109" s="1"/>
  <c r="N63" i="109"/>
  <c r="L63" i="109"/>
  <c r="B63" i="109"/>
  <c r="T62" i="109"/>
  <c r="P62" i="109"/>
  <c r="X62" i="109" s="1"/>
  <c r="Z62" i="109" s="1"/>
  <c r="L62" i="109"/>
  <c r="N62" i="109" s="1"/>
  <c r="H62" i="109"/>
  <c r="D62" i="109"/>
  <c r="B62" i="109"/>
  <c r="Z61" i="109"/>
  <c r="X61" i="109"/>
  <c r="N61" i="109"/>
  <c r="L61" i="109"/>
  <c r="J61" i="109"/>
  <c r="B61" i="109"/>
  <c r="Z60" i="109"/>
  <c r="X60" i="109"/>
  <c r="N60" i="109"/>
  <c r="L60" i="109"/>
  <c r="B60" i="109"/>
  <c r="Z59" i="109"/>
  <c r="X59" i="109"/>
  <c r="N59" i="109"/>
  <c r="L59" i="109"/>
  <c r="B59" i="109"/>
  <c r="Z58" i="109"/>
  <c r="X58" i="109"/>
  <c r="N58" i="109"/>
  <c r="L58" i="109"/>
  <c r="J58" i="109"/>
  <c r="B58" i="109"/>
  <c r="T57" i="109"/>
  <c r="P57" i="109"/>
  <c r="H57" i="109"/>
  <c r="D57" i="109"/>
  <c r="L57" i="109" s="1"/>
  <c r="N57" i="109" s="1"/>
  <c r="B57" i="109"/>
  <c r="Z56" i="109"/>
  <c r="X56" i="109"/>
  <c r="L56" i="109"/>
  <c r="N56" i="109" s="1"/>
  <c r="B56" i="109"/>
  <c r="T55" i="109"/>
  <c r="R55" i="109"/>
  <c r="P55" i="109"/>
  <c r="N55" i="109"/>
  <c r="H55" i="109"/>
  <c r="D55" i="109"/>
  <c r="L55" i="109" s="1"/>
  <c r="B55" i="109"/>
  <c r="Z54" i="109"/>
  <c r="X54" i="109"/>
  <c r="L54" i="109"/>
  <c r="N54" i="109" s="1"/>
  <c r="B54" i="109"/>
  <c r="T53" i="109"/>
  <c r="P53" i="109"/>
  <c r="X53" i="109" s="1"/>
  <c r="N53" i="109"/>
  <c r="L53" i="109"/>
  <c r="H53" i="109"/>
  <c r="D53" i="109"/>
  <c r="B53" i="109"/>
  <c r="X52" i="109"/>
  <c r="Z52" i="109" s="1"/>
  <c r="N52" i="109"/>
  <c r="L52" i="109"/>
  <c r="B52" i="109"/>
  <c r="T51" i="109"/>
  <c r="P51" i="109"/>
  <c r="H51" i="109"/>
  <c r="D51" i="109"/>
  <c r="B51" i="109"/>
  <c r="Z50" i="109"/>
  <c r="X50" i="109"/>
  <c r="V50" i="109"/>
  <c r="L50" i="109"/>
  <c r="N50" i="109" s="1"/>
  <c r="B50" i="109"/>
  <c r="Z49" i="109"/>
  <c r="X49" i="109"/>
  <c r="V49" i="109"/>
  <c r="N49" i="109"/>
  <c r="L49" i="109"/>
  <c r="J49" i="109"/>
  <c r="B49" i="109"/>
  <c r="T48" i="109"/>
  <c r="P48" i="109"/>
  <c r="H48" i="109"/>
  <c r="D48" i="109"/>
  <c r="L48" i="109" s="1"/>
  <c r="B48" i="109"/>
  <c r="Z47" i="109"/>
  <c r="X47" i="109"/>
  <c r="N47" i="109"/>
  <c r="L47" i="109"/>
  <c r="B47" i="109"/>
  <c r="X46" i="109"/>
  <c r="V46" i="109"/>
  <c r="T46" i="109"/>
  <c r="P46" i="109"/>
  <c r="H46" i="109"/>
  <c r="D46" i="109"/>
  <c r="L46" i="109" s="1"/>
  <c r="N46" i="109" s="1"/>
  <c r="B46" i="109"/>
  <c r="Z45" i="109"/>
  <c r="X45" i="109"/>
  <c r="V45" i="109"/>
  <c r="N45" i="109"/>
  <c r="L45" i="109"/>
  <c r="B45" i="109"/>
  <c r="T44" i="109"/>
  <c r="V44" i="109" s="1"/>
  <c r="P44" i="109"/>
  <c r="H44" i="109"/>
  <c r="L44" i="109" s="1"/>
  <c r="N44" i="109" s="1"/>
  <c r="D44" i="109"/>
  <c r="B44" i="109"/>
  <c r="X43" i="109"/>
  <c r="Z43" i="109" s="1"/>
  <c r="R43" i="109"/>
  <c r="L43" i="109"/>
  <c r="N43" i="109" s="1"/>
  <c r="B43" i="109"/>
  <c r="T42" i="109"/>
  <c r="P42" i="109"/>
  <c r="H42" i="109"/>
  <c r="D42" i="109"/>
  <c r="L42" i="109" s="1"/>
  <c r="B42" i="109"/>
  <c r="Z41" i="109"/>
  <c r="X41" i="109"/>
  <c r="V41" i="109"/>
  <c r="N41" i="109"/>
  <c r="L41" i="109"/>
  <c r="B41" i="109"/>
  <c r="Z40" i="109"/>
  <c r="X40" i="109"/>
  <c r="N40" i="109"/>
  <c r="L40" i="109"/>
  <c r="J40" i="109"/>
  <c r="F40" i="109"/>
  <c r="B40" i="109"/>
  <c r="Z39" i="109"/>
  <c r="X39" i="109"/>
  <c r="N39" i="109"/>
  <c r="L39" i="109"/>
  <c r="B39" i="109"/>
  <c r="Z38" i="109"/>
  <c r="X38" i="109"/>
  <c r="V38" i="109"/>
  <c r="N38" i="109"/>
  <c r="L38" i="109"/>
  <c r="B38" i="109"/>
  <c r="Z37" i="109"/>
  <c r="X37" i="109"/>
  <c r="V37" i="109"/>
  <c r="N37" i="109"/>
  <c r="L37" i="109"/>
  <c r="J37" i="109"/>
  <c r="B37" i="109"/>
  <c r="Z36" i="109"/>
  <c r="X36" i="109"/>
  <c r="N36" i="109"/>
  <c r="L36" i="109"/>
  <c r="J36" i="109"/>
  <c r="B36" i="109"/>
  <c r="X35" i="109"/>
  <c r="Z35" i="109" s="1"/>
  <c r="V35" i="109"/>
  <c r="L35" i="109"/>
  <c r="N35" i="109" s="1"/>
  <c r="B35" i="109"/>
  <c r="Z34" i="109"/>
  <c r="X34" i="109"/>
  <c r="V34" i="109"/>
  <c r="N34" i="109"/>
  <c r="L34" i="109"/>
  <c r="B34" i="109"/>
  <c r="X33" i="109"/>
  <c r="Z33" i="109" s="1"/>
  <c r="V33" i="109"/>
  <c r="L33" i="109"/>
  <c r="N33" i="109" s="1"/>
  <c r="B33" i="109"/>
  <c r="X32" i="109"/>
  <c r="Z32" i="109" s="1"/>
  <c r="L32" i="109"/>
  <c r="N32" i="109" s="1"/>
  <c r="J32" i="109"/>
  <c r="B32" i="109"/>
  <c r="T31" i="109"/>
  <c r="P31" i="109"/>
  <c r="X31" i="109" s="1"/>
  <c r="Z31" i="109" s="1"/>
  <c r="H31" i="109"/>
  <c r="D31" i="109"/>
  <c r="L31" i="109" s="1"/>
  <c r="B31" i="109"/>
  <c r="X30" i="109"/>
  <c r="Z30" i="109" s="1"/>
  <c r="N30" i="109"/>
  <c r="L30" i="109"/>
  <c r="B30" i="109"/>
  <c r="X29" i="109"/>
  <c r="Z29" i="109" s="1"/>
  <c r="N29" i="109"/>
  <c r="L29" i="109"/>
  <c r="J29" i="109"/>
  <c r="B29" i="109"/>
  <c r="X28" i="109"/>
  <c r="Z28" i="109" s="1"/>
  <c r="V28" i="109"/>
  <c r="N28" i="109"/>
  <c r="L28" i="109"/>
  <c r="B28" i="109"/>
  <c r="Z27" i="109"/>
  <c r="X27" i="109"/>
  <c r="R27" i="109"/>
  <c r="N27" i="109"/>
  <c r="L27" i="109"/>
  <c r="J27" i="109"/>
  <c r="B27" i="109"/>
  <c r="Z26" i="109"/>
  <c r="X26" i="109"/>
  <c r="N26" i="109"/>
  <c r="L26" i="109"/>
  <c r="J26" i="109"/>
  <c r="B26" i="109"/>
  <c r="X25" i="109"/>
  <c r="Z25" i="109" s="1"/>
  <c r="V25" i="109"/>
  <c r="L25" i="109"/>
  <c r="N25" i="109" s="1"/>
  <c r="B25" i="109"/>
  <c r="Z24" i="109"/>
  <c r="X24" i="109"/>
  <c r="V24" i="109"/>
  <c r="L24" i="109"/>
  <c r="N24" i="109" s="1"/>
  <c r="B24" i="109"/>
  <c r="X23" i="109"/>
  <c r="Z23" i="109" s="1"/>
  <c r="N23" i="109"/>
  <c r="L23" i="109"/>
  <c r="J23" i="109"/>
  <c r="B23" i="109"/>
  <c r="Z22" i="109"/>
  <c r="X22" i="109"/>
  <c r="N22" i="109"/>
  <c r="L22" i="109"/>
  <c r="J22" i="109"/>
  <c r="F22" i="109"/>
  <c r="B22" i="109"/>
  <c r="X21" i="109"/>
  <c r="Z21" i="109" s="1"/>
  <c r="V21" i="109"/>
  <c r="N21" i="109"/>
  <c r="L21" i="109"/>
  <c r="B21" i="109"/>
  <c r="T20" i="109"/>
  <c r="P20" i="109"/>
  <c r="N20" i="109"/>
  <c r="L20" i="109"/>
  <c r="H20" i="109"/>
  <c r="D20" i="109"/>
  <c r="B20" i="109"/>
  <c r="T19" i="109"/>
  <c r="R19" i="109"/>
  <c r="P19" i="109"/>
  <c r="H19" i="109"/>
  <c r="D19" i="109"/>
  <c r="L19" i="109" s="1"/>
  <c r="Z15" i="109"/>
  <c r="X15" i="109"/>
  <c r="V15" i="109"/>
  <c r="T15" i="109"/>
  <c r="T17" i="109" s="1"/>
  <c r="P15" i="109"/>
  <c r="N15" i="109"/>
  <c r="L15" i="109"/>
  <c r="H15" i="109"/>
  <c r="D15" i="109"/>
  <c r="P13" i="109"/>
  <c r="P12" i="109" s="1"/>
  <c r="R53" i="109" s="1"/>
  <c r="L13" i="109"/>
  <c r="N13" i="109" s="1"/>
  <c r="D13" i="109"/>
  <c r="D12" i="109" s="1"/>
  <c r="F58" i="109" s="1"/>
  <c r="B13" i="109"/>
  <c r="T12" i="109"/>
  <c r="V69" i="109" s="1"/>
  <c r="H12" i="109"/>
  <c r="J69" i="109" s="1"/>
  <c r="D6" i="109"/>
  <c r="D4" i="109"/>
  <c r="V31" i="108"/>
  <c r="R31" i="108"/>
  <c r="F31" i="108"/>
  <c r="R28" i="108"/>
  <c r="Z26" i="108"/>
  <c r="X26" i="108"/>
  <c r="V26" i="108"/>
  <c r="R26" i="108"/>
  <c r="N26" i="108"/>
  <c r="L26" i="108"/>
  <c r="J26" i="108"/>
  <c r="J24" i="108"/>
  <c r="F24" i="108"/>
  <c r="Z22" i="108"/>
  <c r="P22" i="108"/>
  <c r="N22" i="108"/>
  <c r="L22" i="108"/>
  <c r="J22" i="108"/>
  <c r="F22" i="108"/>
  <c r="D22" i="108"/>
  <c r="B22" i="108"/>
  <c r="Z21" i="108"/>
  <c r="P21" i="108"/>
  <c r="X21" i="108" s="1"/>
  <c r="N21" i="108"/>
  <c r="L21" i="108"/>
  <c r="J21" i="108"/>
  <c r="F21" i="108"/>
  <c r="D21" i="108"/>
  <c r="D20" i="108" s="1"/>
  <c r="D24" i="108" s="1"/>
  <c r="D28" i="108" s="1"/>
  <c r="B21" i="108"/>
  <c r="Z20" i="108"/>
  <c r="T20" i="108"/>
  <c r="N20" i="108"/>
  <c r="L20" i="108"/>
  <c r="J20" i="108"/>
  <c r="H20" i="108"/>
  <c r="F20" i="108"/>
  <c r="Z18" i="108"/>
  <c r="X18" i="108"/>
  <c r="V18" i="108"/>
  <c r="T18" i="108"/>
  <c r="P18" i="108"/>
  <c r="J18" i="108"/>
  <c r="H18" i="108"/>
  <c r="N18" i="108" s="1"/>
  <c r="F18" i="108"/>
  <c r="D18" i="108"/>
  <c r="V16" i="108"/>
  <c r="J16" i="108"/>
  <c r="H16" i="108"/>
  <c r="F16" i="108"/>
  <c r="V14" i="108"/>
  <c r="T14" i="108"/>
  <c r="P14" i="108"/>
  <c r="J14" i="108"/>
  <c r="H14" i="108"/>
  <c r="F14" i="108"/>
  <c r="D14" i="108"/>
  <c r="Z12" i="108"/>
  <c r="X12" i="108"/>
  <c r="T12" i="108"/>
  <c r="P12" i="108"/>
  <c r="N12" i="108"/>
  <c r="H12" i="108"/>
  <c r="J31" i="108" s="1"/>
  <c r="D12" i="108"/>
  <c r="D16" i="108" s="1"/>
  <c r="D6" i="108"/>
  <c r="D4" i="108"/>
  <c r="Z88" i="107"/>
  <c r="X88" i="107"/>
  <c r="L88" i="107"/>
  <c r="N88" i="107" s="1"/>
  <c r="Z84" i="107"/>
  <c r="X84" i="107"/>
  <c r="T84" i="107"/>
  <c r="P84" i="107"/>
  <c r="N84" i="107"/>
  <c r="L84" i="107"/>
  <c r="H84" i="107"/>
  <c r="D84" i="107"/>
  <c r="Z82" i="107"/>
  <c r="X82" i="107"/>
  <c r="N82" i="107"/>
  <c r="L82" i="107"/>
  <c r="B82" i="107"/>
  <c r="T81" i="107"/>
  <c r="X81" i="107" s="1"/>
  <c r="Z81" i="107" s="1"/>
  <c r="P81" i="107"/>
  <c r="H81" i="107"/>
  <c r="D81" i="107"/>
  <c r="B81" i="107"/>
  <c r="Z80" i="107"/>
  <c r="X80" i="107"/>
  <c r="V80" i="107"/>
  <c r="N80" i="107"/>
  <c r="L80" i="107"/>
  <c r="B80" i="107"/>
  <c r="X79" i="107"/>
  <c r="Z79" i="107" s="1"/>
  <c r="N79" i="107"/>
  <c r="L79" i="107"/>
  <c r="B79" i="107"/>
  <c r="T78" i="107"/>
  <c r="P78" i="107"/>
  <c r="X78" i="107" s="1"/>
  <c r="H78" i="107"/>
  <c r="D78" i="107"/>
  <c r="L78" i="107" s="1"/>
  <c r="B78" i="107"/>
  <c r="X77" i="107"/>
  <c r="Z77" i="107" s="1"/>
  <c r="N77" i="107"/>
  <c r="L77" i="107"/>
  <c r="B77" i="107"/>
  <c r="Z76" i="107"/>
  <c r="X76" i="107"/>
  <c r="N76" i="107"/>
  <c r="L76" i="107"/>
  <c r="B76" i="107"/>
  <c r="Z75" i="107"/>
  <c r="X75" i="107"/>
  <c r="N75" i="107"/>
  <c r="L75" i="107"/>
  <c r="B75" i="107"/>
  <c r="Z74" i="107"/>
  <c r="X74" i="107"/>
  <c r="V74" i="107"/>
  <c r="N74" i="107"/>
  <c r="L74" i="107"/>
  <c r="B74" i="107"/>
  <c r="X73" i="107"/>
  <c r="Z73" i="107" s="1"/>
  <c r="L73" i="107"/>
  <c r="N73" i="107" s="1"/>
  <c r="B73" i="107"/>
  <c r="Z72" i="107"/>
  <c r="X72" i="107"/>
  <c r="L72" i="107"/>
  <c r="N72" i="107" s="1"/>
  <c r="B72" i="107"/>
  <c r="X71" i="107"/>
  <c r="Z71" i="107" s="1"/>
  <c r="L71" i="107"/>
  <c r="N71" i="107" s="1"/>
  <c r="B71" i="107"/>
  <c r="X70" i="107"/>
  <c r="T70" i="107"/>
  <c r="Z70" i="107" s="1"/>
  <c r="P70" i="107"/>
  <c r="H70" i="107"/>
  <c r="D70" i="107"/>
  <c r="L70" i="107" s="1"/>
  <c r="N70" i="107" s="1"/>
  <c r="B70" i="107"/>
  <c r="X69" i="107"/>
  <c r="Z69" i="107" s="1"/>
  <c r="N69" i="107"/>
  <c r="L69" i="107"/>
  <c r="B69" i="107"/>
  <c r="X68" i="107"/>
  <c r="Z68" i="107" s="1"/>
  <c r="V68" i="107"/>
  <c r="L68" i="107"/>
  <c r="N68" i="107" s="1"/>
  <c r="B68" i="107"/>
  <c r="X67" i="107"/>
  <c r="Z67" i="107" s="1"/>
  <c r="L67" i="107"/>
  <c r="N67" i="107" s="1"/>
  <c r="B67" i="107"/>
  <c r="X66" i="107"/>
  <c r="T66" i="107"/>
  <c r="Z66" i="107" s="1"/>
  <c r="P66" i="107"/>
  <c r="H66" i="107"/>
  <c r="D66" i="107"/>
  <c r="L66" i="107" s="1"/>
  <c r="B66" i="107"/>
  <c r="X65" i="107"/>
  <c r="Z65" i="107" s="1"/>
  <c r="N65" i="107"/>
  <c r="L65" i="107"/>
  <c r="B65" i="107"/>
  <c r="X64" i="107"/>
  <c r="Z64" i="107" s="1"/>
  <c r="T64" i="107"/>
  <c r="P64" i="107"/>
  <c r="H64" i="107"/>
  <c r="N64" i="107" s="1"/>
  <c r="D64" i="107"/>
  <c r="L64" i="107" s="1"/>
  <c r="B64" i="107"/>
  <c r="X63" i="107"/>
  <c r="Z63" i="107" s="1"/>
  <c r="V63" i="107"/>
  <c r="L63" i="107"/>
  <c r="N63" i="107" s="1"/>
  <c r="B63" i="107"/>
  <c r="T62" i="107"/>
  <c r="Z62" i="107" s="1"/>
  <c r="P62" i="107"/>
  <c r="X62" i="107" s="1"/>
  <c r="L62" i="107"/>
  <c r="N62" i="107" s="1"/>
  <c r="H62" i="107"/>
  <c r="D62" i="107"/>
  <c r="B62" i="107"/>
  <c r="X61" i="107"/>
  <c r="Z61" i="107" s="1"/>
  <c r="L61" i="107"/>
  <c r="N61" i="107" s="1"/>
  <c r="B61" i="107"/>
  <c r="T60" i="107"/>
  <c r="P60" i="107"/>
  <c r="X60" i="107" s="1"/>
  <c r="H60" i="107"/>
  <c r="D60" i="107"/>
  <c r="B60" i="107"/>
  <c r="X59" i="107"/>
  <c r="Z59" i="107" s="1"/>
  <c r="N59" i="107"/>
  <c r="L59" i="107"/>
  <c r="B59" i="107"/>
  <c r="T58" i="107"/>
  <c r="P58" i="107"/>
  <c r="H58" i="107"/>
  <c r="D58" i="107"/>
  <c r="L58" i="107" s="1"/>
  <c r="N58" i="107" s="1"/>
  <c r="B58" i="107"/>
  <c r="Z57" i="107"/>
  <c r="X57" i="107"/>
  <c r="V57" i="107"/>
  <c r="N57" i="107"/>
  <c r="L57" i="107"/>
  <c r="B57" i="107"/>
  <c r="Z56" i="107"/>
  <c r="T56" i="107"/>
  <c r="P56" i="107"/>
  <c r="X56" i="107" s="1"/>
  <c r="N56" i="107"/>
  <c r="H56" i="107"/>
  <c r="L56" i="107" s="1"/>
  <c r="D56" i="107"/>
  <c r="B56" i="107"/>
  <c r="X55" i="107"/>
  <c r="Z55" i="107" s="1"/>
  <c r="L55" i="107"/>
  <c r="N55" i="107" s="1"/>
  <c r="J55" i="107"/>
  <c r="B55" i="107"/>
  <c r="X54" i="107"/>
  <c r="T54" i="107"/>
  <c r="Z54" i="107" s="1"/>
  <c r="P54" i="107"/>
  <c r="H54" i="107"/>
  <c r="D54" i="107"/>
  <c r="L54" i="107" s="1"/>
  <c r="B54" i="107"/>
  <c r="X53" i="107"/>
  <c r="Z53" i="107" s="1"/>
  <c r="N53" i="107"/>
  <c r="L53" i="107"/>
  <c r="B53" i="107"/>
  <c r="X52" i="107"/>
  <c r="Z52" i="107" s="1"/>
  <c r="T52" i="107"/>
  <c r="P52" i="107"/>
  <c r="L52" i="107"/>
  <c r="N52" i="107" s="1"/>
  <c r="H52" i="107"/>
  <c r="D52" i="107"/>
  <c r="B52" i="107"/>
  <c r="Z51" i="107"/>
  <c r="X51" i="107"/>
  <c r="N51" i="107"/>
  <c r="L51" i="107"/>
  <c r="B51" i="107"/>
  <c r="T50" i="107"/>
  <c r="P50" i="107"/>
  <c r="X50" i="107" s="1"/>
  <c r="H50" i="107"/>
  <c r="D50" i="107"/>
  <c r="L50" i="107" s="1"/>
  <c r="N50" i="107" s="1"/>
  <c r="B50" i="107"/>
  <c r="X49" i="107"/>
  <c r="Z49" i="107" s="1"/>
  <c r="L49" i="107"/>
  <c r="N49" i="107" s="1"/>
  <c r="B49" i="107"/>
  <c r="T48" i="107"/>
  <c r="P48" i="107"/>
  <c r="X48" i="107" s="1"/>
  <c r="L48" i="107"/>
  <c r="H48" i="107"/>
  <c r="D48" i="107"/>
  <c r="B48" i="107"/>
  <c r="X47" i="107"/>
  <c r="Z47" i="107" s="1"/>
  <c r="V47" i="107"/>
  <c r="L47" i="107"/>
  <c r="N47" i="107" s="1"/>
  <c r="J47" i="107"/>
  <c r="B47" i="107"/>
  <c r="T46" i="107"/>
  <c r="Z46" i="107" s="1"/>
  <c r="P46" i="107"/>
  <c r="X46" i="107" s="1"/>
  <c r="H46" i="107"/>
  <c r="D46" i="107"/>
  <c r="L46" i="107" s="1"/>
  <c r="N46" i="107" s="1"/>
  <c r="B46" i="107"/>
  <c r="Z45" i="107"/>
  <c r="X45" i="107"/>
  <c r="V45" i="107"/>
  <c r="L45" i="107"/>
  <c r="N45" i="107" s="1"/>
  <c r="B45" i="107"/>
  <c r="X44" i="107"/>
  <c r="Z44" i="107" s="1"/>
  <c r="V44" i="107"/>
  <c r="T44" i="107"/>
  <c r="P44" i="107"/>
  <c r="H44" i="107"/>
  <c r="N44" i="107" s="1"/>
  <c r="D44" i="107"/>
  <c r="L44" i="107" s="1"/>
  <c r="B44" i="107"/>
  <c r="Z43" i="107"/>
  <c r="X43" i="107"/>
  <c r="N43" i="107"/>
  <c r="L43" i="107"/>
  <c r="B43" i="107"/>
  <c r="Z42" i="107"/>
  <c r="X42" i="107"/>
  <c r="V42" i="107"/>
  <c r="N42" i="107"/>
  <c r="L42" i="107"/>
  <c r="B42" i="107"/>
  <c r="X41" i="107"/>
  <c r="Z41" i="107" s="1"/>
  <c r="L41" i="107"/>
  <c r="N41" i="107" s="1"/>
  <c r="J41" i="107"/>
  <c r="B41" i="107"/>
  <c r="X40" i="107"/>
  <c r="Z40" i="107" s="1"/>
  <c r="N40" i="107"/>
  <c r="L40" i="107"/>
  <c r="B40" i="107"/>
  <c r="Z39" i="107"/>
  <c r="X39" i="107"/>
  <c r="V39" i="107"/>
  <c r="N39" i="107"/>
  <c r="L39" i="107"/>
  <c r="B39" i="107"/>
  <c r="X38" i="107"/>
  <c r="Z38" i="107" s="1"/>
  <c r="V38" i="107"/>
  <c r="N38" i="107"/>
  <c r="L38" i="107"/>
  <c r="B38" i="107"/>
  <c r="X37" i="107"/>
  <c r="Z37" i="107" s="1"/>
  <c r="L37" i="107"/>
  <c r="N37" i="107" s="1"/>
  <c r="J37" i="107"/>
  <c r="B37" i="107"/>
  <c r="Z36" i="107"/>
  <c r="X36" i="107"/>
  <c r="N36" i="107"/>
  <c r="L36" i="107"/>
  <c r="B36" i="107"/>
  <c r="Z35" i="107"/>
  <c r="X35" i="107"/>
  <c r="V35" i="107"/>
  <c r="N35" i="107"/>
  <c r="L35" i="107"/>
  <c r="B35" i="107"/>
  <c r="Z34" i="107"/>
  <c r="X34" i="107"/>
  <c r="V34" i="107"/>
  <c r="N34" i="107"/>
  <c r="L34" i="107"/>
  <c r="B34" i="107"/>
  <c r="T33" i="107"/>
  <c r="P33" i="107"/>
  <c r="X33" i="107" s="1"/>
  <c r="N33" i="107"/>
  <c r="L33" i="107"/>
  <c r="H33" i="107"/>
  <c r="D33" i="107"/>
  <c r="B33" i="107"/>
  <c r="Z32" i="107"/>
  <c r="X32" i="107"/>
  <c r="V32" i="107"/>
  <c r="N32" i="107"/>
  <c r="L32" i="107"/>
  <c r="B32" i="107"/>
  <c r="Z31" i="107"/>
  <c r="X31" i="107"/>
  <c r="L31" i="107"/>
  <c r="N31" i="107" s="1"/>
  <c r="B31" i="107"/>
  <c r="Z30" i="107"/>
  <c r="X30" i="107"/>
  <c r="L30" i="107"/>
  <c r="N30" i="107" s="1"/>
  <c r="B30" i="107"/>
  <c r="Z29" i="107"/>
  <c r="X29" i="107"/>
  <c r="V29" i="107"/>
  <c r="N29" i="107"/>
  <c r="L29" i="107"/>
  <c r="B29" i="107"/>
  <c r="Z28" i="107"/>
  <c r="X28" i="107"/>
  <c r="V28" i="107"/>
  <c r="N28" i="107"/>
  <c r="L28" i="107"/>
  <c r="B28" i="107"/>
  <c r="Z27" i="107"/>
  <c r="X27" i="107"/>
  <c r="V27" i="107"/>
  <c r="L27" i="107"/>
  <c r="N27" i="107" s="1"/>
  <c r="B27" i="107"/>
  <c r="Z26" i="107"/>
  <c r="X26" i="107"/>
  <c r="L26" i="107"/>
  <c r="N26" i="107" s="1"/>
  <c r="B26" i="107"/>
  <c r="X25" i="107"/>
  <c r="Z25" i="107" s="1"/>
  <c r="V25" i="107"/>
  <c r="N25" i="107"/>
  <c r="L25" i="107"/>
  <c r="B25" i="107"/>
  <c r="Z24" i="107"/>
  <c r="X24" i="107"/>
  <c r="V24" i="107"/>
  <c r="L24" i="107"/>
  <c r="N24" i="107" s="1"/>
  <c r="B24" i="107"/>
  <c r="Z23" i="107"/>
  <c r="X23" i="107"/>
  <c r="V23" i="107"/>
  <c r="L23" i="107"/>
  <c r="N23" i="107" s="1"/>
  <c r="B23" i="107"/>
  <c r="Z22" i="107"/>
  <c r="T22" i="107"/>
  <c r="X22" i="107" s="1"/>
  <c r="P22" i="107"/>
  <c r="H22" i="107"/>
  <c r="D22" i="107"/>
  <c r="L22" i="107" s="1"/>
  <c r="N22" i="107" s="1"/>
  <c r="B22" i="107"/>
  <c r="V21" i="107"/>
  <c r="T21" i="107"/>
  <c r="P21" i="107"/>
  <c r="X21" i="107" s="1"/>
  <c r="Z21" i="107" s="1"/>
  <c r="H21" i="107"/>
  <c r="D21" i="107"/>
  <c r="Z17" i="107"/>
  <c r="X17" i="107"/>
  <c r="V17" i="107"/>
  <c r="L17" i="107"/>
  <c r="N17" i="107" s="1"/>
  <c r="B17" i="107"/>
  <c r="Z16" i="107"/>
  <c r="X16" i="107"/>
  <c r="V16" i="107"/>
  <c r="T16" i="107"/>
  <c r="P16" i="107"/>
  <c r="H16" i="107"/>
  <c r="D16" i="107"/>
  <c r="L16" i="107" s="1"/>
  <c r="N16" i="107" s="1"/>
  <c r="Z14" i="107"/>
  <c r="P14" i="107"/>
  <c r="N14" i="107"/>
  <c r="D14" i="107"/>
  <c r="L14" i="107" s="1"/>
  <c r="B14" i="107"/>
  <c r="X13" i="107"/>
  <c r="Z13" i="107" s="1"/>
  <c r="P13" i="107"/>
  <c r="D13" i="107"/>
  <c r="B13" i="107"/>
  <c r="T12" i="107"/>
  <c r="H12" i="107"/>
  <c r="D6" i="107"/>
  <c r="D4" i="107"/>
  <c r="X98" i="105"/>
  <c r="Z98" i="105" s="1"/>
  <c r="L98" i="105"/>
  <c r="N98" i="105" s="1"/>
  <c r="Z94" i="105"/>
  <c r="T94" i="105"/>
  <c r="P94" i="105"/>
  <c r="X94" i="105" s="1"/>
  <c r="H94" i="105"/>
  <c r="N94" i="105" s="1"/>
  <c r="D94" i="105"/>
  <c r="Z92" i="105"/>
  <c r="X92" i="105"/>
  <c r="L92" i="105"/>
  <c r="N92" i="105" s="1"/>
  <c r="J92" i="105"/>
  <c r="B92" i="105"/>
  <c r="X91" i="105"/>
  <c r="T91" i="105"/>
  <c r="Z91" i="105" s="1"/>
  <c r="P91" i="105"/>
  <c r="H91" i="105"/>
  <c r="D91" i="105"/>
  <c r="B91" i="105"/>
  <c r="Z90" i="105"/>
  <c r="X90" i="105"/>
  <c r="V90" i="105"/>
  <c r="N90" i="105"/>
  <c r="L90" i="105"/>
  <c r="B90" i="105"/>
  <c r="X89" i="105"/>
  <c r="Z89" i="105" s="1"/>
  <c r="L89" i="105"/>
  <c r="N89" i="105" s="1"/>
  <c r="B89" i="105"/>
  <c r="V88" i="105"/>
  <c r="T88" i="105"/>
  <c r="P88" i="105"/>
  <c r="X88" i="105" s="1"/>
  <c r="Z88" i="105" s="1"/>
  <c r="L88" i="105"/>
  <c r="N88" i="105" s="1"/>
  <c r="H88" i="105"/>
  <c r="D88" i="105"/>
  <c r="B88" i="105"/>
  <c r="Z87" i="105"/>
  <c r="X87" i="105"/>
  <c r="L87" i="105"/>
  <c r="N87" i="105" s="1"/>
  <c r="B87" i="105"/>
  <c r="X86" i="105"/>
  <c r="Z86" i="105" s="1"/>
  <c r="N86" i="105"/>
  <c r="L86" i="105"/>
  <c r="B86" i="105"/>
  <c r="X85" i="105"/>
  <c r="Z85" i="105" s="1"/>
  <c r="N85" i="105"/>
  <c r="L85" i="105"/>
  <c r="B85" i="105"/>
  <c r="X84" i="105"/>
  <c r="Z84" i="105" s="1"/>
  <c r="N84" i="105"/>
  <c r="L84" i="105"/>
  <c r="B84" i="105"/>
  <c r="Z83" i="105"/>
  <c r="X83" i="105"/>
  <c r="N83" i="105"/>
  <c r="L83" i="105"/>
  <c r="B83" i="105"/>
  <c r="X82" i="105"/>
  <c r="Z82" i="105" s="1"/>
  <c r="N82" i="105"/>
  <c r="L82" i="105"/>
  <c r="B82" i="105"/>
  <c r="X81" i="105"/>
  <c r="Z81" i="105" s="1"/>
  <c r="N81" i="105"/>
  <c r="L81" i="105"/>
  <c r="J81" i="105"/>
  <c r="B81" i="105"/>
  <c r="Z80" i="105"/>
  <c r="X80" i="105"/>
  <c r="L80" i="105"/>
  <c r="N80" i="105" s="1"/>
  <c r="B80" i="105"/>
  <c r="X79" i="105"/>
  <c r="Z79" i="105" s="1"/>
  <c r="L79" i="105"/>
  <c r="N79" i="105" s="1"/>
  <c r="B79" i="105"/>
  <c r="T78" i="105"/>
  <c r="P78" i="105"/>
  <c r="L78" i="105"/>
  <c r="J78" i="105"/>
  <c r="H78" i="105"/>
  <c r="N78" i="105" s="1"/>
  <c r="D78" i="105"/>
  <c r="B78" i="105"/>
  <c r="Z77" i="105"/>
  <c r="X77" i="105"/>
  <c r="N77" i="105"/>
  <c r="L77" i="105"/>
  <c r="J77" i="105"/>
  <c r="B77" i="105"/>
  <c r="Z76" i="105"/>
  <c r="T76" i="105"/>
  <c r="X76" i="105" s="1"/>
  <c r="P76" i="105"/>
  <c r="H76" i="105"/>
  <c r="N76" i="105" s="1"/>
  <c r="D76" i="105"/>
  <c r="L76" i="105" s="1"/>
  <c r="B76" i="105"/>
  <c r="Z75" i="105"/>
  <c r="X75" i="105"/>
  <c r="L75" i="105"/>
  <c r="N75" i="105" s="1"/>
  <c r="B75" i="105"/>
  <c r="Z74" i="105"/>
  <c r="X74" i="105"/>
  <c r="V74" i="105"/>
  <c r="L74" i="105"/>
  <c r="N74" i="105" s="1"/>
  <c r="J74" i="105"/>
  <c r="B74" i="105"/>
  <c r="Z73" i="105"/>
  <c r="X73" i="105"/>
  <c r="N73" i="105"/>
  <c r="L73" i="105"/>
  <c r="J73" i="105"/>
  <c r="B73" i="105"/>
  <c r="X72" i="105"/>
  <c r="Z72" i="105" s="1"/>
  <c r="N72" i="105"/>
  <c r="L72" i="105"/>
  <c r="B72" i="105"/>
  <c r="T71" i="105"/>
  <c r="P71" i="105"/>
  <c r="L71" i="105"/>
  <c r="H71" i="105"/>
  <c r="D71" i="105"/>
  <c r="B71" i="105"/>
  <c r="X70" i="105"/>
  <c r="Z70" i="105" s="1"/>
  <c r="N70" i="105"/>
  <c r="L70" i="105"/>
  <c r="B70" i="105"/>
  <c r="Z69" i="105"/>
  <c r="X69" i="105"/>
  <c r="N69" i="105"/>
  <c r="L69" i="105"/>
  <c r="B69" i="105"/>
  <c r="Z68" i="105"/>
  <c r="X68" i="105"/>
  <c r="V68" i="105"/>
  <c r="N68" i="105"/>
  <c r="L68" i="105"/>
  <c r="B68" i="105"/>
  <c r="X67" i="105"/>
  <c r="Z67" i="105" s="1"/>
  <c r="N67" i="105"/>
  <c r="L67" i="105"/>
  <c r="B67" i="105"/>
  <c r="X66" i="105"/>
  <c r="T66" i="105"/>
  <c r="P66" i="105"/>
  <c r="J66" i="105"/>
  <c r="H66" i="105"/>
  <c r="D66" i="105"/>
  <c r="B66" i="105"/>
  <c r="Z65" i="105"/>
  <c r="X65" i="105"/>
  <c r="L65" i="105"/>
  <c r="N65" i="105" s="1"/>
  <c r="B65" i="105"/>
  <c r="T64" i="105"/>
  <c r="P64" i="105"/>
  <c r="H64" i="105"/>
  <c r="D64" i="105"/>
  <c r="B64" i="105"/>
  <c r="X63" i="105"/>
  <c r="Z63" i="105" s="1"/>
  <c r="L63" i="105"/>
  <c r="N63" i="105" s="1"/>
  <c r="B63" i="105"/>
  <c r="T62" i="105"/>
  <c r="P62" i="105"/>
  <c r="N62" i="105"/>
  <c r="L62" i="105"/>
  <c r="J62" i="105"/>
  <c r="H62" i="105"/>
  <c r="D62" i="105"/>
  <c r="B62" i="105"/>
  <c r="Z61" i="105"/>
  <c r="X61" i="105"/>
  <c r="V61" i="105"/>
  <c r="L61" i="105"/>
  <c r="N61" i="105" s="1"/>
  <c r="B61" i="105"/>
  <c r="T60" i="105"/>
  <c r="Z60" i="105" s="1"/>
  <c r="P60" i="105"/>
  <c r="X60" i="105" s="1"/>
  <c r="N60" i="105"/>
  <c r="J60" i="105"/>
  <c r="H60" i="105"/>
  <c r="L60" i="105" s="1"/>
  <c r="D60" i="105"/>
  <c r="B60" i="105"/>
  <c r="Z59" i="105"/>
  <c r="X59" i="105"/>
  <c r="N59" i="105"/>
  <c r="L59" i="105"/>
  <c r="B59" i="105"/>
  <c r="T58" i="105"/>
  <c r="P58" i="105"/>
  <c r="X58" i="105" s="1"/>
  <c r="Z58" i="105" s="1"/>
  <c r="L58" i="105"/>
  <c r="J58" i="105"/>
  <c r="H58" i="105"/>
  <c r="N58" i="105" s="1"/>
  <c r="D58" i="105"/>
  <c r="B58" i="105"/>
  <c r="X57" i="105"/>
  <c r="Z57" i="105" s="1"/>
  <c r="N57" i="105"/>
  <c r="L57" i="105"/>
  <c r="J57" i="105"/>
  <c r="B57" i="105"/>
  <c r="Z56" i="105"/>
  <c r="X56" i="105"/>
  <c r="V56" i="105"/>
  <c r="T56" i="105"/>
  <c r="P56" i="105"/>
  <c r="H56" i="105"/>
  <c r="D56" i="105"/>
  <c r="B56" i="105"/>
  <c r="Z55" i="105"/>
  <c r="X55" i="105"/>
  <c r="N55" i="105"/>
  <c r="L55" i="105"/>
  <c r="B55" i="105"/>
  <c r="Z54" i="105"/>
  <c r="V54" i="105"/>
  <c r="T54" i="105"/>
  <c r="X54" i="105" s="1"/>
  <c r="P54" i="105"/>
  <c r="H54" i="105"/>
  <c r="N54" i="105" s="1"/>
  <c r="D54" i="105"/>
  <c r="L54" i="105" s="1"/>
  <c r="B54" i="105"/>
  <c r="X53" i="105"/>
  <c r="Z53" i="105" s="1"/>
  <c r="V53" i="105"/>
  <c r="L53" i="105"/>
  <c r="N53" i="105" s="1"/>
  <c r="B53" i="105"/>
  <c r="X52" i="105"/>
  <c r="V52" i="105"/>
  <c r="T52" i="105"/>
  <c r="P52" i="105"/>
  <c r="H52" i="105"/>
  <c r="D52" i="105"/>
  <c r="L52" i="105" s="1"/>
  <c r="N52" i="105" s="1"/>
  <c r="B52" i="105"/>
  <c r="Z51" i="105"/>
  <c r="X51" i="105"/>
  <c r="L51" i="105"/>
  <c r="N51" i="105" s="1"/>
  <c r="B51" i="105"/>
  <c r="T50" i="105"/>
  <c r="P50" i="105"/>
  <c r="N50" i="105"/>
  <c r="L50" i="105"/>
  <c r="J50" i="105"/>
  <c r="H50" i="105"/>
  <c r="D50" i="105"/>
  <c r="B50" i="105"/>
  <c r="Z49" i="105"/>
  <c r="X49" i="105"/>
  <c r="V49" i="105"/>
  <c r="L49" i="105"/>
  <c r="N49" i="105" s="1"/>
  <c r="J49" i="105"/>
  <c r="B49" i="105"/>
  <c r="T48" i="105"/>
  <c r="Z48" i="105" s="1"/>
  <c r="P48" i="105"/>
  <c r="X48" i="105" s="1"/>
  <c r="N48" i="105"/>
  <c r="J48" i="105"/>
  <c r="H48" i="105"/>
  <c r="L48" i="105" s="1"/>
  <c r="D48" i="105"/>
  <c r="B48" i="105"/>
  <c r="Z47" i="105"/>
  <c r="X47" i="105"/>
  <c r="N47" i="105"/>
  <c r="L47" i="105"/>
  <c r="B47" i="105"/>
  <c r="Z46" i="105"/>
  <c r="X46" i="105"/>
  <c r="N46" i="105"/>
  <c r="L46" i="105"/>
  <c r="B46" i="105"/>
  <c r="X45" i="105"/>
  <c r="Z45" i="105" s="1"/>
  <c r="V45" i="105"/>
  <c r="L45" i="105"/>
  <c r="N45" i="105" s="1"/>
  <c r="J45" i="105"/>
  <c r="B45" i="105"/>
  <c r="X44" i="105"/>
  <c r="Z44" i="105" s="1"/>
  <c r="V44" i="105"/>
  <c r="N44" i="105"/>
  <c r="L44" i="105"/>
  <c r="J44" i="105"/>
  <c r="B44" i="105"/>
  <c r="Z43" i="105"/>
  <c r="X43" i="105"/>
  <c r="N43" i="105"/>
  <c r="L43" i="105"/>
  <c r="B43" i="105"/>
  <c r="Z42" i="105"/>
  <c r="X42" i="105"/>
  <c r="L42" i="105"/>
  <c r="N42" i="105" s="1"/>
  <c r="B42" i="105"/>
  <c r="X41" i="105"/>
  <c r="Z41" i="105" s="1"/>
  <c r="V41" i="105"/>
  <c r="L41" i="105"/>
  <c r="N41" i="105" s="1"/>
  <c r="J41" i="105"/>
  <c r="B41" i="105"/>
  <c r="Z40" i="105"/>
  <c r="X40" i="105"/>
  <c r="V40" i="105"/>
  <c r="N40" i="105"/>
  <c r="L40" i="105"/>
  <c r="J40" i="105"/>
  <c r="B40" i="105"/>
  <c r="Z39" i="105"/>
  <c r="X39" i="105"/>
  <c r="L39" i="105"/>
  <c r="N39" i="105" s="1"/>
  <c r="B39" i="105"/>
  <c r="Z38" i="105"/>
  <c r="X38" i="105"/>
  <c r="N38" i="105"/>
  <c r="L38" i="105"/>
  <c r="B38" i="105"/>
  <c r="X37" i="105"/>
  <c r="V37" i="105"/>
  <c r="T37" i="105"/>
  <c r="P37" i="105"/>
  <c r="J37" i="105"/>
  <c r="H37" i="105"/>
  <c r="D37" i="105"/>
  <c r="L37" i="105" s="1"/>
  <c r="N37" i="105" s="1"/>
  <c r="B37" i="105"/>
  <c r="Z36" i="105"/>
  <c r="X36" i="105"/>
  <c r="V36" i="105"/>
  <c r="L36" i="105"/>
  <c r="N36" i="105" s="1"/>
  <c r="B36" i="105"/>
  <c r="X35" i="105"/>
  <c r="Z35" i="105" s="1"/>
  <c r="N35" i="105"/>
  <c r="L35" i="105"/>
  <c r="B35" i="105"/>
  <c r="X34" i="105"/>
  <c r="Z34" i="105" s="1"/>
  <c r="N34" i="105"/>
  <c r="L34" i="105"/>
  <c r="J34" i="105"/>
  <c r="B34" i="105"/>
  <c r="Z33" i="105"/>
  <c r="X33" i="105"/>
  <c r="V33" i="105"/>
  <c r="N33" i="105"/>
  <c r="L33" i="105"/>
  <c r="J33" i="105"/>
  <c r="B33" i="105"/>
  <c r="Z32" i="105"/>
  <c r="X32" i="105"/>
  <c r="V32" i="105"/>
  <c r="N32" i="105"/>
  <c r="L32" i="105"/>
  <c r="B32" i="105"/>
  <c r="X31" i="105"/>
  <c r="Z31" i="105" s="1"/>
  <c r="N31" i="105"/>
  <c r="L31" i="105"/>
  <c r="B31" i="105"/>
  <c r="X30" i="105"/>
  <c r="Z30" i="105" s="1"/>
  <c r="N30" i="105"/>
  <c r="L30" i="105"/>
  <c r="J30" i="105"/>
  <c r="B30" i="105"/>
  <c r="X29" i="105"/>
  <c r="Z29" i="105" s="1"/>
  <c r="V29" i="105"/>
  <c r="N29" i="105"/>
  <c r="L29" i="105"/>
  <c r="J29" i="105"/>
  <c r="B29" i="105"/>
  <c r="X28" i="105"/>
  <c r="Z28" i="105" s="1"/>
  <c r="V28" i="105"/>
  <c r="L28" i="105"/>
  <c r="N28" i="105" s="1"/>
  <c r="B28" i="105"/>
  <c r="X27" i="105"/>
  <c r="Z27" i="105" s="1"/>
  <c r="L27" i="105"/>
  <c r="N27" i="105" s="1"/>
  <c r="B27" i="105"/>
  <c r="T26" i="105"/>
  <c r="P26" i="105"/>
  <c r="L26" i="105"/>
  <c r="N26" i="105" s="1"/>
  <c r="J26" i="105"/>
  <c r="H26" i="105"/>
  <c r="D26" i="105"/>
  <c r="B26" i="105"/>
  <c r="T25" i="105"/>
  <c r="P25" i="105"/>
  <c r="N25" i="105"/>
  <c r="L25" i="105"/>
  <c r="H25" i="105"/>
  <c r="D25" i="105"/>
  <c r="Z21" i="105"/>
  <c r="X21" i="105"/>
  <c r="V21" i="105"/>
  <c r="N21" i="105"/>
  <c r="L21" i="105"/>
  <c r="J21" i="105"/>
  <c r="B21" i="105"/>
  <c r="Z20" i="105"/>
  <c r="X20" i="105"/>
  <c r="V20" i="105"/>
  <c r="N20" i="105"/>
  <c r="L20" i="105"/>
  <c r="J20" i="105"/>
  <c r="B20" i="105"/>
  <c r="X19" i="105"/>
  <c r="Z19" i="105" s="1"/>
  <c r="N19" i="105"/>
  <c r="L19" i="105"/>
  <c r="J19" i="105"/>
  <c r="B19" i="105"/>
  <c r="Z18" i="105"/>
  <c r="V18" i="105"/>
  <c r="T18" i="105"/>
  <c r="X18" i="105" s="1"/>
  <c r="P18" i="105"/>
  <c r="J18" i="105"/>
  <c r="H18" i="105"/>
  <c r="D18" i="105"/>
  <c r="L18" i="105" s="1"/>
  <c r="Z16" i="105"/>
  <c r="P16" i="105"/>
  <c r="X16" i="105" s="1"/>
  <c r="N16" i="105"/>
  <c r="L16" i="105"/>
  <c r="D16" i="105"/>
  <c r="B16" i="105"/>
  <c r="Z15" i="105"/>
  <c r="X15" i="105"/>
  <c r="P15" i="105"/>
  <c r="N15" i="105"/>
  <c r="D15" i="105"/>
  <c r="L15" i="105" s="1"/>
  <c r="B15" i="105"/>
  <c r="P14" i="105"/>
  <c r="X14" i="105" s="1"/>
  <c r="Z14" i="105" s="1"/>
  <c r="D14" i="105"/>
  <c r="L14" i="105" s="1"/>
  <c r="N14" i="105" s="1"/>
  <c r="B14" i="105"/>
  <c r="Z13" i="105"/>
  <c r="P13" i="105"/>
  <c r="N13" i="105"/>
  <c r="D13" i="105"/>
  <c r="L13" i="105" s="1"/>
  <c r="B13" i="105"/>
  <c r="T12" i="105"/>
  <c r="V77" i="105" s="1"/>
  <c r="H12" i="105"/>
  <c r="J87" i="105" s="1"/>
  <c r="D6" i="105"/>
  <c r="D4" i="105"/>
  <c r="V31" i="104"/>
  <c r="V28" i="104"/>
  <c r="Z26" i="104"/>
  <c r="X26" i="104"/>
  <c r="V26" i="104"/>
  <c r="N26" i="104"/>
  <c r="L26" i="104"/>
  <c r="V24" i="104"/>
  <c r="R24" i="104"/>
  <c r="V22" i="104"/>
  <c r="T22" i="104"/>
  <c r="Z22" i="104" s="1"/>
  <c r="R22" i="104"/>
  <c r="P22" i="104"/>
  <c r="X22" i="104" s="1"/>
  <c r="N22" i="104"/>
  <c r="H22" i="104"/>
  <c r="D22" i="104"/>
  <c r="L22" i="104" s="1"/>
  <c r="Z20" i="104"/>
  <c r="X20" i="104"/>
  <c r="V20" i="104"/>
  <c r="N20" i="104"/>
  <c r="L20" i="104"/>
  <c r="B20" i="104"/>
  <c r="Z19" i="104"/>
  <c r="V19" i="104"/>
  <c r="T19" i="104"/>
  <c r="R19" i="104"/>
  <c r="P19" i="104"/>
  <c r="X19" i="104" s="1"/>
  <c r="L19" i="104"/>
  <c r="H19" i="104"/>
  <c r="N19" i="104" s="1"/>
  <c r="D19" i="104"/>
  <c r="B19" i="104"/>
  <c r="T18" i="104"/>
  <c r="R18" i="104"/>
  <c r="P18" i="104"/>
  <c r="N18" i="104"/>
  <c r="J18" i="104"/>
  <c r="H18" i="104"/>
  <c r="D18" i="104"/>
  <c r="L18" i="104" s="1"/>
  <c r="R16" i="104"/>
  <c r="T14" i="104"/>
  <c r="R14" i="104"/>
  <c r="P14" i="104"/>
  <c r="N14" i="104"/>
  <c r="L14" i="104"/>
  <c r="J14" i="104"/>
  <c r="H14" i="104"/>
  <c r="D14" i="104"/>
  <c r="Z12" i="104"/>
  <c r="T12" i="104"/>
  <c r="V18" i="104" s="1"/>
  <c r="P12" i="104"/>
  <c r="H12" i="104"/>
  <c r="D12" i="104"/>
  <c r="D6" i="104"/>
  <c r="D4" i="104"/>
  <c r="X90" i="103"/>
  <c r="Z90" i="103" s="1"/>
  <c r="L90" i="103"/>
  <c r="N90" i="103" s="1"/>
  <c r="Z86" i="103"/>
  <c r="V86" i="103"/>
  <c r="T86" i="103"/>
  <c r="P86" i="103"/>
  <c r="X86" i="103" s="1"/>
  <c r="H86" i="103"/>
  <c r="D86" i="103"/>
  <c r="Z84" i="103"/>
  <c r="X84" i="103"/>
  <c r="L84" i="103"/>
  <c r="N84" i="103" s="1"/>
  <c r="B84" i="103"/>
  <c r="X83" i="103"/>
  <c r="T83" i="103"/>
  <c r="P83" i="103"/>
  <c r="H83" i="103"/>
  <c r="D83" i="103"/>
  <c r="B83" i="103"/>
  <c r="Z82" i="103"/>
  <c r="X82" i="103"/>
  <c r="V82" i="103"/>
  <c r="N82" i="103"/>
  <c r="L82" i="103"/>
  <c r="B82" i="103"/>
  <c r="Z81" i="103"/>
  <c r="X81" i="103"/>
  <c r="L81" i="103"/>
  <c r="N81" i="103" s="1"/>
  <c r="B81" i="103"/>
  <c r="X80" i="103"/>
  <c r="Z80" i="103" s="1"/>
  <c r="L80" i="103"/>
  <c r="N80" i="103" s="1"/>
  <c r="B80" i="103"/>
  <c r="Z79" i="103"/>
  <c r="X79" i="103"/>
  <c r="N79" i="103"/>
  <c r="L79" i="103"/>
  <c r="B79" i="103"/>
  <c r="Z78" i="103"/>
  <c r="X78" i="103"/>
  <c r="N78" i="103"/>
  <c r="L78" i="103"/>
  <c r="B78" i="103"/>
  <c r="Z77" i="103"/>
  <c r="X77" i="103"/>
  <c r="L77" i="103"/>
  <c r="N77" i="103" s="1"/>
  <c r="J77" i="103"/>
  <c r="B77" i="103"/>
  <c r="X76" i="103"/>
  <c r="Z76" i="103" s="1"/>
  <c r="L76" i="103"/>
  <c r="N76" i="103" s="1"/>
  <c r="B76" i="103"/>
  <c r="X75" i="103"/>
  <c r="Z75" i="103" s="1"/>
  <c r="L75" i="103"/>
  <c r="N75" i="103" s="1"/>
  <c r="B75" i="103"/>
  <c r="V74" i="103"/>
  <c r="T74" i="103"/>
  <c r="X74" i="103" s="1"/>
  <c r="P74" i="103"/>
  <c r="H74" i="103"/>
  <c r="D74" i="103"/>
  <c r="L74" i="103" s="1"/>
  <c r="B74" i="103"/>
  <c r="X73" i="103"/>
  <c r="Z73" i="103" s="1"/>
  <c r="V73" i="103"/>
  <c r="L73" i="103"/>
  <c r="N73" i="103" s="1"/>
  <c r="B73" i="103"/>
  <c r="X72" i="103"/>
  <c r="Z72" i="103" s="1"/>
  <c r="L72" i="103"/>
  <c r="N72" i="103" s="1"/>
  <c r="B72" i="103"/>
  <c r="Z71" i="103"/>
  <c r="X71" i="103"/>
  <c r="N71" i="103"/>
  <c r="L71" i="103"/>
  <c r="B71" i="103"/>
  <c r="Z70" i="103"/>
  <c r="X70" i="103"/>
  <c r="N70" i="103"/>
  <c r="L70" i="103"/>
  <c r="B70" i="103"/>
  <c r="V69" i="103"/>
  <c r="T69" i="103"/>
  <c r="P69" i="103"/>
  <c r="H69" i="103"/>
  <c r="D69" i="103"/>
  <c r="L69" i="103" s="1"/>
  <c r="N69" i="103" s="1"/>
  <c r="B69" i="103"/>
  <c r="X68" i="103"/>
  <c r="Z68" i="103" s="1"/>
  <c r="L68" i="103"/>
  <c r="N68" i="103" s="1"/>
  <c r="B68" i="103"/>
  <c r="X67" i="103"/>
  <c r="Z67" i="103" s="1"/>
  <c r="N67" i="103"/>
  <c r="L67" i="103"/>
  <c r="B67" i="103"/>
  <c r="T66" i="103"/>
  <c r="P66" i="103"/>
  <c r="N66" i="103"/>
  <c r="L66" i="103"/>
  <c r="H66" i="103"/>
  <c r="D66" i="103"/>
  <c r="B66" i="103"/>
  <c r="Z65" i="103"/>
  <c r="X65" i="103"/>
  <c r="L65" i="103"/>
  <c r="N65" i="103" s="1"/>
  <c r="J65" i="103"/>
  <c r="B65" i="103"/>
  <c r="T64" i="103"/>
  <c r="P64" i="103"/>
  <c r="X64" i="103" s="1"/>
  <c r="H64" i="103"/>
  <c r="L64" i="103" s="1"/>
  <c r="D64" i="103"/>
  <c r="B64" i="103"/>
  <c r="Z63" i="103"/>
  <c r="X63" i="103"/>
  <c r="N63" i="103"/>
  <c r="L63" i="103"/>
  <c r="B63" i="103"/>
  <c r="T62" i="103"/>
  <c r="Z62" i="103" s="1"/>
  <c r="P62" i="103"/>
  <c r="X62" i="103" s="1"/>
  <c r="L62" i="103"/>
  <c r="H62" i="103"/>
  <c r="D62" i="103"/>
  <c r="B62" i="103"/>
  <c r="X61" i="103"/>
  <c r="Z61" i="103" s="1"/>
  <c r="N61" i="103"/>
  <c r="L61" i="103"/>
  <c r="B61" i="103"/>
  <c r="T60" i="103"/>
  <c r="P60" i="103"/>
  <c r="X60" i="103" s="1"/>
  <c r="Z60" i="103" s="1"/>
  <c r="H60" i="103"/>
  <c r="L60" i="103" s="1"/>
  <c r="N60" i="103" s="1"/>
  <c r="D60" i="103"/>
  <c r="B60" i="103"/>
  <c r="Z59" i="103"/>
  <c r="X59" i="103"/>
  <c r="L59" i="103"/>
  <c r="N59" i="103" s="1"/>
  <c r="B59" i="103"/>
  <c r="Z58" i="103"/>
  <c r="T58" i="103"/>
  <c r="X58" i="103" s="1"/>
  <c r="P58" i="103"/>
  <c r="L58" i="103"/>
  <c r="H58" i="103"/>
  <c r="D58" i="103"/>
  <c r="B58" i="103"/>
  <c r="X57" i="103"/>
  <c r="Z57" i="103" s="1"/>
  <c r="L57" i="103"/>
  <c r="N57" i="103" s="1"/>
  <c r="J57" i="103"/>
  <c r="B57" i="103"/>
  <c r="X56" i="103"/>
  <c r="T56" i="103"/>
  <c r="P56" i="103"/>
  <c r="H56" i="103"/>
  <c r="D56" i="103"/>
  <c r="L56" i="103" s="1"/>
  <c r="N56" i="103" s="1"/>
  <c r="B56" i="103"/>
  <c r="Z55" i="103"/>
  <c r="X55" i="103"/>
  <c r="N55" i="103"/>
  <c r="L55" i="103"/>
  <c r="B55" i="103"/>
  <c r="T54" i="103"/>
  <c r="Z54" i="103" s="1"/>
  <c r="P54" i="103"/>
  <c r="N54" i="103"/>
  <c r="L54" i="103"/>
  <c r="H54" i="103"/>
  <c r="D54" i="103"/>
  <c r="B54" i="103"/>
  <c r="Z53" i="103"/>
  <c r="X53" i="103"/>
  <c r="V53" i="103"/>
  <c r="N53" i="103"/>
  <c r="L53" i="103"/>
  <c r="B53" i="103"/>
  <c r="T52" i="103"/>
  <c r="P52" i="103"/>
  <c r="X52" i="103" s="1"/>
  <c r="J52" i="103"/>
  <c r="H52" i="103"/>
  <c r="L52" i="103" s="1"/>
  <c r="N52" i="103" s="1"/>
  <c r="D52" i="103"/>
  <c r="B52" i="103"/>
  <c r="X51" i="103"/>
  <c r="Z51" i="103" s="1"/>
  <c r="L51" i="103"/>
  <c r="N51" i="103" s="1"/>
  <c r="J51" i="103"/>
  <c r="B51" i="103"/>
  <c r="T50" i="103"/>
  <c r="P50" i="103"/>
  <c r="H50" i="103"/>
  <c r="D50" i="103"/>
  <c r="L50" i="103" s="1"/>
  <c r="B50" i="103"/>
  <c r="X49" i="103"/>
  <c r="Z49" i="103" s="1"/>
  <c r="N49" i="103"/>
  <c r="L49" i="103"/>
  <c r="B49" i="103"/>
  <c r="V48" i="103"/>
  <c r="T48" i="103"/>
  <c r="P48" i="103"/>
  <c r="X48" i="103" s="1"/>
  <c r="Z48" i="103" s="1"/>
  <c r="H48" i="103"/>
  <c r="D48" i="103"/>
  <c r="L48" i="103" s="1"/>
  <c r="N48" i="103" s="1"/>
  <c r="B48" i="103"/>
  <c r="Z47" i="103"/>
  <c r="X47" i="103"/>
  <c r="N47" i="103"/>
  <c r="L47" i="103"/>
  <c r="B47" i="103"/>
  <c r="Z46" i="103"/>
  <c r="X46" i="103"/>
  <c r="N46" i="103"/>
  <c r="L46" i="103"/>
  <c r="B46" i="103"/>
  <c r="Z45" i="103"/>
  <c r="X45" i="103"/>
  <c r="N45" i="103"/>
  <c r="L45" i="103"/>
  <c r="B45" i="103"/>
  <c r="Z44" i="103"/>
  <c r="X44" i="103"/>
  <c r="N44" i="103"/>
  <c r="L44" i="103"/>
  <c r="B44" i="103"/>
  <c r="Z43" i="103"/>
  <c r="X43" i="103"/>
  <c r="N43" i="103"/>
  <c r="L43" i="103"/>
  <c r="J43" i="103"/>
  <c r="B43" i="103"/>
  <c r="Z42" i="103"/>
  <c r="X42" i="103"/>
  <c r="N42" i="103"/>
  <c r="L42" i="103"/>
  <c r="B42" i="103"/>
  <c r="Z41" i="103"/>
  <c r="X41" i="103"/>
  <c r="L41" i="103"/>
  <c r="N41" i="103" s="1"/>
  <c r="B41" i="103"/>
  <c r="Z40" i="103"/>
  <c r="X40" i="103"/>
  <c r="V40" i="103"/>
  <c r="N40" i="103"/>
  <c r="L40" i="103"/>
  <c r="B40" i="103"/>
  <c r="X39" i="103"/>
  <c r="Z39" i="103" s="1"/>
  <c r="L39" i="103"/>
  <c r="N39" i="103" s="1"/>
  <c r="B39" i="103"/>
  <c r="Z38" i="103"/>
  <c r="X38" i="103"/>
  <c r="N38" i="103"/>
  <c r="L38" i="103"/>
  <c r="B38" i="103"/>
  <c r="T37" i="103"/>
  <c r="P37" i="103"/>
  <c r="H37" i="103"/>
  <c r="D37" i="103"/>
  <c r="B37" i="103"/>
  <c r="Z36" i="103"/>
  <c r="X36" i="103"/>
  <c r="V36" i="103"/>
  <c r="N36" i="103"/>
  <c r="L36" i="103"/>
  <c r="B36" i="103"/>
  <c r="Z35" i="103"/>
  <c r="X35" i="103"/>
  <c r="L35" i="103"/>
  <c r="N35" i="103" s="1"/>
  <c r="B35" i="103"/>
  <c r="Z34" i="103"/>
  <c r="X34" i="103"/>
  <c r="L34" i="103"/>
  <c r="N34" i="103" s="1"/>
  <c r="J34" i="103"/>
  <c r="B34" i="103"/>
  <c r="Z33" i="103"/>
  <c r="X33" i="103"/>
  <c r="N33" i="103"/>
  <c r="L33" i="103"/>
  <c r="B33" i="103"/>
  <c r="Z32" i="103"/>
  <c r="X32" i="103"/>
  <c r="V32" i="103"/>
  <c r="N32" i="103"/>
  <c r="L32" i="103"/>
  <c r="B32" i="103"/>
  <c r="Z31" i="103"/>
  <c r="X31" i="103"/>
  <c r="L31" i="103"/>
  <c r="N31" i="103" s="1"/>
  <c r="B31" i="103"/>
  <c r="Z30" i="103"/>
  <c r="X30" i="103"/>
  <c r="L30" i="103"/>
  <c r="N30" i="103" s="1"/>
  <c r="J30" i="103"/>
  <c r="B30" i="103"/>
  <c r="Z29" i="103"/>
  <c r="X29" i="103"/>
  <c r="L29" i="103"/>
  <c r="N29" i="103" s="1"/>
  <c r="B29" i="103"/>
  <c r="Z28" i="103"/>
  <c r="X28" i="103"/>
  <c r="V28" i="103"/>
  <c r="N28" i="103"/>
  <c r="L28" i="103"/>
  <c r="B28" i="103"/>
  <c r="Z27" i="103"/>
  <c r="X27" i="103"/>
  <c r="L27" i="103"/>
  <c r="N27" i="103" s="1"/>
  <c r="B27" i="103"/>
  <c r="T26" i="103"/>
  <c r="P26" i="103"/>
  <c r="X26" i="103" s="1"/>
  <c r="N26" i="103"/>
  <c r="J26" i="103"/>
  <c r="H26" i="103"/>
  <c r="L26" i="103" s="1"/>
  <c r="D26" i="103"/>
  <c r="B26" i="103"/>
  <c r="T25" i="103"/>
  <c r="P25" i="103"/>
  <c r="X25" i="103" s="1"/>
  <c r="L25" i="103"/>
  <c r="H25" i="103"/>
  <c r="N25" i="103" s="1"/>
  <c r="D25" i="103"/>
  <c r="H23" i="103"/>
  <c r="H88" i="103" s="1"/>
  <c r="Z21" i="103"/>
  <c r="X21" i="103"/>
  <c r="N21" i="103"/>
  <c r="L21" i="103"/>
  <c r="B21" i="103"/>
  <c r="Z20" i="103"/>
  <c r="X20" i="103"/>
  <c r="N20" i="103"/>
  <c r="L20" i="103"/>
  <c r="B20" i="103"/>
  <c r="X19" i="103"/>
  <c r="Z19" i="103" s="1"/>
  <c r="L19" i="103"/>
  <c r="N19" i="103" s="1"/>
  <c r="B19" i="103"/>
  <c r="V18" i="103"/>
  <c r="T18" i="103"/>
  <c r="P18" i="103"/>
  <c r="X18" i="103" s="1"/>
  <c r="Z18" i="103" s="1"/>
  <c r="J18" i="103"/>
  <c r="H18" i="103"/>
  <c r="D18" i="103"/>
  <c r="L18" i="103" s="1"/>
  <c r="N18" i="103" s="1"/>
  <c r="Z16" i="103"/>
  <c r="P16" i="103"/>
  <c r="X16" i="103" s="1"/>
  <c r="N16" i="103"/>
  <c r="L16" i="103"/>
  <c r="D16" i="103"/>
  <c r="B16" i="103"/>
  <c r="Z15" i="103"/>
  <c r="X15" i="103"/>
  <c r="P15" i="103"/>
  <c r="N15" i="103"/>
  <c r="L15" i="103"/>
  <c r="D15" i="103"/>
  <c r="B15" i="103"/>
  <c r="P14" i="103"/>
  <c r="X14" i="103" s="1"/>
  <c r="Z14" i="103" s="1"/>
  <c r="L14" i="103"/>
  <c r="N14" i="103" s="1"/>
  <c r="D14" i="103"/>
  <c r="B14" i="103"/>
  <c r="Z13" i="103"/>
  <c r="P13" i="103"/>
  <c r="N13" i="103"/>
  <c r="D13" i="103"/>
  <c r="B13" i="103"/>
  <c r="T12" i="103"/>
  <c r="H12" i="103"/>
  <c r="J56" i="103" s="1"/>
  <c r="D6" i="103"/>
  <c r="D4" i="103"/>
  <c r="V65" i="102"/>
  <c r="V62" i="102"/>
  <c r="Z60" i="102"/>
  <c r="X60" i="102"/>
  <c r="V60" i="102"/>
  <c r="N60" i="102"/>
  <c r="L60" i="102"/>
  <c r="R58" i="102"/>
  <c r="X56" i="102"/>
  <c r="T56" i="102"/>
  <c r="Z56" i="102" s="1"/>
  <c r="R56" i="102"/>
  <c r="P56" i="102"/>
  <c r="N56" i="102"/>
  <c r="L56" i="102"/>
  <c r="H56" i="102"/>
  <c r="D56" i="102"/>
  <c r="X54" i="102"/>
  <c r="Z54" i="102" s="1"/>
  <c r="N54" i="102"/>
  <c r="L54" i="102"/>
  <c r="J54" i="102"/>
  <c r="B54" i="102"/>
  <c r="X53" i="102"/>
  <c r="T53" i="102"/>
  <c r="Z53" i="102" s="1"/>
  <c r="P53" i="102"/>
  <c r="H53" i="102"/>
  <c r="D53" i="102"/>
  <c r="B53" i="102"/>
  <c r="Z52" i="102"/>
  <c r="X52" i="102"/>
  <c r="L52" i="102"/>
  <c r="N52" i="102" s="1"/>
  <c r="J52" i="102"/>
  <c r="B52" i="102"/>
  <c r="X51" i="102"/>
  <c r="T51" i="102"/>
  <c r="Z51" i="102" s="1"/>
  <c r="P51" i="102"/>
  <c r="H51" i="102"/>
  <c r="D51" i="102"/>
  <c r="L51" i="102" s="1"/>
  <c r="B51" i="102"/>
  <c r="Z50" i="102"/>
  <c r="X50" i="102"/>
  <c r="L50" i="102"/>
  <c r="N50" i="102" s="1"/>
  <c r="B50" i="102"/>
  <c r="X49" i="102"/>
  <c r="Z49" i="102" s="1"/>
  <c r="L49" i="102"/>
  <c r="N49" i="102" s="1"/>
  <c r="B49" i="102"/>
  <c r="V48" i="102"/>
  <c r="T48" i="102"/>
  <c r="R48" i="102"/>
  <c r="P48" i="102"/>
  <c r="X48" i="102" s="1"/>
  <c r="Z48" i="102" s="1"/>
  <c r="H48" i="102"/>
  <c r="D48" i="102"/>
  <c r="L48" i="102" s="1"/>
  <c r="N48" i="102" s="1"/>
  <c r="B48" i="102"/>
  <c r="X47" i="102"/>
  <c r="Z47" i="102" s="1"/>
  <c r="R47" i="102"/>
  <c r="L47" i="102"/>
  <c r="N47" i="102" s="1"/>
  <c r="B47" i="102"/>
  <c r="X46" i="102"/>
  <c r="Z46" i="102" s="1"/>
  <c r="N46" i="102"/>
  <c r="L46" i="102"/>
  <c r="J46" i="102"/>
  <c r="B46" i="102"/>
  <c r="X45" i="102"/>
  <c r="Z45" i="102" s="1"/>
  <c r="N45" i="102"/>
  <c r="L45" i="102"/>
  <c r="F45" i="102"/>
  <c r="B45" i="102"/>
  <c r="Z44" i="102"/>
  <c r="X44" i="102"/>
  <c r="T44" i="102"/>
  <c r="P44" i="102"/>
  <c r="L44" i="102"/>
  <c r="H44" i="102"/>
  <c r="N44" i="102" s="1"/>
  <c r="F44" i="102"/>
  <c r="D44" i="102"/>
  <c r="B44" i="102"/>
  <c r="Z43" i="102"/>
  <c r="X43" i="102"/>
  <c r="N43" i="102"/>
  <c r="L43" i="102"/>
  <c r="J43" i="102"/>
  <c r="B43" i="102"/>
  <c r="Z42" i="102"/>
  <c r="V42" i="102"/>
  <c r="T42" i="102"/>
  <c r="X42" i="102" s="1"/>
  <c r="P42" i="102"/>
  <c r="H42" i="102"/>
  <c r="N42" i="102" s="1"/>
  <c r="D42" i="102"/>
  <c r="L42" i="102" s="1"/>
  <c r="B42" i="102"/>
  <c r="Z41" i="102"/>
  <c r="X41" i="102"/>
  <c r="N41" i="102"/>
  <c r="L41" i="102"/>
  <c r="B41" i="102"/>
  <c r="V40" i="102"/>
  <c r="T40" i="102"/>
  <c r="Z40" i="102" s="1"/>
  <c r="R40" i="102"/>
  <c r="P40" i="102"/>
  <c r="X40" i="102" s="1"/>
  <c r="N40" i="102"/>
  <c r="H40" i="102"/>
  <c r="D40" i="102"/>
  <c r="L40" i="102" s="1"/>
  <c r="B40" i="102"/>
  <c r="Z39" i="102"/>
  <c r="X39" i="102"/>
  <c r="R39" i="102"/>
  <c r="N39" i="102"/>
  <c r="L39" i="102"/>
  <c r="B39" i="102"/>
  <c r="Z38" i="102"/>
  <c r="X38" i="102"/>
  <c r="N38" i="102"/>
  <c r="L38" i="102"/>
  <c r="J38" i="102"/>
  <c r="B38" i="102"/>
  <c r="Z37" i="102"/>
  <c r="X37" i="102"/>
  <c r="N37" i="102"/>
  <c r="L37" i="102"/>
  <c r="F37" i="102"/>
  <c r="B37" i="102"/>
  <c r="Z36" i="102"/>
  <c r="X36" i="102"/>
  <c r="N36" i="102"/>
  <c r="L36" i="102"/>
  <c r="F36" i="102"/>
  <c r="B36" i="102"/>
  <c r="Z35" i="102"/>
  <c r="X35" i="102"/>
  <c r="R35" i="102"/>
  <c r="N35" i="102"/>
  <c r="L35" i="102"/>
  <c r="B35" i="102"/>
  <c r="Z34" i="102"/>
  <c r="X34" i="102"/>
  <c r="N34" i="102"/>
  <c r="L34" i="102"/>
  <c r="J34" i="102"/>
  <c r="B34" i="102"/>
  <c r="Z33" i="102"/>
  <c r="X33" i="102"/>
  <c r="N33" i="102"/>
  <c r="L33" i="102"/>
  <c r="F33" i="102"/>
  <c r="B33" i="102"/>
  <c r="Z32" i="102"/>
  <c r="X32" i="102"/>
  <c r="V32" i="102"/>
  <c r="N32" i="102"/>
  <c r="L32" i="102"/>
  <c r="F32" i="102"/>
  <c r="B32" i="102"/>
  <c r="X31" i="102"/>
  <c r="Z31" i="102" s="1"/>
  <c r="R31" i="102"/>
  <c r="L31" i="102"/>
  <c r="N31" i="102" s="1"/>
  <c r="B31" i="102"/>
  <c r="Z30" i="102"/>
  <c r="X30" i="102"/>
  <c r="N30" i="102"/>
  <c r="L30" i="102"/>
  <c r="J30" i="102"/>
  <c r="B30" i="102"/>
  <c r="X29" i="102"/>
  <c r="T29" i="102"/>
  <c r="Z29" i="102" s="1"/>
  <c r="R29" i="102"/>
  <c r="P29" i="102"/>
  <c r="H29" i="102"/>
  <c r="D29" i="102"/>
  <c r="B29" i="102"/>
  <c r="Z28" i="102"/>
  <c r="X28" i="102"/>
  <c r="R28" i="102"/>
  <c r="N28" i="102"/>
  <c r="L28" i="102"/>
  <c r="J28" i="102"/>
  <c r="B28" i="102"/>
  <c r="X27" i="102"/>
  <c r="Z27" i="102" s="1"/>
  <c r="L27" i="102"/>
  <c r="N27" i="102" s="1"/>
  <c r="J27" i="102"/>
  <c r="B27" i="102"/>
  <c r="Z26" i="102"/>
  <c r="X26" i="102"/>
  <c r="V26" i="102"/>
  <c r="N26" i="102"/>
  <c r="L26" i="102"/>
  <c r="B26" i="102"/>
  <c r="Z25" i="102"/>
  <c r="X25" i="102"/>
  <c r="R25" i="102"/>
  <c r="N25" i="102"/>
  <c r="L25" i="102"/>
  <c r="F25" i="102"/>
  <c r="B25" i="102"/>
  <c r="Z24" i="102"/>
  <c r="X24" i="102"/>
  <c r="R24" i="102"/>
  <c r="L24" i="102"/>
  <c r="N24" i="102" s="1"/>
  <c r="J24" i="102"/>
  <c r="B24" i="102"/>
  <c r="X23" i="102"/>
  <c r="Z23" i="102" s="1"/>
  <c r="L23" i="102"/>
  <c r="N23" i="102" s="1"/>
  <c r="J23" i="102"/>
  <c r="B23" i="102"/>
  <c r="Z22" i="102"/>
  <c r="X22" i="102"/>
  <c r="V22" i="102"/>
  <c r="N22" i="102"/>
  <c r="L22" i="102"/>
  <c r="J22" i="102"/>
  <c r="B22" i="102"/>
  <c r="Z21" i="102"/>
  <c r="X21" i="102"/>
  <c r="R21" i="102"/>
  <c r="L21" i="102"/>
  <c r="N21" i="102" s="1"/>
  <c r="J21" i="102"/>
  <c r="F21" i="102"/>
  <c r="B21" i="102"/>
  <c r="Z20" i="102"/>
  <c r="X20" i="102"/>
  <c r="R20" i="102"/>
  <c r="L20" i="102"/>
  <c r="N20" i="102" s="1"/>
  <c r="J20" i="102"/>
  <c r="B20" i="102"/>
  <c r="X19" i="102"/>
  <c r="T19" i="102"/>
  <c r="Z19" i="102" s="1"/>
  <c r="P19" i="102"/>
  <c r="J19" i="102"/>
  <c r="H19" i="102"/>
  <c r="D19" i="102"/>
  <c r="B19" i="102"/>
  <c r="T18" i="102"/>
  <c r="P18" i="102"/>
  <c r="X18" i="102" s="1"/>
  <c r="Z18" i="102" s="1"/>
  <c r="J18" i="102"/>
  <c r="H18" i="102"/>
  <c r="F18" i="102"/>
  <c r="D18" i="102"/>
  <c r="L18" i="102" s="1"/>
  <c r="J16" i="102"/>
  <c r="F16" i="102"/>
  <c r="Z14" i="102"/>
  <c r="T14" i="102"/>
  <c r="P14" i="102"/>
  <c r="X14" i="102" s="1"/>
  <c r="J14" i="102"/>
  <c r="H14" i="102"/>
  <c r="N14" i="102" s="1"/>
  <c r="F14" i="102"/>
  <c r="D14" i="102"/>
  <c r="L14" i="102" s="1"/>
  <c r="Z12" i="102"/>
  <c r="T12" i="102"/>
  <c r="V51" i="102" s="1"/>
  <c r="P12" i="102"/>
  <c r="R36" i="102" s="1"/>
  <c r="N12" i="102"/>
  <c r="L12" i="102"/>
  <c r="H12" i="102"/>
  <c r="J47" i="102" s="1"/>
  <c r="D12" i="102"/>
  <c r="F58" i="102" s="1"/>
  <c r="D6" i="102"/>
  <c r="D4" i="102"/>
  <c r="Z41" i="101"/>
  <c r="X41" i="101"/>
  <c r="N41" i="101"/>
  <c r="L41" i="101"/>
  <c r="V39" i="101"/>
  <c r="R39" i="101"/>
  <c r="V37" i="101"/>
  <c r="T37" i="101"/>
  <c r="Z37" i="101" s="1"/>
  <c r="R37" i="101"/>
  <c r="P37" i="101"/>
  <c r="X37" i="101" s="1"/>
  <c r="N37" i="101"/>
  <c r="H37" i="101"/>
  <c r="D37" i="101"/>
  <c r="L37" i="101" s="1"/>
  <c r="Z35" i="101"/>
  <c r="X35" i="101"/>
  <c r="V35" i="101"/>
  <c r="N35" i="101"/>
  <c r="L35" i="101"/>
  <c r="B35" i="101"/>
  <c r="Z34" i="101"/>
  <c r="V34" i="101"/>
  <c r="T34" i="101"/>
  <c r="P34" i="101"/>
  <c r="X34" i="101" s="1"/>
  <c r="L34" i="101"/>
  <c r="H34" i="101"/>
  <c r="N34" i="101" s="1"/>
  <c r="D34" i="101"/>
  <c r="B34" i="101"/>
  <c r="Z33" i="101"/>
  <c r="X33" i="101"/>
  <c r="N33" i="101"/>
  <c r="L33" i="101"/>
  <c r="J33" i="101"/>
  <c r="B33" i="101"/>
  <c r="Z32" i="101"/>
  <c r="X32" i="101"/>
  <c r="N32" i="101"/>
  <c r="L32" i="101"/>
  <c r="B32" i="101"/>
  <c r="Z31" i="101"/>
  <c r="X31" i="101"/>
  <c r="T31" i="101"/>
  <c r="P31" i="101"/>
  <c r="N31" i="101"/>
  <c r="L31" i="101"/>
  <c r="H31" i="101"/>
  <c r="D31" i="101"/>
  <c r="B31" i="101"/>
  <c r="Z30" i="101"/>
  <c r="X30" i="101"/>
  <c r="N30" i="101"/>
  <c r="L30" i="101"/>
  <c r="J30" i="101"/>
  <c r="B30" i="101"/>
  <c r="Z29" i="101"/>
  <c r="V29" i="101"/>
  <c r="T29" i="101"/>
  <c r="X29" i="101" s="1"/>
  <c r="R29" i="101"/>
  <c r="P29" i="101"/>
  <c r="H29" i="101"/>
  <c r="D29" i="101"/>
  <c r="B29" i="101"/>
  <c r="X28" i="101"/>
  <c r="Z28" i="101" s="1"/>
  <c r="R28" i="101"/>
  <c r="L28" i="101"/>
  <c r="N28" i="101" s="1"/>
  <c r="B28" i="101"/>
  <c r="V27" i="101"/>
  <c r="T27" i="101"/>
  <c r="Z27" i="101" s="1"/>
  <c r="R27" i="101"/>
  <c r="P27" i="101"/>
  <c r="X27" i="101" s="1"/>
  <c r="H27" i="101"/>
  <c r="D27" i="101"/>
  <c r="L27" i="101" s="1"/>
  <c r="N27" i="101" s="1"/>
  <c r="B27" i="101"/>
  <c r="Z26" i="101"/>
  <c r="X26" i="101"/>
  <c r="R26" i="101"/>
  <c r="N26" i="101"/>
  <c r="L26" i="101"/>
  <c r="B26" i="101"/>
  <c r="X25" i="101"/>
  <c r="T25" i="101"/>
  <c r="Z25" i="101" s="1"/>
  <c r="R25" i="101"/>
  <c r="P25" i="101"/>
  <c r="N25" i="101"/>
  <c r="L25" i="101"/>
  <c r="H25" i="101"/>
  <c r="D25" i="101"/>
  <c r="B25" i="101"/>
  <c r="Z24" i="101"/>
  <c r="X24" i="101"/>
  <c r="R24" i="101"/>
  <c r="N24" i="101"/>
  <c r="L24" i="101"/>
  <c r="B24" i="101"/>
  <c r="Z23" i="101"/>
  <c r="X23" i="101"/>
  <c r="R23" i="101"/>
  <c r="N23" i="101"/>
  <c r="L23" i="101"/>
  <c r="J23" i="101"/>
  <c r="B23" i="101"/>
  <c r="Z22" i="101"/>
  <c r="X22" i="101"/>
  <c r="N22" i="101"/>
  <c r="L22" i="101"/>
  <c r="B22" i="101"/>
  <c r="Z21" i="101"/>
  <c r="X21" i="101"/>
  <c r="V21" i="101"/>
  <c r="R21" i="101"/>
  <c r="N21" i="101"/>
  <c r="L21" i="101"/>
  <c r="B21" i="101"/>
  <c r="Z20" i="101"/>
  <c r="X20" i="101"/>
  <c r="R20" i="101"/>
  <c r="N20" i="101"/>
  <c r="L20" i="101"/>
  <c r="B20" i="101"/>
  <c r="T19" i="101"/>
  <c r="P19" i="101"/>
  <c r="J19" i="101"/>
  <c r="H19" i="101"/>
  <c r="L19" i="101" s="1"/>
  <c r="D19" i="101"/>
  <c r="B19" i="101"/>
  <c r="V18" i="101"/>
  <c r="T18" i="101"/>
  <c r="P18" i="101"/>
  <c r="X18" i="101" s="1"/>
  <c r="J18" i="101"/>
  <c r="H18" i="101"/>
  <c r="D18" i="101"/>
  <c r="V16" i="101"/>
  <c r="V14" i="101"/>
  <c r="T14" i="101"/>
  <c r="Z14" i="101" s="1"/>
  <c r="P14" i="101"/>
  <c r="N14" i="101"/>
  <c r="J14" i="101"/>
  <c r="H14" i="101"/>
  <c r="H16" i="101" s="1"/>
  <c r="D14" i="101"/>
  <c r="L14" i="101" s="1"/>
  <c r="T12" i="101"/>
  <c r="P12" i="101"/>
  <c r="R41" i="101" s="1"/>
  <c r="H12" i="101"/>
  <c r="D12" i="101"/>
  <c r="F46" i="101" s="1"/>
  <c r="D6" i="101"/>
  <c r="D4" i="101"/>
  <c r="J37" i="100"/>
  <c r="J34" i="100"/>
  <c r="F34" i="100"/>
  <c r="Z32" i="100"/>
  <c r="X32" i="100"/>
  <c r="N32" i="100"/>
  <c r="L32" i="100"/>
  <c r="J30" i="100"/>
  <c r="Z28" i="100"/>
  <c r="X28" i="100"/>
  <c r="T28" i="100"/>
  <c r="P28" i="100"/>
  <c r="J28" i="100"/>
  <c r="H28" i="100"/>
  <c r="N28" i="100" s="1"/>
  <c r="D28" i="100"/>
  <c r="L28" i="100" s="1"/>
  <c r="Z26" i="100"/>
  <c r="X26" i="100"/>
  <c r="V26" i="100"/>
  <c r="N26" i="100"/>
  <c r="L26" i="100"/>
  <c r="B26" i="100"/>
  <c r="T25" i="100"/>
  <c r="Z25" i="100" s="1"/>
  <c r="P25" i="100"/>
  <c r="N25" i="100"/>
  <c r="J25" i="100"/>
  <c r="H25" i="100"/>
  <c r="F25" i="100"/>
  <c r="D25" i="100"/>
  <c r="L25" i="100" s="1"/>
  <c r="B25" i="100"/>
  <c r="Z24" i="100"/>
  <c r="X24" i="100"/>
  <c r="N24" i="100"/>
  <c r="L24" i="100"/>
  <c r="F24" i="100"/>
  <c r="B24" i="100"/>
  <c r="Z23" i="100"/>
  <c r="X23" i="100"/>
  <c r="T23" i="100"/>
  <c r="P23" i="100"/>
  <c r="N23" i="100"/>
  <c r="J23" i="100"/>
  <c r="H23" i="100"/>
  <c r="F23" i="100"/>
  <c r="D23" i="100"/>
  <c r="L23" i="100" s="1"/>
  <c r="B23" i="100"/>
  <c r="Z22" i="100"/>
  <c r="X22" i="100"/>
  <c r="N22" i="100"/>
  <c r="L22" i="100"/>
  <c r="B22" i="100"/>
  <c r="T21" i="100"/>
  <c r="R21" i="100"/>
  <c r="P21" i="100"/>
  <c r="N21" i="100"/>
  <c r="J21" i="100"/>
  <c r="H21" i="100"/>
  <c r="D21" i="100"/>
  <c r="L21" i="100" s="1"/>
  <c r="B21" i="100"/>
  <c r="Z20" i="100"/>
  <c r="X20" i="100"/>
  <c r="V20" i="100"/>
  <c r="R20" i="100"/>
  <c r="L20" i="100"/>
  <c r="N20" i="100" s="1"/>
  <c r="J20" i="100"/>
  <c r="F20" i="100"/>
  <c r="B20" i="100"/>
  <c r="T19" i="100"/>
  <c r="P19" i="100"/>
  <c r="X19" i="100" s="1"/>
  <c r="H19" i="100"/>
  <c r="L19" i="100" s="1"/>
  <c r="N19" i="100" s="1"/>
  <c r="F19" i="100"/>
  <c r="D19" i="100"/>
  <c r="B19" i="100"/>
  <c r="T18" i="100"/>
  <c r="R18" i="100"/>
  <c r="P18" i="100"/>
  <c r="X18" i="100" s="1"/>
  <c r="Z18" i="100" s="1"/>
  <c r="J18" i="100"/>
  <c r="H18" i="100"/>
  <c r="N18" i="100" s="1"/>
  <c r="D18" i="100"/>
  <c r="L18" i="100" s="1"/>
  <c r="R16" i="100"/>
  <c r="P16" i="100"/>
  <c r="J16" i="100"/>
  <c r="Z14" i="100"/>
  <c r="T14" i="100"/>
  <c r="R14" i="100"/>
  <c r="P14" i="100"/>
  <c r="X14" i="100" s="1"/>
  <c r="J14" i="100"/>
  <c r="H14" i="100"/>
  <c r="H16" i="100" s="1"/>
  <c r="D14" i="100"/>
  <c r="D16" i="100" s="1"/>
  <c r="T12" i="100"/>
  <c r="V21" i="100" s="1"/>
  <c r="P12" i="100"/>
  <c r="R37" i="100" s="1"/>
  <c r="N12" i="100"/>
  <c r="L12" i="100"/>
  <c r="H12" i="100"/>
  <c r="J19" i="100" s="1"/>
  <c r="D12" i="100"/>
  <c r="D6" i="100"/>
  <c r="D4" i="100"/>
  <c r="R63" i="99"/>
  <c r="R60" i="99"/>
  <c r="Z58" i="99"/>
  <c r="X58" i="99"/>
  <c r="N58" i="99"/>
  <c r="L58" i="99"/>
  <c r="X54" i="99"/>
  <c r="Z54" i="99" s="1"/>
  <c r="P54" i="99"/>
  <c r="D54" i="99"/>
  <c r="L54" i="99" s="1"/>
  <c r="N54" i="99" s="1"/>
  <c r="B54" i="99"/>
  <c r="P53" i="99"/>
  <c r="P51" i="99" s="1"/>
  <c r="X51" i="99" s="1"/>
  <c r="Z51" i="99" s="1"/>
  <c r="D53" i="99"/>
  <c r="L53" i="99" s="1"/>
  <c r="N53" i="99" s="1"/>
  <c r="B53" i="99"/>
  <c r="Z52" i="99"/>
  <c r="X52" i="99"/>
  <c r="P52" i="99"/>
  <c r="D52" i="99"/>
  <c r="L52" i="99" s="1"/>
  <c r="N52" i="99" s="1"/>
  <c r="B52" i="99"/>
  <c r="V51" i="99"/>
  <c r="T51" i="99"/>
  <c r="H51" i="99"/>
  <c r="D51" i="99"/>
  <c r="L51" i="99" s="1"/>
  <c r="N51" i="99" s="1"/>
  <c r="Z49" i="99"/>
  <c r="X49" i="99"/>
  <c r="V49" i="99"/>
  <c r="N49" i="99"/>
  <c r="L49" i="99"/>
  <c r="B49" i="99"/>
  <c r="V48" i="99"/>
  <c r="T48" i="99"/>
  <c r="Z48" i="99" s="1"/>
  <c r="R48" i="99"/>
  <c r="P48" i="99"/>
  <c r="X48" i="99" s="1"/>
  <c r="H48" i="99"/>
  <c r="N48" i="99" s="1"/>
  <c r="D48" i="99"/>
  <c r="L48" i="99" s="1"/>
  <c r="B48" i="99"/>
  <c r="X47" i="99"/>
  <c r="Z47" i="99" s="1"/>
  <c r="R47" i="99"/>
  <c r="N47" i="99"/>
  <c r="L47" i="99"/>
  <c r="B47" i="99"/>
  <c r="T46" i="99"/>
  <c r="Z46" i="99" s="1"/>
  <c r="R46" i="99"/>
  <c r="P46" i="99"/>
  <c r="X46" i="99" s="1"/>
  <c r="L46" i="99"/>
  <c r="N46" i="99" s="1"/>
  <c r="H46" i="99"/>
  <c r="D46" i="99"/>
  <c r="B46" i="99"/>
  <c r="X45" i="99"/>
  <c r="Z45" i="99" s="1"/>
  <c r="R45" i="99"/>
  <c r="L45" i="99"/>
  <c r="N45" i="99" s="1"/>
  <c r="B45" i="99"/>
  <c r="X44" i="99"/>
  <c r="Z44" i="99" s="1"/>
  <c r="T44" i="99"/>
  <c r="P44" i="99"/>
  <c r="H44" i="99"/>
  <c r="D44" i="99"/>
  <c r="B44" i="99"/>
  <c r="Z43" i="99"/>
  <c r="X43" i="99"/>
  <c r="N43" i="99"/>
  <c r="L43" i="99"/>
  <c r="F43" i="99"/>
  <c r="B43" i="99"/>
  <c r="Z42" i="99"/>
  <c r="X42" i="99"/>
  <c r="R42" i="99"/>
  <c r="N42" i="99"/>
  <c r="L42" i="99"/>
  <c r="B42" i="99"/>
  <c r="Z41" i="99"/>
  <c r="X41" i="99"/>
  <c r="V41" i="99"/>
  <c r="T41" i="99"/>
  <c r="P41" i="99"/>
  <c r="N41" i="99"/>
  <c r="H41" i="99"/>
  <c r="D41" i="99"/>
  <c r="L41" i="99" s="1"/>
  <c r="B41" i="99"/>
  <c r="X40" i="99"/>
  <c r="Z40" i="99" s="1"/>
  <c r="N40" i="99"/>
  <c r="L40" i="99"/>
  <c r="B40" i="99"/>
  <c r="T39" i="99"/>
  <c r="R39" i="99"/>
  <c r="P39" i="99"/>
  <c r="L39" i="99"/>
  <c r="H39" i="99"/>
  <c r="N39" i="99" s="1"/>
  <c r="D39" i="99"/>
  <c r="B39" i="99"/>
  <c r="Z38" i="99"/>
  <c r="X38" i="99"/>
  <c r="V38" i="99"/>
  <c r="R38" i="99"/>
  <c r="N38" i="99"/>
  <c r="L38" i="99"/>
  <c r="B38" i="99"/>
  <c r="Z37" i="99"/>
  <c r="X37" i="99"/>
  <c r="R37" i="99"/>
  <c r="N37" i="99"/>
  <c r="L37" i="99"/>
  <c r="B37" i="99"/>
  <c r="Z36" i="99"/>
  <c r="X36" i="99"/>
  <c r="N36" i="99"/>
  <c r="L36" i="99"/>
  <c r="B36" i="99"/>
  <c r="Z35" i="99"/>
  <c r="X35" i="99"/>
  <c r="R35" i="99"/>
  <c r="N35" i="99"/>
  <c r="L35" i="99"/>
  <c r="B35" i="99"/>
  <c r="Z34" i="99"/>
  <c r="X34" i="99"/>
  <c r="V34" i="99"/>
  <c r="R34" i="99"/>
  <c r="N34" i="99"/>
  <c r="L34" i="99"/>
  <c r="B34" i="99"/>
  <c r="Z33" i="99"/>
  <c r="X33" i="99"/>
  <c r="R33" i="99"/>
  <c r="N33" i="99"/>
  <c r="L33" i="99"/>
  <c r="J33" i="99"/>
  <c r="B33" i="99"/>
  <c r="Z32" i="99"/>
  <c r="X32" i="99"/>
  <c r="N32" i="99"/>
  <c r="L32" i="99"/>
  <c r="B32" i="99"/>
  <c r="Z31" i="99"/>
  <c r="X31" i="99"/>
  <c r="R31" i="99"/>
  <c r="N31" i="99"/>
  <c r="L31" i="99"/>
  <c r="B31" i="99"/>
  <c r="Z30" i="99"/>
  <c r="X30" i="99"/>
  <c r="V30" i="99"/>
  <c r="R30" i="99"/>
  <c r="N30" i="99"/>
  <c r="L30" i="99"/>
  <c r="B30" i="99"/>
  <c r="X29" i="99"/>
  <c r="Z29" i="99" s="1"/>
  <c r="R29" i="99"/>
  <c r="L29" i="99"/>
  <c r="N29" i="99" s="1"/>
  <c r="B29" i="99"/>
  <c r="X28" i="99"/>
  <c r="Z28" i="99" s="1"/>
  <c r="T28" i="99"/>
  <c r="R28" i="99"/>
  <c r="P28" i="99"/>
  <c r="H28" i="99"/>
  <c r="D28" i="99"/>
  <c r="B28" i="99"/>
  <c r="Z27" i="99"/>
  <c r="X27" i="99"/>
  <c r="R27" i="99"/>
  <c r="N27" i="99"/>
  <c r="L27" i="99"/>
  <c r="B27" i="99"/>
  <c r="X26" i="99"/>
  <c r="Z26" i="99" s="1"/>
  <c r="R26" i="99"/>
  <c r="N26" i="99"/>
  <c r="L26" i="99"/>
  <c r="B26" i="99"/>
  <c r="Z25" i="99"/>
  <c r="X25" i="99"/>
  <c r="V25" i="99"/>
  <c r="N25" i="99"/>
  <c r="L25" i="99"/>
  <c r="B25" i="99"/>
  <c r="Z24" i="99"/>
  <c r="X24" i="99"/>
  <c r="V24" i="99"/>
  <c r="R24" i="99"/>
  <c r="L24" i="99"/>
  <c r="N24" i="99" s="1"/>
  <c r="B24" i="99"/>
  <c r="Z23" i="99"/>
  <c r="X23" i="99"/>
  <c r="R23" i="99"/>
  <c r="L23" i="99"/>
  <c r="N23" i="99" s="1"/>
  <c r="B23" i="99"/>
  <c r="X22" i="99"/>
  <c r="Z22" i="99" s="1"/>
  <c r="V22" i="99"/>
  <c r="R22" i="99"/>
  <c r="N22" i="99"/>
  <c r="L22" i="99"/>
  <c r="B22" i="99"/>
  <c r="X21" i="99"/>
  <c r="Z21" i="99" s="1"/>
  <c r="V21" i="99"/>
  <c r="L21" i="99"/>
  <c r="N21" i="99" s="1"/>
  <c r="B21" i="99"/>
  <c r="Z20" i="99"/>
  <c r="X20" i="99"/>
  <c r="V20" i="99"/>
  <c r="R20" i="99"/>
  <c r="N20" i="99"/>
  <c r="L20" i="99"/>
  <c r="B20" i="99"/>
  <c r="T19" i="99"/>
  <c r="P19" i="99"/>
  <c r="X19" i="99" s="1"/>
  <c r="Z19" i="99" s="1"/>
  <c r="L19" i="99"/>
  <c r="N19" i="99" s="1"/>
  <c r="H19" i="99"/>
  <c r="D19" i="99"/>
  <c r="B19" i="99"/>
  <c r="T18" i="99"/>
  <c r="R18" i="99"/>
  <c r="P18" i="99"/>
  <c r="X18" i="99" s="1"/>
  <c r="L18" i="99"/>
  <c r="N18" i="99" s="1"/>
  <c r="H18" i="99"/>
  <c r="D18" i="99"/>
  <c r="R16" i="99"/>
  <c r="T14" i="99"/>
  <c r="Z14" i="99" s="1"/>
  <c r="R14" i="99"/>
  <c r="P14" i="99"/>
  <c r="X14" i="99" s="1"/>
  <c r="N14" i="99"/>
  <c r="L14" i="99"/>
  <c r="H14" i="99"/>
  <c r="D14" i="99"/>
  <c r="T12" i="99"/>
  <c r="V56" i="99" s="1"/>
  <c r="P12" i="99"/>
  <c r="R53" i="99" s="1"/>
  <c r="H12" i="99"/>
  <c r="J19" i="99" s="1"/>
  <c r="D12" i="99"/>
  <c r="F27" i="99" s="1"/>
  <c r="D6" i="99"/>
  <c r="D4" i="99"/>
  <c r="J32" i="98"/>
  <c r="J29" i="98"/>
  <c r="Z27" i="98"/>
  <c r="X27" i="98"/>
  <c r="N27" i="98"/>
  <c r="L27" i="98"/>
  <c r="Z23" i="98"/>
  <c r="X23" i="98"/>
  <c r="T23" i="98"/>
  <c r="P23" i="98"/>
  <c r="H23" i="98"/>
  <c r="N23" i="98" s="1"/>
  <c r="D23" i="98"/>
  <c r="L23" i="98" s="1"/>
  <c r="Z21" i="98"/>
  <c r="X21" i="98"/>
  <c r="N21" i="98"/>
  <c r="L21" i="98"/>
  <c r="B21" i="98"/>
  <c r="V20" i="98"/>
  <c r="T20" i="98"/>
  <c r="P20" i="98"/>
  <c r="N20" i="98"/>
  <c r="L20" i="98"/>
  <c r="J20" i="98"/>
  <c r="H20" i="98"/>
  <c r="D20" i="98"/>
  <c r="B20" i="98"/>
  <c r="V19" i="98"/>
  <c r="T19" i="98"/>
  <c r="P19" i="98"/>
  <c r="N19" i="98"/>
  <c r="L19" i="98"/>
  <c r="H19" i="98"/>
  <c r="D19" i="98"/>
  <c r="V17" i="98"/>
  <c r="T17" i="98"/>
  <c r="V15" i="98"/>
  <c r="T15" i="98"/>
  <c r="P15" i="98"/>
  <c r="N15" i="98"/>
  <c r="L15" i="98"/>
  <c r="H15" i="98"/>
  <c r="D15" i="98"/>
  <c r="Z13" i="98"/>
  <c r="P13" i="98"/>
  <c r="N13" i="98"/>
  <c r="D13" i="98"/>
  <c r="L13" i="98" s="1"/>
  <c r="B13" i="98"/>
  <c r="Z12" i="98"/>
  <c r="T12" i="98"/>
  <c r="V32" i="98" s="1"/>
  <c r="H12" i="98"/>
  <c r="J21" i="98" s="1"/>
  <c r="D12" i="98"/>
  <c r="D6" i="98"/>
  <c r="D4" i="98"/>
  <c r="Z87" i="97"/>
  <c r="X87" i="97"/>
  <c r="N87" i="97"/>
  <c r="L87" i="97"/>
  <c r="Z83" i="97"/>
  <c r="X83" i="97"/>
  <c r="P83" i="97"/>
  <c r="N83" i="97"/>
  <c r="L83" i="97"/>
  <c r="D83" i="97"/>
  <c r="D82" i="97" s="1"/>
  <c r="B83" i="97"/>
  <c r="T82" i="97"/>
  <c r="P82" i="97"/>
  <c r="N82" i="97"/>
  <c r="L82" i="97"/>
  <c r="H82" i="97"/>
  <c r="Z80" i="97"/>
  <c r="X80" i="97"/>
  <c r="V80" i="97"/>
  <c r="N80" i="97"/>
  <c r="L80" i="97"/>
  <c r="B80" i="97"/>
  <c r="T79" i="97"/>
  <c r="Z79" i="97" s="1"/>
  <c r="P79" i="97"/>
  <c r="X79" i="97" s="1"/>
  <c r="N79" i="97"/>
  <c r="H79" i="97"/>
  <c r="D79" i="97"/>
  <c r="L79" i="97" s="1"/>
  <c r="B79" i="97"/>
  <c r="Z78" i="97"/>
  <c r="X78" i="97"/>
  <c r="N78" i="97"/>
  <c r="L78" i="97"/>
  <c r="B78" i="97"/>
  <c r="Z77" i="97"/>
  <c r="X77" i="97"/>
  <c r="N77" i="97"/>
  <c r="L77" i="97"/>
  <c r="B77" i="97"/>
  <c r="T76" i="97"/>
  <c r="P76" i="97"/>
  <c r="H76" i="97"/>
  <c r="N76" i="97" s="1"/>
  <c r="D76" i="97"/>
  <c r="L76" i="97" s="1"/>
  <c r="B76" i="97"/>
  <c r="Z75" i="97"/>
  <c r="X75" i="97"/>
  <c r="N75" i="97"/>
  <c r="L75" i="97"/>
  <c r="B75" i="97"/>
  <c r="Z74" i="97"/>
  <c r="X74" i="97"/>
  <c r="N74" i="97"/>
  <c r="L74" i="97"/>
  <c r="B74" i="97"/>
  <c r="Z73" i="97"/>
  <c r="X73" i="97"/>
  <c r="N73" i="97"/>
  <c r="L73" i="97"/>
  <c r="B73" i="97"/>
  <c r="Z72" i="97"/>
  <c r="X72" i="97"/>
  <c r="N72" i="97"/>
  <c r="L72" i="97"/>
  <c r="J72" i="97"/>
  <c r="B72" i="97"/>
  <c r="Z71" i="97"/>
  <c r="X71" i="97"/>
  <c r="N71" i="97"/>
  <c r="L71" i="97"/>
  <c r="B71" i="97"/>
  <c r="Z70" i="97"/>
  <c r="X70" i="97"/>
  <c r="N70" i="97"/>
  <c r="L70" i="97"/>
  <c r="B70" i="97"/>
  <c r="Z69" i="97"/>
  <c r="X69" i="97"/>
  <c r="N69" i="97"/>
  <c r="L69" i="97"/>
  <c r="B69" i="97"/>
  <c r="Z68" i="97"/>
  <c r="X68" i="97"/>
  <c r="N68" i="97"/>
  <c r="L68" i="97"/>
  <c r="J68" i="97"/>
  <c r="B68" i="97"/>
  <c r="Z67" i="97"/>
  <c r="X67" i="97"/>
  <c r="N67" i="97"/>
  <c r="L67" i="97"/>
  <c r="B67" i="97"/>
  <c r="Z66" i="97"/>
  <c r="X66" i="97"/>
  <c r="N66" i="97"/>
  <c r="L66" i="97"/>
  <c r="B66" i="97"/>
  <c r="T65" i="97"/>
  <c r="P65" i="97"/>
  <c r="J65" i="97"/>
  <c r="H65" i="97"/>
  <c r="N65" i="97" s="1"/>
  <c r="D65" i="97"/>
  <c r="L65" i="97" s="1"/>
  <c r="B65" i="97"/>
  <c r="Z64" i="97"/>
  <c r="X64" i="97"/>
  <c r="N64" i="97"/>
  <c r="L64" i="97"/>
  <c r="B64" i="97"/>
  <c r="Z63" i="97"/>
  <c r="X63" i="97"/>
  <c r="N63" i="97"/>
  <c r="L63" i="97"/>
  <c r="J63" i="97"/>
  <c r="B63" i="97"/>
  <c r="Z62" i="97"/>
  <c r="X62" i="97"/>
  <c r="T62" i="97"/>
  <c r="P62" i="97"/>
  <c r="J62" i="97"/>
  <c r="H62" i="97"/>
  <c r="D62" i="97"/>
  <c r="B62" i="97"/>
  <c r="Z61" i="97"/>
  <c r="X61" i="97"/>
  <c r="N61" i="97"/>
  <c r="L61" i="97"/>
  <c r="B61" i="97"/>
  <c r="Z60" i="97"/>
  <c r="X60" i="97"/>
  <c r="N60" i="97"/>
  <c r="L60" i="97"/>
  <c r="B60" i="97"/>
  <c r="Z59" i="97"/>
  <c r="X59" i="97"/>
  <c r="V59" i="97"/>
  <c r="T59" i="97"/>
  <c r="P59" i="97"/>
  <c r="N59" i="97"/>
  <c r="H59" i="97"/>
  <c r="D59" i="97"/>
  <c r="L59" i="97" s="1"/>
  <c r="B59" i="97"/>
  <c r="Z58" i="97"/>
  <c r="X58" i="97"/>
  <c r="N58" i="97"/>
  <c r="L58" i="97"/>
  <c r="B58" i="97"/>
  <c r="Z57" i="97"/>
  <c r="X57" i="97"/>
  <c r="N57" i="97"/>
  <c r="L57" i="97"/>
  <c r="B57" i="97"/>
  <c r="Z56" i="97"/>
  <c r="X56" i="97"/>
  <c r="N56" i="97"/>
  <c r="L56" i="97"/>
  <c r="J56" i="97"/>
  <c r="B56" i="97"/>
  <c r="T55" i="97"/>
  <c r="Z55" i="97" s="1"/>
  <c r="P55" i="97"/>
  <c r="X55" i="97" s="1"/>
  <c r="H55" i="97"/>
  <c r="D55" i="97"/>
  <c r="B55" i="97"/>
  <c r="Z54" i="97"/>
  <c r="X54" i="97"/>
  <c r="N54" i="97"/>
  <c r="L54" i="97"/>
  <c r="B54" i="97"/>
  <c r="Z53" i="97"/>
  <c r="T53" i="97"/>
  <c r="X53" i="97" s="1"/>
  <c r="P53" i="97"/>
  <c r="H53" i="97"/>
  <c r="N53" i="97" s="1"/>
  <c r="D53" i="97"/>
  <c r="L53" i="97" s="1"/>
  <c r="B53" i="97"/>
  <c r="Z52" i="97"/>
  <c r="X52" i="97"/>
  <c r="N52" i="97"/>
  <c r="L52" i="97"/>
  <c r="B52" i="97"/>
  <c r="Z51" i="97"/>
  <c r="X51" i="97"/>
  <c r="T51" i="97"/>
  <c r="P51" i="97"/>
  <c r="N51" i="97"/>
  <c r="H51" i="97"/>
  <c r="D51" i="97"/>
  <c r="L51" i="97" s="1"/>
  <c r="B51" i="97"/>
  <c r="Z50" i="97"/>
  <c r="X50" i="97"/>
  <c r="N50" i="97"/>
  <c r="L50" i="97"/>
  <c r="B50" i="97"/>
  <c r="T49" i="97"/>
  <c r="P49" i="97"/>
  <c r="J49" i="97"/>
  <c r="H49" i="97"/>
  <c r="N49" i="97" s="1"/>
  <c r="D49" i="97"/>
  <c r="L49" i="97" s="1"/>
  <c r="B49" i="97"/>
  <c r="X48" i="97"/>
  <c r="Z48" i="97" s="1"/>
  <c r="V48" i="97"/>
  <c r="N48" i="97"/>
  <c r="L48" i="97"/>
  <c r="B48" i="97"/>
  <c r="Z47" i="97"/>
  <c r="X47" i="97"/>
  <c r="N47" i="97"/>
  <c r="L47" i="97"/>
  <c r="J47" i="97"/>
  <c r="B47" i="97"/>
  <c r="X46" i="97"/>
  <c r="Z46" i="97" s="1"/>
  <c r="T46" i="97"/>
  <c r="P46" i="97"/>
  <c r="J46" i="97"/>
  <c r="H46" i="97"/>
  <c r="D46" i="97"/>
  <c r="B46" i="97"/>
  <c r="Z45" i="97"/>
  <c r="X45" i="97"/>
  <c r="N45" i="97"/>
  <c r="L45" i="97"/>
  <c r="J45" i="97"/>
  <c r="F45" i="97"/>
  <c r="B45" i="97"/>
  <c r="T44" i="97"/>
  <c r="P44" i="97"/>
  <c r="H44" i="97"/>
  <c r="N44" i="97" s="1"/>
  <c r="D44" i="97"/>
  <c r="L44" i="97" s="1"/>
  <c r="B44" i="97"/>
  <c r="Z43" i="97"/>
  <c r="X43" i="97"/>
  <c r="N43" i="97"/>
  <c r="L43" i="97"/>
  <c r="B43" i="97"/>
  <c r="Z42" i="97"/>
  <c r="T42" i="97"/>
  <c r="P42" i="97"/>
  <c r="X42" i="97" s="1"/>
  <c r="N42" i="97"/>
  <c r="H42" i="97"/>
  <c r="D42" i="97"/>
  <c r="L42" i="97" s="1"/>
  <c r="B42" i="97"/>
  <c r="Z41" i="97"/>
  <c r="X41" i="97"/>
  <c r="N41" i="97"/>
  <c r="L41" i="97"/>
  <c r="B41" i="97"/>
  <c r="Z40" i="97"/>
  <c r="X40" i="97"/>
  <c r="N40" i="97"/>
  <c r="L40" i="97"/>
  <c r="B40" i="97"/>
  <c r="Z39" i="97"/>
  <c r="X39" i="97"/>
  <c r="N39" i="97"/>
  <c r="L39" i="97"/>
  <c r="J39" i="97"/>
  <c r="B39" i="97"/>
  <c r="Z38" i="97"/>
  <c r="X38" i="97"/>
  <c r="N38" i="97"/>
  <c r="L38" i="97"/>
  <c r="B38" i="97"/>
  <c r="Z37" i="97"/>
  <c r="X37" i="97"/>
  <c r="N37" i="97"/>
  <c r="L37" i="97"/>
  <c r="B37" i="97"/>
  <c r="Z36" i="97"/>
  <c r="X36" i="97"/>
  <c r="N36" i="97"/>
  <c r="L36" i="97"/>
  <c r="B36" i="97"/>
  <c r="Z35" i="97"/>
  <c r="X35" i="97"/>
  <c r="N35" i="97"/>
  <c r="L35" i="97"/>
  <c r="J35" i="97"/>
  <c r="B35" i="97"/>
  <c r="Z34" i="97"/>
  <c r="X34" i="97"/>
  <c r="N34" i="97"/>
  <c r="L34" i="97"/>
  <c r="J34" i="97"/>
  <c r="B34" i="97"/>
  <c r="Z33" i="97"/>
  <c r="X33" i="97"/>
  <c r="N33" i="97"/>
  <c r="L33" i="97"/>
  <c r="B33" i="97"/>
  <c r="Z32" i="97"/>
  <c r="X32" i="97"/>
  <c r="N32" i="97"/>
  <c r="L32" i="97"/>
  <c r="F32" i="97"/>
  <c r="B32" i="97"/>
  <c r="T31" i="97"/>
  <c r="Z31" i="97" s="1"/>
  <c r="P31" i="97"/>
  <c r="X31" i="97" s="1"/>
  <c r="N31" i="97"/>
  <c r="H31" i="97"/>
  <c r="D31" i="97"/>
  <c r="L31" i="97" s="1"/>
  <c r="B31" i="97"/>
  <c r="Z30" i="97"/>
  <c r="X30" i="97"/>
  <c r="V30" i="97"/>
  <c r="N30" i="97"/>
  <c r="L30" i="97"/>
  <c r="B30" i="97"/>
  <c r="Z29" i="97"/>
  <c r="X29" i="97"/>
  <c r="N29" i="97"/>
  <c r="L29" i="97"/>
  <c r="J29" i="97"/>
  <c r="B29" i="97"/>
  <c r="Z28" i="97"/>
  <c r="X28" i="97"/>
  <c r="N28" i="97"/>
  <c r="L28" i="97"/>
  <c r="B28" i="97"/>
  <c r="Z27" i="97"/>
  <c r="X27" i="97"/>
  <c r="N27" i="97"/>
  <c r="L27" i="97"/>
  <c r="J27" i="97"/>
  <c r="F27" i="97"/>
  <c r="B27" i="97"/>
  <c r="Z26" i="97"/>
  <c r="X26" i="97"/>
  <c r="N26" i="97"/>
  <c r="L26" i="97"/>
  <c r="B26" i="97"/>
  <c r="Z25" i="97"/>
  <c r="X25" i="97"/>
  <c r="N25" i="97"/>
  <c r="L25" i="97"/>
  <c r="J25" i="97"/>
  <c r="B25" i="97"/>
  <c r="Z24" i="97"/>
  <c r="X24" i="97"/>
  <c r="N24" i="97"/>
  <c r="L24" i="97"/>
  <c r="B24" i="97"/>
  <c r="Z23" i="97"/>
  <c r="X23" i="97"/>
  <c r="V23" i="97"/>
  <c r="N23" i="97"/>
  <c r="L23" i="97"/>
  <c r="J23" i="97"/>
  <c r="B23" i="97"/>
  <c r="T22" i="97"/>
  <c r="Z22" i="97" s="1"/>
  <c r="P22" i="97"/>
  <c r="H22" i="97"/>
  <c r="D22" i="97"/>
  <c r="B22" i="97"/>
  <c r="T21" i="97"/>
  <c r="X21" i="97" s="1"/>
  <c r="P21" i="97"/>
  <c r="J21" i="97"/>
  <c r="H21" i="97"/>
  <c r="D21" i="97"/>
  <c r="T19" i="97"/>
  <c r="J19" i="97"/>
  <c r="H19" i="97"/>
  <c r="D19" i="97"/>
  <c r="Z17" i="97"/>
  <c r="X17" i="97"/>
  <c r="N17" i="97"/>
  <c r="L17" i="97"/>
  <c r="B17" i="97"/>
  <c r="Z16" i="97"/>
  <c r="T16" i="97"/>
  <c r="P16" i="97"/>
  <c r="X16" i="97" s="1"/>
  <c r="N16" i="97"/>
  <c r="L16" i="97"/>
  <c r="H16" i="97"/>
  <c r="D16" i="97"/>
  <c r="Z14" i="97"/>
  <c r="P14" i="97"/>
  <c r="X14" i="97" s="1"/>
  <c r="N14" i="97"/>
  <c r="L14" i="97"/>
  <c r="D14" i="97"/>
  <c r="B14" i="97"/>
  <c r="Z13" i="97"/>
  <c r="X13" i="97"/>
  <c r="P13" i="97"/>
  <c r="N13" i="97"/>
  <c r="D13" i="97"/>
  <c r="D12" i="97" s="1"/>
  <c r="F40" i="97" s="1"/>
  <c r="B13" i="97"/>
  <c r="T12" i="97"/>
  <c r="V55" i="97" s="1"/>
  <c r="P12" i="97"/>
  <c r="N12" i="97"/>
  <c r="H12" i="97"/>
  <c r="J80" i="97" s="1"/>
  <c r="D6" i="97"/>
  <c r="D4" i="97"/>
  <c r="X100" i="95"/>
  <c r="Z100" i="95" s="1"/>
  <c r="L100" i="95"/>
  <c r="N100" i="95" s="1"/>
  <c r="J100" i="95"/>
  <c r="T96" i="95"/>
  <c r="Z96" i="95" s="1"/>
  <c r="P96" i="95"/>
  <c r="H96" i="95"/>
  <c r="N96" i="95" s="1"/>
  <c r="D96" i="95"/>
  <c r="Z94" i="95"/>
  <c r="X94" i="95"/>
  <c r="N94" i="95"/>
  <c r="L94" i="95"/>
  <c r="B94" i="95"/>
  <c r="T93" i="95"/>
  <c r="X93" i="95" s="1"/>
  <c r="Z93" i="95" s="1"/>
  <c r="P93" i="95"/>
  <c r="H93" i="95"/>
  <c r="D93" i="95"/>
  <c r="L93" i="95" s="1"/>
  <c r="B93" i="95"/>
  <c r="Z92" i="95"/>
  <c r="X92" i="95"/>
  <c r="N92" i="95"/>
  <c r="L92" i="95"/>
  <c r="B92" i="95"/>
  <c r="Z91" i="95"/>
  <c r="X91" i="95"/>
  <c r="V91" i="95"/>
  <c r="N91" i="95"/>
  <c r="L91" i="95"/>
  <c r="B91" i="95"/>
  <c r="Z90" i="95"/>
  <c r="T90" i="95"/>
  <c r="P90" i="95"/>
  <c r="X90" i="95" s="1"/>
  <c r="N90" i="95"/>
  <c r="H90" i="95"/>
  <c r="D90" i="95"/>
  <c r="L90" i="95" s="1"/>
  <c r="B90" i="95"/>
  <c r="Z89" i="95"/>
  <c r="X89" i="95"/>
  <c r="N89" i="95"/>
  <c r="L89" i="95"/>
  <c r="B89" i="95"/>
  <c r="T88" i="95"/>
  <c r="Z88" i="95" s="1"/>
  <c r="P88" i="95"/>
  <c r="N88" i="95"/>
  <c r="L88" i="95"/>
  <c r="H88" i="95"/>
  <c r="D88" i="95"/>
  <c r="B88" i="95"/>
  <c r="Z87" i="95"/>
  <c r="X87" i="95"/>
  <c r="N87" i="95"/>
  <c r="L87" i="95"/>
  <c r="B87" i="95"/>
  <c r="Z86" i="95"/>
  <c r="X86" i="95"/>
  <c r="L86" i="95"/>
  <c r="N86" i="95" s="1"/>
  <c r="B86" i="95"/>
  <c r="T85" i="95"/>
  <c r="P85" i="95"/>
  <c r="X85" i="95" s="1"/>
  <c r="Z85" i="95" s="1"/>
  <c r="L85" i="95"/>
  <c r="N85" i="95" s="1"/>
  <c r="H85" i="95"/>
  <c r="D85" i="95"/>
  <c r="B85" i="95"/>
  <c r="Z84" i="95"/>
  <c r="X84" i="95"/>
  <c r="N84" i="95"/>
  <c r="L84" i="95"/>
  <c r="B84" i="95"/>
  <c r="X83" i="95"/>
  <c r="Z83" i="95" s="1"/>
  <c r="N83" i="95"/>
  <c r="L83" i="95"/>
  <c r="B83" i="95"/>
  <c r="X82" i="95"/>
  <c r="Z82" i="95" s="1"/>
  <c r="N82" i="95"/>
  <c r="L82" i="95"/>
  <c r="B82" i="95"/>
  <c r="Z81" i="95"/>
  <c r="X81" i="95"/>
  <c r="N81" i="95"/>
  <c r="L81" i="95"/>
  <c r="B81" i="95"/>
  <c r="Z80" i="95"/>
  <c r="X80" i="95"/>
  <c r="N80" i="95"/>
  <c r="L80" i="95"/>
  <c r="B80" i="95"/>
  <c r="Z79" i="95"/>
  <c r="X79" i="95"/>
  <c r="N79" i="95"/>
  <c r="L79" i="95"/>
  <c r="B79" i="95"/>
  <c r="Z78" i="95"/>
  <c r="X78" i="95"/>
  <c r="N78" i="95"/>
  <c r="L78" i="95"/>
  <c r="B78" i="95"/>
  <c r="T77" i="95"/>
  <c r="P77" i="95"/>
  <c r="X77" i="95" s="1"/>
  <c r="Z77" i="95" s="1"/>
  <c r="L77" i="95"/>
  <c r="N77" i="95" s="1"/>
  <c r="H77" i="95"/>
  <c r="D77" i="95"/>
  <c r="B77" i="95"/>
  <c r="Z76" i="95"/>
  <c r="X76" i="95"/>
  <c r="L76" i="95"/>
  <c r="N76" i="95" s="1"/>
  <c r="J76" i="95"/>
  <c r="B76" i="95"/>
  <c r="X75" i="95"/>
  <c r="T75" i="95"/>
  <c r="Z75" i="95" s="1"/>
  <c r="P75" i="95"/>
  <c r="H75" i="95"/>
  <c r="D75" i="95"/>
  <c r="B75" i="95"/>
  <c r="Z74" i="95"/>
  <c r="X74" i="95"/>
  <c r="N74" i="95"/>
  <c r="L74" i="95"/>
  <c r="B74" i="95"/>
  <c r="X73" i="95"/>
  <c r="Z73" i="95" s="1"/>
  <c r="N73" i="95"/>
  <c r="L73" i="95"/>
  <c r="B73" i="95"/>
  <c r="X72" i="95"/>
  <c r="Z72" i="95" s="1"/>
  <c r="V72" i="95"/>
  <c r="L72" i="95"/>
  <c r="N72" i="95" s="1"/>
  <c r="B72" i="95"/>
  <c r="X71" i="95"/>
  <c r="Z71" i="95" s="1"/>
  <c r="N71" i="95"/>
  <c r="L71" i="95"/>
  <c r="B71" i="95"/>
  <c r="Z70" i="95"/>
  <c r="X70" i="95"/>
  <c r="N70" i="95"/>
  <c r="L70" i="95"/>
  <c r="B70" i="95"/>
  <c r="T69" i="95"/>
  <c r="Z69" i="95" s="1"/>
  <c r="P69" i="95"/>
  <c r="X69" i="95" s="1"/>
  <c r="H69" i="95"/>
  <c r="D69" i="95"/>
  <c r="L69" i="95" s="1"/>
  <c r="B69" i="95"/>
  <c r="X68" i="95"/>
  <c r="Z68" i="95" s="1"/>
  <c r="N68" i="95"/>
  <c r="L68" i="95"/>
  <c r="B68" i="95"/>
  <c r="X67" i="95"/>
  <c r="Z67" i="95" s="1"/>
  <c r="L67" i="95"/>
  <c r="N67" i="95" s="1"/>
  <c r="B67" i="95"/>
  <c r="T66" i="95"/>
  <c r="P66" i="95"/>
  <c r="H66" i="95"/>
  <c r="L66" i="95" s="1"/>
  <c r="D66" i="95"/>
  <c r="B66" i="95"/>
  <c r="X65" i="95"/>
  <c r="Z65" i="95" s="1"/>
  <c r="L65" i="95"/>
  <c r="N65" i="95" s="1"/>
  <c r="B65" i="95"/>
  <c r="T64" i="95"/>
  <c r="P64" i="95"/>
  <c r="X64" i="95" s="1"/>
  <c r="Z64" i="95" s="1"/>
  <c r="H64" i="95"/>
  <c r="D64" i="95"/>
  <c r="L64" i="95" s="1"/>
  <c r="N64" i="95" s="1"/>
  <c r="B64" i="95"/>
  <c r="X63" i="95"/>
  <c r="Z63" i="95" s="1"/>
  <c r="L63" i="95"/>
  <c r="N63" i="95" s="1"/>
  <c r="B63" i="95"/>
  <c r="Z62" i="95"/>
  <c r="X62" i="95"/>
  <c r="T62" i="95"/>
  <c r="P62" i="95"/>
  <c r="L62" i="95"/>
  <c r="N62" i="95" s="1"/>
  <c r="J62" i="95"/>
  <c r="H62" i="95"/>
  <c r="D62" i="95"/>
  <c r="B62" i="95"/>
  <c r="X61" i="95"/>
  <c r="Z61" i="95" s="1"/>
  <c r="L61" i="95"/>
  <c r="N61" i="95" s="1"/>
  <c r="B61" i="95"/>
  <c r="T60" i="95"/>
  <c r="X60" i="95" s="1"/>
  <c r="P60" i="95"/>
  <c r="H60" i="95"/>
  <c r="D60" i="95"/>
  <c r="L60" i="95" s="1"/>
  <c r="B60" i="95"/>
  <c r="X59" i="95"/>
  <c r="Z59" i="95" s="1"/>
  <c r="L59" i="95"/>
  <c r="N59" i="95" s="1"/>
  <c r="B59" i="95"/>
  <c r="Z58" i="95"/>
  <c r="T58" i="95"/>
  <c r="P58" i="95"/>
  <c r="X58" i="95" s="1"/>
  <c r="H58" i="95"/>
  <c r="D58" i="95"/>
  <c r="L58" i="95" s="1"/>
  <c r="N58" i="95" s="1"/>
  <c r="B58" i="95"/>
  <c r="X57" i="95"/>
  <c r="Z57" i="95" s="1"/>
  <c r="N57" i="95"/>
  <c r="L57" i="95"/>
  <c r="B57" i="95"/>
  <c r="X56" i="95"/>
  <c r="Z56" i="95" s="1"/>
  <c r="V56" i="95"/>
  <c r="T56" i="95"/>
  <c r="P56" i="95"/>
  <c r="L56" i="95"/>
  <c r="N56" i="95" s="1"/>
  <c r="H56" i="95"/>
  <c r="D56" i="95"/>
  <c r="B56" i="95"/>
  <c r="X55" i="95"/>
  <c r="Z55" i="95" s="1"/>
  <c r="L55" i="95"/>
  <c r="N55" i="95" s="1"/>
  <c r="B55" i="95"/>
  <c r="Z54" i="95"/>
  <c r="X54" i="95"/>
  <c r="N54" i="95"/>
  <c r="L54" i="95"/>
  <c r="B54" i="95"/>
  <c r="Z53" i="95"/>
  <c r="X53" i="95"/>
  <c r="T53" i="95"/>
  <c r="P53" i="95"/>
  <c r="L53" i="95"/>
  <c r="N53" i="95" s="1"/>
  <c r="H53" i="95"/>
  <c r="D53" i="95"/>
  <c r="B53" i="95"/>
  <c r="Z52" i="95"/>
  <c r="X52" i="95"/>
  <c r="L52" i="95"/>
  <c r="N52" i="95" s="1"/>
  <c r="J52" i="95"/>
  <c r="B52" i="95"/>
  <c r="X51" i="95"/>
  <c r="T51" i="95"/>
  <c r="Z51" i="95" s="1"/>
  <c r="P51" i="95"/>
  <c r="H51" i="95"/>
  <c r="D51" i="95"/>
  <c r="B51" i="95"/>
  <c r="Z50" i="95"/>
  <c r="X50" i="95"/>
  <c r="N50" i="95"/>
  <c r="L50" i="95"/>
  <c r="B50" i="95"/>
  <c r="T49" i="95"/>
  <c r="P49" i="95"/>
  <c r="X49" i="95" s="1"/>
  <c r="H49" i="95"/>
  <c r="D49" i="95"/>
  <c r="L49" i="95" s="1"/>
  <c r="B49" i="95"/>
  <c r="X48" i="95"/>
  <c r="Z48" i="95" s="1"/>
  <c r="N48" i="95"/>
  <c r="L48" i="95"/>
  <c r="B48" i="95"/>
  <c r="X47" i="95"/>
  <c r="Z47" i="95" s="1"/>
  <c r="T47" i="95"/>
  <c r="P47" i="95"/>
  <c r="N47" i="95"/>
  <c r="L47" i="95"/>
  <c r="H47" i="95"/>
  <c r="D47" i="95"/>
  <c r="B47" i="95"/>
  <c r="Z46" i="95"/>
  <c r="X46" i="95"/>
  <c r="N46" i="95"/>
  <c r="L46" i="95"/>
  <c r="B46" i="95"/>
  <c r="Z45" i="95"/>
  <c r="X45" i="95"/>
  <c r="N45" i="95"/>
  <c r="L45" i="95"/>
  <c r="B45" i="95"/>
  <c r="Z44" i="95"/>
  <c r="X44" i="95"/>
  <c r="L44" i="95"/>
  <c r="N44" i="95" s="1"/>
  <c r="J44" i="95"/>
  <c r="B44" i="95"/>
  <c r="X43" i="95"/>
  <c r="Z43" i="95" s="1"/>
  <c r="N43" i="95"/>
  <c r="L43" i="95"/>
  <c r="B43" i="95"/>
  <c r="Z42" i="95"/>
  <c r="X42" i="95"/>
  <c r="N42" i="95"/>
  <c r="L42" i="95"/>
  <c r="B42" i="95"/>
  <c r="X41" i="95"/>
  <c r="Z41" i="95" s="1"/>
  <c r="L41" i="95"/>
  <c r="N41" i="95" s="1"/>
  <c r="B41" i="95"/>
  <c r="Z40" i="95"/>
  <c r="X40" i="95"/>
  <c r="L40" i="95"/>
  <c r="N40" i="95" s="1"/>
  <c r="J40" i="95"/>
  <c r="B40" i="95"/>
  <c r="Z39" i="95"/>
  <c r="X39" i="95"/>
  <c r="N39" i="95"/>
  <c r="L39" i="95"/>
  <c r="B39" i="95"/>
  <c r="Z38" i="95"/>
  <c r="X38" i="95"/>
  <c r="L38" i="95"/>
  <c r="N38" i="95" s="1"/>
  <c r="B38" i="95"/>
  <c r="Z37" i="95"/>
  <c r="X37" i="95"/>
  <c r="N37" i="95"/>
  <c r="L37" i="95"/>
  <c r="B37" i="95"/>
  <c r="T36" i="95"/>
  <c r="P36" i="95"/>
  <c r="X36" i="95" s="1"/>
  <c r="Z36" i="95" s="1"/>
  <c r="N36" i="95"/>
  <c r="H36" i="95"/>
  <c r="D36" i="95"/>
  <c r="L36" i="95" s="1"/>
  <c r="B36" i="95"/>
  <c r="Z35" i="95"/>
  <c r="X35" i="95"/>
  <c r="N35" i="95"/>
  <c r="L35" i="95"/>
  <c r="B35" i="95"/>
  <c r="X34" i="95"/>
  <c r="Z34" i="95" s="1"/>
  <c r="N34" i="95"/>
  <c r="L34" i="95"/>
  <c r="B34" i="95"/>
  <c r="X33" i="95"/>
  <c r="Z33" i="95" s="1"/>
  <c r="N33" i="95"/>
  <c r="L33" i="95"/>
  <c r="B33" i="95"/>
  <c r="Z32" i="95"/>
  <c r="X32" i="95"/>
  <c r="V32" i="95"/>
  <c r="N32" i="95"/>
  <c r="L32" i="95"/>
  <c r="B32" i="95"/>
  <c r="X31" i="95"/>
  <c r="Z31" i="95" s="1"/>
  <c r="L31" i="95"/>
  <c r="N31" i="95" s="1"/>
  <c r="B31" i="95"/>
  <c r="X30" i="95"/>
  <c r="Z30" i="95" s="1"/>
  <c r="N30" i="95"/>
  <c r="L30" i="95"/>
  <c r="B30" i="95"/>
  <c r="X29" i="95"/>
  <c r="Z29" i="95" s="1"/>
  <c r="N29" i="95"/>
  <c r="L29" i="95"/>
  <c r="B29" i="95"/>
  <c r="X28" i="95"/>
  <c r="Z28" i="95" s="1"/>
  <c r="V28" i="95"/>
  <c r="L28" i="95"/>
  <c r="N28" i="95" s="1"/>
  <c r="B28" i="95"/>
  <c r="X27" i="95"/>
  <c r="Z27" i="95" s="1"/>
  <c r="L27" i="95"/>
  <c r="N27" i="95" s="1"/>
  <c r="B27" i="95"/>
  <c r="X26" i="95"/>
  <c r="Z26" i="95" s="1"/>
  <c r="T26" i="95"/>
  <c r="P26" i="95"/>
  <c r="L26" i="95"/>
  <c r="N26" i="95" s="1"/>
  <c r="J26" i="95"/>
  <c r="H26" i="95"/>
  <c r="D26" i="95"/>
  <c r="B26" i="95"/>
  <c r="Z25" i="95"/>
  <c r="X25" i="95"/>
  <c r="T25" i="95"/>
  <c r="P25" i="95"/>
  <c r="L25" i="95"/>
  <c r="N25" i="95" s="1"/>
  <c r="H25" i="95"/>
  <c r="D25" i="95"/>
  <c r="Z21" i="95"/>
  <c r="X21" i="95"/>
  <c r="N21" i="95"/>
  <c r="L21" i="95"/>
  <c r="B21" i="95"/>
  <c r="Z20" i="95"/>
  <c r="X20" i="95"/>
  <c r="V20" i="95"/>
  <c r="N20" i="95"/>
  <c r="L20" i="95"/>
  <c r="B20" i="95"/>
  <c r="X19" i="95"/>
  <c r="Z19" i="95" s="1"/>
  <c r="L19" i="95"/>
  <c r="N19" i="95" s="1"/>
  <c r="B19" i="95"/>
  <c r="V18" i="95"/>
  <c r="T18" i="95"/>
  <c r="P18" i="95"/>
  <c r="J18" i="95"/>
  <c r="H18" i="95"/>
  <c r="L18" i="95" s="1"/>
  <c r="D18" i="95"/>
  <c r="Z16" i="95"/>
  <c r="P16" i="95"/>
  <c r="X16" i="95" s="1"/>
  <c r="N16" i="95"/>
  <c r="L16" i="95"/>
  <c r="D16" i="95"/>
  <c r="B16" i="95"/>
  <c r="X15" i="95"/>
  <c r="Z15" i="95" s="1"/>
  <c r="P15" i="95"/>
  <c r="D15" i="95"/>
  <c r="L15" i="95" s="1"/>
  <c r="N15" i="95" s="1"/>
  <c r="B15" i="95"/>
  <c r="Z14" i="95"/>
  <c r="P14" i="95"/>
  <c r="N14" i="95"/>
  <c r="L14" i="95"/>
  <c r="D14" i="95"/>
  <c r="B14" i="95"/>
  <c r="Z13" i="95"/>
  <c r="X13" i="95"/>
  <c r="P13" i="95"/>
  <c r="D13" i="95"/>
  <c r="D12" i="95" s="1"/>
  <c r="B13" i="95"/>
  <c r="T12" i="95"/>
  <c r="H12" i="95"/>
  <c r="D6" i="95"/>
  <c r="D4" i="95"/>
  <c r="Z80" i="94"/>
  <c r="X80" i="94"/>
  <c r="N80" i="94"/>
  <c r="L80" i="94"/>
  <c r="Z76" i="94"/>
  <c r="T76" i="94"/>
  <c r="P76" i="94"/>
  <c r="X76" i="94" s="1"/>
  <c r="N76" i="94"/>
  <c r="H76" i="94"/>
  <c r="D76" i="94"/>
  <c r="L76" i="94" s="1"/>
  <c r="Z74" i="94"/>
  <c r="X74" i="94"/>
  <c r="N74" i="94"/>
  <c r="L74" i="94"/>
  <c r="B74" i="94"/>
  <c r="X73" i="94"/>
  <c r="T73" i="94"/>
  <c r="Z73" i="94" s="1"/>
  <c r="P73" i="94"/>
  <c r="H73" i="94"/>
  <c r="D73" i="94"/>
  <c r="B73" i="94"/>
  <c r="Z72" i="94"/>
  <c r="X72" i="94"/>
  <c r="N72" i="94"/>
  <c r="L72" i="94"/>
  <c r="B72" i="94"/>
  <c r="T71" i="94"/>
  <c r="Z71" i="94" s="1"/>
  <c r="P71" i="94"/>
  <c r="H71" i="94"/>
  <c r="N71" i="94" s="1"/>
  <c r="D71" i="94"/>
  <c r="L71" i="94" s="1"/>
  <c r="B71" i="94"/>
  <c r="Z70" i="94"/>
  <c r="X70" i="94"/>
  <c r="N70" i="94"/>
  <c r="L70" i="94"/>
  <c r="B70" i="94"/>
  <c r="Z69" i="94"/>
  <c r="T69" i="94"/>
  <c r="P69" i="94"/>
  <c r="X69" i="94" s="1"/>
  <c r="N69" i="94"/>
  <c r="H69" i="94"/>
  <c r="D69" i="94"/>
  <c r="L69" i="94" s="1"/>
  <c r="B69" i="94"/>
  <c r="Z68" i="94"/>
  <c r="X68" i="94"/>
  <c r="N68" i="94"/>
  <c r="L68" i="94"/>
  <c r="B68" i="94"/>
  <c r="Z67" i="94"/>
  <c r="X67" i="94"/>
  <c r="N67" i="94"/>
  <c r="L67" i="94"/>
  <c r="B67" i="94"/>
  <c r="Z66" i="94"/>
  <c r="X66" i="94"/>
  <c r="N66" i="94"/>
  <c r="L66" i="94"/>
  <c r="B66" i="94"/>
  <c r="X65" i="94"/>
  <c r="T65" i="94"/>
  <c r="Z65" i="94" s="1"/>
  <c r="P65" i="94"/>
  <c r="H65" i="94"/>
  <c r="D65" i="94"/>
  <c r="B65" i="94"/>
  <c r="Z64" i="94"/>
  <c r="X64" i="94"/>
  <c r="N64" i="94"/>
  <c r="L64" i="94"/>
  <c r="B64" i="94"/>
  <c r="T63" i="94"/>
  <c r="Z63" i="94" s="1"/>
  <c r="P63" i="94"/>
  <c r="X63" i="94" s="1"/>
  <c r="H63" i="94"/>
  <c r="N63" i="94" s="1"/>
  <c r="D63" i="94"/>
  <c r="L63" i="94" s="1"/>
  <c r="B63" i="94"/>
  <c r="Z62" i="94"/>
  <c r="X62" i="94"/>
  <c r="N62" i="94"/>
  <c r="L62" i="94"/>
  <c r="B62" i="94"/>
  <c r="Z61" i="94"/>
  <c r="X61" i="94"/>
  <c r="T61" i="94"/>
  <c r="P61" i="94"/>
  <c r="N61" i="94"/>
  <c r="H61" i="94"/>
  <c r="D61" i="94"/>
  <c r="L61" i="94" s="1"/>
  <c r="B61" i="94"/>
  <c r="Z60" i="94"/>
  <c r="X60" i="94"/>
  <c r="N60" i="94"/>
  <c r="L60" i="94"/>
  <c r="B60" i="94"/>
  <c r="T59" i="94"/>
  <c r="P59" i="94"/>
  <c r="L59" i="94"/>
  <c r="H59" i="94"/>
  <c r="N59" i="94" s="1"/>
  <c r="D59" i="94"/>
  <c r="B59" i="94"/>
  <c r="Z58" i="94"/>
  <c r="X58" i="94"/>
  <c r="N58" i="94"/>
  <c r="L58" i="94"/>
  <c r="J58" i="94"/>
  <c r="B58" i="94"/>
  <c r="Z57" i="94"/>
  <c r="X57" i="94"/>
  <c r="N57" i="94"/>
  <c r="L57" i="94"/>
  <c r="B57" i="94"/>
  <c r="Z56" i="94"/>
  <c r="X56" i="94"/>
  <c r="T56" i="94"/>
  <c r="P56" i="94"/>
  <c r="N56" i="94"/>
  <c r="L56" i="94"/>
  <c r="H56" i="94"/>
  <c r="D56" i="94"/>
  <c r="B56" i="94"/>
  <c r="Z55" i="94"/>
  <c r="X55" i="94"/>
  <c r="N55" i="94"/>
  <c r="L55" i="94"/>
  <c r="B55" i="94"/>
  <c r="T54" i="94"/>
  <c r="P54" i="94"/>
  <c r="H54" i="94"/>
  <c r="N54" i="94" s="1"/>
  <c r="D54" i="94"/>
  <c r="B54" i="94"/>
  <c r="Z53" i="94"/>
  <c r="X53" i="94"/>
  <c r="V53" i="94"/>
  <c r="N53" i="94"/>
  <c r="L53" i="94"/>
  <c r="B53" i="94"/>
  <c r="Z52" i="94"/>
  <c r="T52" i="94"/>
  <c r="P52" i="94"/>
  <c r="X52" i="94" s="1"/>
  <c r="N52" i="94"/>
  <c r="H52" i="94"/>
  <c r="D52" i="94"/>
  <c r="L52" i="94" s="1"/>
  <c r="B52" i="94"/>
  <c r="Z51" i="94"/>
  <c r="X51" i="94"/>
  <c r="N51" i="94"/>
  <c r="L51" i="94"/>
  <c r="B51" i="94"/>
  <c r="Z50" i="94"/>
  <c r="X50" i="94"/>
  <c r="T50" i="94"/>
  <c r="P50" i="94"/>
  <c r="N50" i="94"/>
  <c r="L50" i="94"/>
  <c r="H50" i="94"/>
  <c r="D50" i="94"/>
  <c r="B50" i="94"/>
  <c r="X49" i="94"/>
  <c r="Z49" i="94" s="1"/>
  <c r="L49" i="94"/>
  <c r="N49" i="94" s="1"/>
  <c r="J49" i="94"/>
  <c r="B49" i="94"/>
  <c r="T48" i="94"/>
  <c r="P48" i="94"/>
  <c r="H48" i="94"/>
  <c r="D48" i="94"/>
  <c r="B48" i="94"/>
  <c r="Z47" i="94"/>
  <c r="X47" i="94"/>
  <c r="N47" i="94"/>
  <c r="L47" i="94"/>
  <c r="B47" i="94"/>
  <c r="Z46" i="94"/>
  <c r="T46" i="94"/>
  <c r="P46" i="94"/>
  <c r="X46" i="94" s="1"/>
  <c r="N46" i="94"/>
  <c r="H46" i="94"/>
  <c r="D46" i="94"/>
  <c r="L46" i="94" s="1"/>
  <c r="B46" i="94"/>
  <c r="Z45" i="94"/>
  <c r="X45" i="94"/>
  <c r="N45" i="94"/>
  <c r="L45" i="94"/>
  <c r="B45" i="94"/>
  <c r="Z44" i="94"/>
  <c r="X44" i="94"/>
  <c r="V44" i="94"/>
  <c r="T44" i="94"/>
  <c r="P44" i="94"/>
  <c r="N44" i="94"/>
  <c r="L44" i="94"/>
  <c r="H44" i="94"/>
  <c r="D44" i="94"/>
  <c r="B44" i="94"/>
  <c r="Z43" i="94"/>
  <c r="X43" i="94"/>
  <c r="N43" i="94"/>
  <c r="L43" i="94"/>
  <c r="B43" i="94"/>
  <c r="Z42" i="94"/>
  <c r="X42" i="94"/>
  <c r="N42" i="94"/>
  <c r="L42" i="94"/>
  <c r="J42" i="94"/>
  <c r="B42" i="94"/>
  <c r="Z41" i="94"/>
  <c r="X41" i="94"/>
  <c r="N41" i="94"/>
  <c r="L41" i="94"/>
  <c r="B41" i="94"/>
  <c r="Z40" i="94"/>
  <c r="X40" i="94"/>
  <c r="R40" i="94"/>
  <c r="N40" i="94"/>
  <c r="L40" i="94"/>
  <c r="B40" i="94"/>
  <c r="Z39" i="94"/>
  <c r="X39" i="94"/>
  <c r="N39" i="94"/>
  <c r="L39" i="94"/>
  <c r="B39" i="94"/>
  <c r="Z38" i="94"/>
  <c r="X38" i="94"/>
  <c r="N38" i="94"/>
  <c r="L38" i="94"/>
  <c r="B38" i="94"/>
  <c r="Z37" i="94"/>
  <c r="X37" i="94"/>
  <c r="N37" i="94"/>
  <c r="L37" i="94"/>
  <c r="B37" i="94"/>
  <c r="Z36" i="94"/>
  <c r="X36" i="94"/>
  <c r="N36" i="94"/>
  <c r="L36" i="94"/>
  <c r="J36" i="94"/>
  <c r="B36" i="94"/>
  <c r="Z35" i="94"/>
  <c r="X35" i="94"/>
  <c r="N35" i="94"/>
  <c r="L35" i="94"/>
  <c r="B35" i="94"/>
  <c r="Z34" i="94"/>
  <c r="X34" i="94"/>
  <c r="V34" i="94"/>
  <c r="N34" i="94"/>
  <c r="L34" i="94"/>
  <c r="B34" i="94"/>
  <c r="T33" i="94"/>
  <c r="Z33" i="94" s="1"/>
  <c r="P33" i="94"/>
  <c r="X33" i="94" s="1"/>
  <c r="N33" i="94"/>
  <c r="L33" i="94"/>
  <c r="H33" i="94"/>
  <c r="D33" i="94"/>
  <c r="B33" i="94"/>
  <c r="Z32" i="94"/>
  <c r="X32" i="94"/>
  <c r="N32" i="94"/>
  <c r="L32" i="94"/>
  <c r="B32" i="94"/>
  <c r="Z31" i="94"/>
  <c r="X31" i="94"/>
  <c r="N31" i="94"/>
  <c r="L31" i="94"/>
  <c r="B31" i="94"/>
  <c r="Z30" i="94"/>
  <c r="X30" i="94"/>
  <c r="N30" i="94"/>
  <c r="L30" i="94"/>
  <c r="J30" i="94"/>
  <c r="B30" i="94"/>
  <c r="Z29" i="94"/>
  <c r="X29" i="94"/>
  <c r="N29" i="94"/>
  <c r="L29" i="94"/>
  <c r="B29" i="94"/>
  <c r="Z28" i="94"/>
  <c r="X28" i="94"/>
  <c r="N28" i="94"/>
  <c r="L28" i="94"/>
  <c r="B28" i="94"/>
  <c r="Z27" i="94"/>
  <c r="X27" i="94"/>
  <c r="N27" i="94"/>
  <c r="L27" i="94"/>
  <c r="J27" i="94"/>
  <c r="B27" i="94"/>
  <c r="Z26" i="94"/>
  <c r="X26" i="94"/>
  <c r="N26" i="94"/>
  <c r="L26" i="94"/>
  <c r="B26" i="94"/>
  <c r="Z25" i="94"/>
  <c r="X25" i="94"/>
  <c r="N25" i="94"/>
  <c r="L25" i="94"/>
  <c r="B25" i="94"/>
  <c r="Z24" i="94"/>
  <c r="X24" i="94"/>
  <c r="N24" i="94"/>
  <c r="L24" i="94"/>
  <c r="J24" i="94"/>
  <c r="B24" i="94"/>
  <c r="T23" i="94"/>
  <c r="Z23" i="94" s="1"/>
  <c r="P23" i="94"/>
  <c r="X23" i="94" s="1"/>
  <c r="H23" i="94"/>
  <c r="N23" i="94" s="1"/>
  <c r="D23" i="94"/>
  <c r="B23" i="94"/>
  <c r="T22" i="94"/>
  <c r="Z22" i="94" s="1"/>
  <c r="P22" i="94"/>
  <c r="X22" i="94" s="1"/>
  <c r="J22" i="94"/>
  <c r="H22" i="94"/>
  <c r="D22" i="94"/>
  <c r="L22" i="94" s="1"/>
  <c r="J20" i="94"/>
  <c r="H20" i="94"/>
  <c r="Z18" i="94"/>
  <c r="X18" i="94"/>
  <c r="N18" i="94"/>
  <c r="L18" i="94"/>
  <c r="J18" i="94"/>
  <c r="B18" i="94"/>
  <c r="Z17" i="94"/>
  <c r="T17" i="94"/>
  <c r="P17" i="94"/>
  <c r="X17" i="94" s="1"/>
  <c r="J17" i="94"/>
  <c r="H17" i="94"/>
  <c r="N17" i="94" s="1"/>
  <c r="D17" i="94"/>
  <c r="L17" i="94" s="1"/>
  <c r="Z15" i="94"/>
  <c r="P15" i="94"/>
  <c r="X15" i="94" s="1"/>
  <c r="N15" i="94"/>
  <c r="D15" i="94"/>
  <c r="L15" i="94" s="1"/>
  <c r="B15" i="94"/>
  <c r="Z14" i="94"/>
  <c r="X14" i="94"/>
  <c r="P14" i="94"/>
  <c r="N14" i="94"/>
  <c r="D14" i="94"/>
  <c r="L14" i="94" s="1"/>
  <c r="B14" i="94"/>
  <c r="Z13" i="94"/>
  <c r="X13" i="94"/>
  <c r="P13" i="94"/>
  <c r="N13" i="94"/>
  <c r="L13" i="94"/>
  <c r="D13" i="94"/>
  <c r="B13" i="94"/>
  <c r="T12" i="94"/>
  <c r="V54" i="94" s="1"/>
  <c r="P12" i="94"/>
  <c r="N12" i="94"/>
  <c r="H12" i="94"/>
  <c r="J50" i="94" s="1"/>
  <c r="D6" i="94"/>
  <c r="D4" i="94"/>
  <c r="Z81" i="93"/>
  <c r="X81" i="93"/>
  <c r="N81" i="93"/>
  <c r="L81" i="93"/>
  <c r="T77" i="93"/>
  <c r="Z77" i="93" s="1"/>
  <c r="P77" i="93"/>
  <c r="X77" i="93" s="1"/>
  <c r="H77" i="93"/>
  <c r="N77" i="93" s="1"/>
  <c r="D77" i="93"/>
  <c r="Z75" i="93"/>
  <c r="X75" i="93"/>
  <c r="N75" i="93"/>
  <c r="L75" i="93"/>
  <c r="B75" i="93"/>
  <c r="Z74" i="93"/>
  <c r="T74" i="93"/>
  <c r="P74" i="93"/>
  <c r="X74" i="93" s="1"/>
  <c r="H74" i="93"/>
  <c r="N74" i="93" s="1"/>
  <c r="D74" i="93"/>
  <c r="L74" i="93" s="1"/>
  <c r="B74" i="93"/>
  <c r="Z73" i="93"/>
  <c r="X73" i="93"/>
  <c r="N73" i="93"/>
  <c r="L73" i="93"/>
  <c r="B73" i="93"/>
  <c r="Z72" i="93"/>
  <c r="X72" i="93"/>
  <c r="V72" i="93"/>
  <c r="N72" i="93"/>
  <c r="L72" i="93"/>
  <c r="B72" i="93"/>
  <c r="Z71" i="93"/>
  <c r="T71" i="93"/>
  <c r="P71" i="93"/>
  <c r="X71" i="93" s="1"/>
  <c r="N71" i="93"/>
  <c r="L71" i="93"/>
  <c r="H71" i="93"/>
  <c r="D71" i="93"/>
  <c r="B71" i="93"/>
  <c r="Z70" i="93"/>
  <c r="X70" i="93"/>
  <c r="N70" i="93"/>
  <c r="L70" i="93"/>
  <c r="B70" i="93"/>
  <c r="Z69" i="93"/>
  <c r="X69" i="93"/>
  <c r="N69" i="93"/>
  <c r="L69" i="93"/>
  <c r="B69" i="93"/>
  <c r="Z68" i="93"/>
  <c r="X68" i="93"/>
  <c r="N68" i="93"/>
  <c r="L68" i="93"/>
  <c r="B68" i="93"/>
  <c r="Z67" i="93"/>
  <c r="X67" i="93"/>
  <c r="N67" i="93"/>
  <c r="L67" i="93"/>
  <c r="B67" i="93"/>
  <c r="Z66" i="93"/>
  <c r="X66" i="93"/>
  <c r="N66" i="93"/>
  <c r="L66" i="93"/>
  <c r="B66" i="93"/>
  <c r="Z65" i="93"/>
  <c r="X65" i="93"/>
  <c r="N65" i="93"/>
  <c r="L65" i="93"/>
  <c r="B65" i="93"/>
  <c r="Z64" i="93"/>
  <c r="X64" i="93"/>
  <c r="N64" i="93"/>
  <c r="L64" i="93"/>
  <c r="B64" i="93"/>
  <c r="Z63" i="93"/>
  <c r="X63" i="93"/>
  <c r="N63" i="93"/>
  <c r="L63" i="93"/>
  <c r="B63" i="93"/>
  <c r="T62" i="93"/>
  <c r="Z62" i="93" s="1"/>
  <c r="P62" i="93"/>
  <c r="H62" i="93"/>
  <c r="N62" i="93" s="1"/>
  <c r="D62" i="93"/>
  <c r="L62" i="93" s="1"/>
  <c r="B62" i="93"/>
  <c r="Z61" i="93"/>
  <c r="X61" i="93"/>
  <c r="V61" i="93"/>
  <c r="N61" i="93"/>
  <c r="L61" i="93"/>
  <c r="B61" i="93"/>
  <c r="Z60" i="93"/>
  <c r="X60" i="93"/>
  <c r="N60" i="93"/>
  <c r="L60" i="93"/>
  <c r="J60" i="93"/>
  <c r="B60" i="93"/>
  <c r="T59" i="93"/>
  <c r="Z59" i="93" s="1"/>
  <c r="P59" i="93"/>
  <c r="X59" i="93" s="1"/>
  <c r="J59" i="93"/>
  <c r="H59" i="93"/>
  <c r="N59" i="93" s="1"/>
  <c r="D59" i="93"/>
  <c r="B59" i="93"/>
  <c r="Z58" i="93"/>
  <c r="X58" i="93"/>
  <c r="N58" i="93"/>
  <c r="L58" i="93"/>
  <c r="B58" i="93"/>
  <c r="Z57" i="93"/>
  <c r="X57" i="93"/>
  <c r="N57" i="93"/>
  <c r="L57" i="93"/>
  <c r="B57" i="93"/>
  <c r="Z56" i="93"/>
  <c r="X56" i="93"/>
  <c r="V56" i="93"/>
  <c r="N56" i="93"/>
  <c r="L56" i="93"/>
  <c r="B56" i="93"/>
  <c r="Z55" i="93"/>
  <c r="T55" i="93"/>
  <c r="P55" i="93"/>
  <c r="X55" i="93" s="1"/>
  <c r="N55" i="93"/>
  <c r="L55" i="93"/>
  <c r="H55" i="93"/>
  <c r="D55" i="93"/>
  <c r="B55" i="93"/>
  <c r="Z54" i="93"/>
  <c r="X54" i="93"/>
  <c r="N54" i="93"/>
  <c r="L54" i="93"/>
  <c r="B54" i="93"/>
  <c r="Z53" i="93"/>
  <c r="T53" i="93"/>
  <c r="X53" i="93" s="1"/>
  <c r="P53" i="93"/>
  <c r="N53" i="93"/>
  <c r="L53" i="93"/>
  <c r="H53" i="93"/>
  <c r="D53" i="93"/>
  <c r="B53" i="93"/>
  <c r="Z52" i="93"/>
  <c r="X52" i="93"/>
  <c r="N52" i="93"/>
  <c r="L52" i="93"/>
  <c r="J52" i="93"/>
  <c r="B52" i="93"/>
  <c r="T51" i="93"/>
  <c r="Z51" i="93" s="1"/>
  <c r="P51" i="93"/>
  <c r="X51" i="93" s="1"/>
  <c r="J51" i="93"/>
  <c r="H51" i="93"/>
  <c r="N51" i="93" s="1"/>
  <c r="D51" i="93"/>
  <c r="L51" i="93" s="1"/>
  <c r="B51" i="93"/>
  <c r="X50" i="93"/>
  <c r="Z50" i="93" s="1"/>
  <c r="N50" i="93"/>
  <c r="L50" i="93"/>
  <c r="B50" i="93"/>
  <c r="X49" i="93"/>
  <c r="Z49" i="93" s="1"/>
  <c r="T49" i="93"/>
  <c r="P49" i="93"/>
  <c r="H49" i="93"/>
  <c r="D49" i="93"/>
  <c r="L49" i="93" s="1"/>
  <c r="N49" i="93" s="1"/>
  <c r="B49" i="93"/>
  <c r="Z48" i="93"/>
  <c r="X48" i="93"/>
  <c r="N48" i="93"/>
  <c r="L48" i="93"/>
  <c r="B48" i="93"/>
  <c r="Z47" i="93"/>
  <c r="X47" i="93"/>
  <c r="T47" i="93"/>
  <c r="P47" i="93"/>
  <c r="N47" i="93"/>
  <c r="H47" i="93"/>
  <c r="L47" i="93" s="1"/>
  <c r="D47" i="93"/>
  <c r="B47" i="93"/>
  <c r="Z46" i="93"/>
  <c r="X46" i="93"/>
  <c r="N46" i="93"/>
  <c r="L46" i="93"/>
  <c r="B46" i="93"/>
  <c r="V45" i="93"/>
  <c r="T45" i="93"/>
  <c r="Z45" i="93" s="1"/>
  <c r="P45" i="93"/>
  <c r="X45" i="93" s="1"/>
  <c r="H45" i="93"/>
  <c r="N45" i="93" s="1"/>
  <c r="D45" i="93"/>
  <c r="L45" i="93" s="1"/>
  <c r="B45" i="93"/>
  <c r="Z44" i="93"/>
  <c r="X44" i="93"/>
  <c r="V44" i="93"/>
  <c r="N44" i="93"/>
  <c r="L44" i="93"/>
  <c r="B44" i="93"/>
  <c r="Z43" i="93"/>
  <c r="T43" i="93"/>
  <c r="P43" i="93"/>
  <c r="X43" i="93" s="1"/>
  <c r="N43" i="93"/>
  <c r="H43" i="93"/>
  <c r="D43" i="93"/>
  <c r="L43" i="93" s="1"/>
  <c r="B43" i="93"/>
  <c r="Z42" i="93"/>
  <c r="X42" i="93"/>
  <c r="N42" i="93"/>
  <c r="L42" i="93"/>
  <c r="B42" i="93"/>
  <c r="Z41" i="93"/>
  <c r="X41" i="93"/>
  <c r="N41" i="93"/>
  <c r="L41" i="93"/>
  <c r="J41" i="93"/>
  <c r="B41" i="93"/>
  <c r="Z40" i="93"/>
  <c r="X40" i="93"/>
  <c r="N40" i="93"/>
  <c r="L40" i="93"/>
  <c r="B40" i="93"/>
  <c r="Z39" i="93"/>
  <c r="X39" i="93"/>
  <c r="N39" i="93"/>
  <c r="L39" i="93"/>
  <c r="B39" i="93"/>
  <c r="Z38" i="93"/>
  <c r="X38" i="93"/>
  <c r="N38" i="93"/>
  <c r="L38" i="93"/>
  <c r="B38" i="93"/>
  <c r="Z37" i="93"/>
  <c r="X37" i="93"/>
  <c r="N37" i="93"/>
  <c r="L37" i="93"/>
  <c r="J37" i="93"/>
  <c r="B37" i="93"/>
  <c r="Z36" i="93"/>
  <c r="X36" i="93"/>
  <c r="N36" i="93"/>
  <c r="L36" i="93"/>
  <c r="B36" i="93"/>
  <c r="Z35" i="93"/>
  <c r="X35" i="93"/>
  <c r="N35" i="93"/>
  <c r="L35" i="93"/>
  <c r="B35" i="93"/>
  <c r="Z34" i="93"/>
  <c r="X34" i="93"/>
  <c r="N34" i="93"/>
  <c r="L34" i="93"/>
  <c r="B34" i="93"/>
  <c r="Z33" i="93"/>
  <c r="X33" i="93"/>
  <c r="N33" i="93"/>
  <c r="L33" i="93"/>
  <c r="J33" i="93"/>
  <c r="B33" i="93"/>
  <c r="T32" i="93"/>
  <c r="Z32" i="93" s="1"/>
  <c r="P32" i="93"/>
  <c r="X32" i="93" s="1"/>
  <c r="H32" i="93"/>
  <c r="N32" i="93" s="1"/>
  <c r="D32" i="93"/>
  <c r="L32" i="93" s="1"/>
  <c r="B32" i="93"/>
  <c r="Z31" i="93"/>
  <c r="X31" i="93"/>
  <c r="V31" i="93"/>
  <c r="N31" i="93"/>
  <c r="L31" i="93"/>
  <c r="B31" i="93"/>
  <c r="Z30" i="93"/>
  <c r="X30" i="93"/>
  <c r="N30" i="93"/>
  <c r="L30" i="93"/>
  <c r="B30" i="93"/>
  <c r="Z29" i="93"/>
  <c r="X29" i="93"/>
  <c r="V29" i="93"/>
  <c r="N29" i="93"/>
  <c r="L29" i="93"/>
  <c r="B29" i="93"/>
  <c r="Z28" i="93"/>
  <c r="X28" i="93"/>
  <c r="N28" i="93"/>
  <c r="L28" i="93"/>
  <c r="J28" i="93"/>
  <c r="B28" i="93"/>
  <c r="Z27" i="93"/>
  <c r="X27" i="93"/>
  <c r="V27" i="93"/>
  <c r="N27" i="93"/>
  <c r="L27" i="93"/>
  <c r="B27" i="93"/>
  <c r="Z26" i="93"/>
  <c r="X26" i="93"/>
  <c r="N26" i="93"/>
  <c r="L26" i="93"/>
  <c r="B26" i="93"/>
  <c r="Z25" i="93"/>
  <c r="X25" i="93"/>
  <c r="V25" i="93"/>
  <c r="N25" i="93"/>
  <c r="L25" i="93"/>
  <c r="B25" i="93"/>
  <c r="Z24" i="93"/>
  <c r="X24" i="93"/>
  <c r="N24" i="93"/>
  <c r="L24" i="93"/>
  <c r="J24" i="93"/>
  <c r="B24" i="93"/>
  <c r="Z23" i="93"/>
  <c r="X23" i="93"/>
  <c r="V23" i="93"/>
  <c r="N23" i="93"/>
  <c r="L23" i="93"/>
  <c r="B23" i="93"/>
  <c r="Z22" i="93"/>
  <c r="T22" i="93"/>
  <c r="P22" i="93"/>
  <c r="X22" i="93" s="1"/>
  <c r="N22" i="93"/>
  <c r="H22" i="93"/>
  <c r="D22" i="93"/>
  <c r="L22" i="93" s="1"/>
  <c r="B22" i="93"/>
  <c r="T21" i="93"/>
  <c r="P21" i="93"/>
  <c r="X21" i="93" s="1"/>
  <c r="Z21" i="93" s="1"/>
  <c r="H21" i="93"/>
  <c r="D21" i="93"/>
  <c r="L21" i="93" s="1"/>
  <c r="Z17" i="93"/>
  <c r="X17" i="93"/>
  <c r="N17" i="93"/>
  <c r="L17" i="93"/>
  <c r="B17" i="93"/>
  <c r="X16" i="93"/>
  <c r="V16" i="93"/>
  <c r="T16" i="93"/>
  <c r="Z16" i="93" s="1"/>
  <c r="P16" i="93"/>
  <c r="N16" i="93"/>
  <c r="L16" i="93"/>
  <c r="H16" i="93"/>
  <c r="D16" i="93"/>
  <c r="Z14" i="93"/>
  <c r="P14" i="93"/>
  <c r="X14" i="93" s="1"/>
  <c r="N14" i="93"/>
  <c r="L14" i="93"/>
  <c r="D14" i="93"/>
  <c r="B14" i="93"/>
  <c r="Z13" i="93"/>
  <c r="X13" i="93"/>
  <c r="P13" i="93"/>
  <c r="P12" i="93" s="1"/>
  <c r="N13" i="93"/>
  <c r="D13" i="93"/>
  <c r="D12" i="93" s="1"/>
  <c r="F37" i="93" s="1"/>
  <c r="B13" i="93"/>
  <c r="Z12" i="93"/>
  <c r="T12" i="93"/>
  <c r="V73" i="93" s="1"/>
  <c r="H12" i="93"/>
  <c r="J86" i="93" s="1"/>
  <c r="D6" i="93"/>
  <c r="D4" i="93"/>
  <c r="V85" i="92"/>
  <c r="V82" i="92"/>
  <c r="Z80" i="92"/>
  <c r="X80" i="92"/>
  <c r="V80" i="92"/>
  <c r="N80" i="92"/>
  <c r="L80" i="92"/>
  <c r="Z76" i="92"/>
  <c r="T76" i="92"/>
  <c r="P76" i="92"/>
  <c r="X76" i="92" s="1"/>
  <c r="N76" i="92"/>
  <c r="H76" i="92"/>
  <c r="D76" i="92"/>
  <c r="L76" i="92" s="1"/>
  <c r="Z74" i="92"/>
  <c r="X74" i="92"/>
  <c r="N74" i="92"/>
  <c r="L74" i="92"/>
  <c r="B74" i="92"/>
  <c r="T73" i="92"/>
  <c r="Z73" i="92" s="1"/>
  <c r="P73" i="92"/>
  <c r="X73" i="92" s="1"/>
  <c r="H73" i="92"/>
  <c r="N73" i="92" s="1"/>
  <c r="D73" i="92"/>
  <c r="L73" i="92" s="1"/>
  <c r="B73" i="92"/>
  <c r="Z72" i="92"/>
  <c r="X72" i="92"/>
  <c r="N72" i="92"/>
  <c r="L72" i="92"/>
  <c r="B72" i="92"/>
  <c r="Z71" i="92"/>
  <c r="X71" i="92"/>
  <c r="N71" i="92"/>
  <c r="L71" i="92"/>
  <c r="B71" i="92"/>
  <c r="X70" i="92"/>
  <c r="V70" i="92"/>
  <c r="T70" i="92"/>
  <c r="Z70" i="92" s="1"/>
  <c r="P70" i="92"/>
  <c r="N70" i="92"/>
  <c r="L70" i="92"/>
  <c r="H70" i="92"/>
  <c r="D70" i="92"/>
  <c r="B70" i="92"/>
  <c r="Z69" i="92"/>
  <c r="X69" i="92"/>
  <c r="N69" i="92"/>
  <c r="L69" i="92"/>
  <c r="B69" i="92"/>
  <c r="Z68" i="92"/>
  <c r="X68" i="92"/>
  <c r="N68" i="92"/>
  <c r="L68" i="92"/>
  <c r="B68" i="92"/>
  <c r="Z67" i="92"/>
  <c r="X67" i="92"/>
  <c r="N67" i="92"/>
  <c r="L67" i="92"/>
  <c r="F67" i="92"/>
  <c r="B67" i="92"/>
  <c r="Z66" i="92"/>
  <c r="X66" i="92"/>
  <c r="N66" i="92"/>
  <c r="L66" i="92"/>
  <c r="B66" i="92"/>
  <c r="Z65" i="92"/>
  <c r="X65" i="92"/>
  <c r="N65" i="92"/>
  <c r="L65" i="92"/>
  <c r="B65" i="92"/>
  <c r="T64" i="92"/>
  <c r="Z64" i="92" s="1"/>
  <c r="P64" i="92"/>
  <c r="H64" i="92"/>
  <c r="N64" i="92" s="1"/>
  <c r="D64" i="92"/>
  <c r="L64" i="92" s="1"/>
  <c r="B64" i="92"/>
  <c r="Z63" i="92"/>
  <c r="X63" i="92"/>
  <c r="V63" i="92"/>
  <c r="N63" i="92"/>
  <c r="L63" i="92"/>
  <c r="B63" i="92"/>
  <c r="Z62" i="92"/>
  <c r="X62" i="92"/>
  <c r="N62" i="92"/>
  <c r="L62" i="92"/>
  <c r="B62" i="92"/>
  <c r="Z61" i="92"/>
  <c r="X61" i="92"/>
  <c r="N61" i="92"/>
  <c r="L61" i="92"/>
  <c r="B61" i="92"/>
  <c r="Z60" i="92"/>
  <c r="X60" i="92"/>
  <c r="N60" i="92"/>
  <c r="L60" i="92"/>
  <c r="B60" i="92"/>
  <c r="V59" i="92"/>
  <c r="T59" i="92"/>
  <c r="Z59" i="92" s="1"/>
  <c r="P59" i="92"/>
  <c r="X59" i="92" s="1"/>
  <c r="H59" i="92"/>
  <c r="N59" i="92" s="1"/>
  <c r="D59" i="92"/>
  <c r="L59" i="92" s="1"/>
  <c r="B59" i="92"/>
  <c r="Z58" i="92"/>
  <c r="X58" i="92"/>
  <c r="V58" i="92"/>
  <c r="N58" i="92"/>
  <c r="L58" i="92"/>
  <c r="B58" i="92"/>
  <c r="T57" i="92"/>
  <c r="Z57" i="92" s="1"/>
  <c r="P57" i="92"/>
  <c r="X57" i="92" s="1"/>
  <c r="N57" i="92"/>
  <c r="H57" i="92"/>
  <c r="D57" i="92"/>
  <c r="L57" i="92" s="1"/>
  <c r="B57" i="92"/>
  <c r="Z56" i="92"/>
  <c r="X56" i="92"/>
  <c r="N56" i="92"/>
  <c r="L56" i="92"/>
  <c r="B56" i="92"/>
  <c r="Z55" i="92"/>
  <c r="X55" i="92"/>
  <c r="N55" i="92"/>
  <c r="L55" i="92"/>
  <c r="F55" i="92"/>
  <c r="B55" i="92"/>
  <c r="T54" i="92"/>
  <c r="Z54" i="92" s="1"/>
  <c r="P54" i="92"/>
  <c r="X54" i="92" s="1"/>
  <c r="H54" i="92"/>
  <c r="F54" i="92"/>
  <c r="D54" i="92"/>
  <c r="B54" i="92"/>
  <c r="Z53" i="92"/>
  <c r="X53" i="92"/>
  <c r="V53" i="92"/>
  <c r="N53" i="92"/>
  <c r="L53" i="92"/>
  <c r="B53" i="92"/>
  <c r="Z52" i="92"/>
  <c r="T52" i="92"/>
  <c r="P52" i="92"/>
  <c r="X52" i="92" s="1"/>
  <c r="N52" i="92"/>
  <c r="H52" i="92"/>
  <c r="D52" i="92"/>
  <c r="L52" i="92" s="1"/>
  <c r="B52" i="92"/>
  <c r="Z51" i="92"/>
  <c r="X51" i="92"/>
  <c r="N51" i="92"/>
  <c r="L51" i="92"/>
  <c r="B51" i="92"/>
  <c r="X50" i="92"/>
  <c r="V50" i="92"/>
  <c r="T50" i="92"/>
  <c r="Z50" i="92" s="1"/>
  <c r="P50" i="92"/>
  <c r="L50" i="92"/>
  <c r="H50" i="92"/>
  <c r="N50" i="92" s="1"/>
  <c r="D50" i="92"/>
  <c r="B50" i="92"/>
  <c r="Z49" i="92"/>
  <c r="X49" i="92"/>
  <c r="N49" i="92"/>
  <c r="L49" i="92"/>
  <c r="B49" i="92"/>
  <c r="T48" i="92"/>
  <c r="P48" i="92"/>
  <c r="H48" i="92"/>
  <c r="N48" i="92" s="1"/>
  <c r="D48" i="92"/>
  <c r="L48" i="92" s="1"/>
  <c r="B48" i="92"/>
  <c r="Z47" i="92"/>
  <c r="X47" i="92"/>
  <c r="V47" i="92"/>
  <c r="L47" i="92"/>
  <c r="N47" i="92" s="1"/>
  <c r="B47" i="92"/>
  <c r="Z46" i="92"/>
  <c r="X46" i="92"/>
  <c r="L46" i="92"/>
  <c r="N46" i="92" s="1"/>
  <c r="B46" i="92"/>
  <c r="V45" i="92"/>
  <c r="T45" i="92"/>
  <c r="Z45" i="92" s="1"/>
  <c r="P45" i="92"/>
  <c r="X45" i="92" s="1"/>
  <c r="H45" i="92"/>
  <c r="D45" i="92"/>
  <c r="L45" i="92" s="1"/>
  <c r="B45" i="92"/>
  <c r="Z44" i="92"/>
  <c r="X44" i="92"/>
  <c r="N44" i="92"/>
  <c r="L44" i="92"/>
  <c r="F44" i="92"/>
  <c r="B44" i="92"/>
  <c r="Z43" i="92"/>
  <c r="T43" i="92"/>
  <c r="P43" i="92"/>
  <c r="X43" i="92" s="1"/>
  <c r="N43" i="92"/>
  <c r="H43" i="92"/>
  <c r="F43" i="92"/>
  <c r="D43" i="92"/>
  <c r="L43" i="92" s="1"/>
  <c r="B43" i="92"/>
  <c r="Z42" i="92"/>
  <c r="X42" i="92"/>
  <c r="N42" i="92"/>
  <c r="L42" i="92"/>
  <c r="B42" i="92"/>
  <c r="Z41" i="92"/>
  <c r="X41" i="92"/>
  <c r="T41" i="92"/>
  <c r="P41" i="92"/>
  <c r="N41" i="92"/>
  <c r="L41" i="92"/>
  <c r="H41" i="92"/>
  <c r="D41" i="92"/>
  <c r="B41" i="92"/>
  <c r="Z40" i="92"/>
  <c r="X40" i="92"/>
  <c r="N40" i="92"/>
  <c r="L40" i="92"/>
  <c r="B40" i="92"/>
  <c r="Z39" i="92"/>
  <c r="X39" i="92"/>
  <c r="V39" i="92"/>
  <c r="N39" i="92"/>
  <c r="L39" i="92"/>
  <c r="B39" i="92"/>
  <c r="Z38" i="92"/>
  <c r="X38" i="92"/>
  <c r="N38" i="92"/>
  <c r="L38" i="92"/>
  <c r="B38" i="92"/>
  <c r="Z37" i="92"/>
  <c r="X37" i="92"/>
  <c r="V37" i="92"/>
  <c r="N37" i="92"/>
  <c r="L37" i="92"/>
  <c r="B37" i="92"/>
  <c r="Z36" i="92"/>
  <c r="X36" i="92"/>
  <c r="N36" i="92"/>
  <c r="L36" i="92"/>
  <c r="B36" i="92"/>
  <c r="Z35" i="92"/>
  <c r="X35" i="92"/>
  <c r="V35" i="92"/>
  <c r="N35" i="92"/>
  <c r="L35" i="92"/>
  <c r="B35" i="92"/>
  <c r="Z34" i="92"/>
  <c r="X34" i="92"/>
  <c r="N34" i="92"/>
  <c r="L34" i="92"/>
  <c r="B34" i="92"/>
  <c r="Z33" i="92"/>
  <c r="X33" i="92"/>
  <c r="V33" i="92"/>
  <c r="N33" i="92"/>
  <c r="L33" i="92"/>
  <c r="B33" i="92"/>
  <c r="Z32" i="92"/>
  <c r="X32" i="92"/>
  <c r="N32" i="92"/>
  <c r="L32" i="92"/>
  <c r="B32" i="92"/>
  <c r="Z31" i="92"/>
  <c r="X31" i="92"/>
  <c r="V31" i="92"/>
  <c r="N31" i="92"/>
  <c r="L31" i="92"/>
  <c r="B31" i="92"/>
  <c r="Z30" i="92"/>
  <c r="T30" i="92"/>
  <c r="P30" i="92"/>
  <c r="X30" i="92" s="1"/>
  <c r="N30" i="92"/>
  <c r="H30" i="92"/>
  <c r="D30" i="92"/>
  <c r="L30" i="92" s="1"/>
  <c r="B30" i="92"/>
  <c r="Z29" i="92"/>
  <c r="X29" i="92"/>
  <c r="N29" i="92"/>
  <c r="L29" i="92"/>
  <c r="B29" i="92"/>
  <c r="Z28" i="92"/>
  <c r="X28" i="92"/>
  <c r="N28" i="92"/>
  <c r="L28" i="92"/>
  <c r="F28" i="92"/>
  <c r="B28" i="92"/>
  <c r="Z27" i="92"/>
  <c r="X27" i="92"/>
  <c r="N27" i="92"/>
  <c r="L27" i="92"/>
  <c r="B27" i="92"/>
  <c r="Z26" i="92"/>
  <c r="X26" i="92"/>
  <c r="V26" i="92"/>
  <c r="N26" i="92"/>
  <c r="L26" i="92"/>
  <c r="F26" i="92"/>
  <c r="B26" i="92"/>
  <c r="Z25" i="92"/>
  <c r="X25" i="92"/>
  <c r="N25" i="92"/>
  <c r="L25" i="92"/>
  <c r="B25" i="92"/>
  <c r="Z24" i="92"/>
  <c r="X24" i="92"/>
  <c r="N24" i="92"/>
  <c r="L24" i="92"/>
  <c r="F24" i="92"/>
  <c r="B24" i="92"/>
  <c r="Z23" i="92"/>
  <c r="X23" i="92"/>
  <c r="N23" i="92"/>
  <c r="L23" i="92"/>
  <c r="B23" i="92"/>
  <c r="Z22" i="92"/>
  <c r="X22" i="92"/>
  <c r="V22" i="92"/>
  <c r="N22" i="92"/>
  <c r="L22" i="92"/>
  <c r="F22" i="92"/>
  <c r="B22" i="92"/>
  <c r="T21" i="92"/>
  <c r="Z21" i="92" s="1"/>
  <c r="R21" i="92"/>
  <c r="P21" i="92"/>
  <c r="X21" i="92" s="1"/>
  <c r="N21" i="92"/>
  <c r="H21" i="92"/>
  <c r="F21" i="92"/>
  <c r="D21" i="92"/>
  <c r="L21" i="92" s="1"/>
  <c r="B21" i="92"/>
  <c r="T20" i="92"/>
  <c r="P20" i="92"/>
  <c r="H20" i="92"/>
  <c r="F20" i="92"/>
  <c r="D20" i="92"/>
  <c r="L20" i="92" s="1"/>
  <c r="T18" i="92"/>
  <c r="F18" i="92"/>
  <c r="Z16" i="92"/>
  <c r="X16" i="92"/>
  <c r="R16" i="92"/>
  <c r="N16" i="92"/>
  <c r="L16" i="92"/>
  <c r="B16" i="92"/>
  <c r="Z15" i="92"/>
  <c r="X15" i="92"/>
  <c r="T15" i="92"/>
  <c r="P15" i="92"/>
  <c r="N15" i="92"/>
  <c r="L15" i="92"/>
  <c r="H15" i="92"/>
  <c r="D15" i="92"/>
  <c r="Z13" i="92"/>
  <c r="X13" i="92"/>
  <c r="P13" i="92"/>
  <c r="P12" i="92" s="1"/>
  <c r="R64" i="92" s="1"/>
  <c r="N13" i="92"/>
  <c r="L13" i="92"/>
  <c r="D13" i="92"/>
  <c r="B13" i="92"/>
  <c r="Z12" i="92"/>
  <c r="T12" i="92"/>
  <c r="V71" i="92" s="1"/>
  <c r="H12" i="92"/>
  <c r="J55" i="92" s="1"/>
  <c r="D12" i="92"/>
  <c r="F68" i="92" s="1"/>
  <c r="D6" i="92"/>
  <c r="D4" i="92"/>
  <c r="Z86" i="91"/>
  <c r="X86" i="91"/>
  <c r="N86" i="91"/>
  <c r="L86" i="91"/>
  <c r="Z82" i="91"/>
  <c r="X82" i="91"/>
  <c r="P82" i="91"/>
  <c r="N82" i="91"/>
  <c r="L82" i="91"/>
  <c r="D82" i="91"/>
  <c r="B82" i="91"/>
  <c r="Z81" i="91"/>
  <c r="P81" i="91"/>
  <c r="X81" i="91" s="1"/>
  <c r="N81" i="91"/>
  <c r="L81" i="91"/>
  <c r="D81" i="91"/>
  <c r="D80" i="91" s="1"/>
  <c r="L80" i="91" s="1"/>
  <c r="B81" i="91"/>
  <c r="T80" i="91"/>
  <c r="Z80" i="91" s="1"/>
  <c r="H80" i="91"/>
  <c r="N80" i="91" s="1"/>
  <c r="F80" i="91"/>
  <c r="X78" i="91"/>
  <c r="Z78" i="91" s="1"/>
  <c r="L78" i="91"/>
  <c r="N78" i="91" s="1"/>
  <c r="B78" i="91"/>
  <c r="T77" i="91"/>
  <c r="P77" i="91"/>
  <c r="X77" i="91" s="1"/>
  <c r="Z77" i="91" s="1"/>
  <c r="N77" i="91"/>
  <c r="H77" i="91"/>
  <c r="D77" i="91"/>
  <c r="L77" i="91" s="1"/>
  <c r="B77" i="91"/>
  <c r="Z76" i="91"/>
  <c r="X76" i="91"/>
  <c r="N76" i="91"/>
  <c r="L76" i="91"/>
  <c r="B76" i="91"/>
  <c r="T75" i="91"/>
  <c r="Z75" i="91" s="1"/>
  <c r="P75" i="91"/>
  <c r="N75" i="91"/>
  <c r="L75" i="91"/>
  <c r="H75" i="91"/>
  <c r="D75" i="91"/>
  <c r="B75" i="91"/>
  <c r="Z74" i="91"/>
  <c r="X74" i="91"/>
  <c r="L74" i="91"/>
  <c r="N74" i="91" s="1"/>
  <c r="B74" i="91"/>
  <c r="T73" i="91"/>
  <c r="R73" i="91"/>
  <c r="P73" i="91"/>
  <c r="H73" i="91"/>
  <c r="D73" i="91"/>
  <c r="B73" i="91"/>
  <c r="Z72" i="91"/>
  <c r="X72" i="91"/>
  <c r="N72" i="91"/>
  <c r="L72" i="91"/>
  <c r="B72" i="91"/>
  <c r="Z71" i="91"/>
  <c r="X71" i="91"/>
  <c r="N71" i="91"/>
  <c r="L71" i="91"/>
  <c r="F71" i="91"/>
  <c r="B71" i="91"/>
  <c r="Z70" i="91"/>
  <c r="X70" i="91"/>
  <c r="N70" i="91"/>
  <c r="L70" i="91"/>
  <c r="B70" i="91"/>
  <c r="Z69" i="91"/>
  <c r="X69" i="91"/>
  <c r="N69" i="91"/>
  <c r="L69" i="91"/>
  <c r="B69" i="91"/>
  <c r="Z68" i="91"/>
  <c r="X68" i="91"/>
  <c r="N68" i="91"/>
  <c r="L68" i="91"/>
  <c r="B68" i="91"/>
  <c r="Z67" i="91"/>
  <c r="X67" i="91"/>
  <c r="N67" i="91"/>
  <c r="L67" i="91"/>
  <c r="F67" i="91"/>
  <c r="B67" i="91"/>
  <c r="Z66" i="91"/>
  <c r="X66" i="91"/>
  <c r="N66" i="91"/>
  <c r="L66" i="91"/>
  <c r="B66" i="91"/>
  <c r="Z65" i="91"/>
  <c r="X65" i="91"/>
  <c r="T65" i="91"/>
  <c r="P65" i="91"/>
  <c r="N65" i="91"/>
  <c r="H65" i="91"/>
  <c r="D65" i="91"/>
  <c r="L65" i="91" s="1"/>
  <c r="B65" i="91"/>
  <c r="Z64" i="91"/>
  <c r="X64" i="91"/>
  <c r="N64" i="91"/>
  <c r="L64" i="91"/>
  <c r="B64" i="91"/>
  <c r="T63" i="91"/>
  <c r="P63" i="91"/>
  <c r="L63" i="91"/>
  <c r="H63" i="91"/>
  <c r="N63" i="91" s="1"/>
  <c r="D63" i="91"/>
  <c r="B63" i="91"/>
  <c r="Z62" i="91"/>
  <c r="X62" i="91"/>
  <c r="V62" i="91"/>
  <c r="N62" i="91"/>
  <c r="L62" i="91"/>
  <c r="B62" i="91"/>
  <c r="Z61" i="91"/>
  <c r="X61" i="91"/>
  <c r="L61" i="91"/>
  <c r="N61" i="91" s="1"/>
  <c r="B61" i="91"/>
  <c r="Z60" i="91"/>
  <c r="X60" i="91"/>
  <c r="N60" i="91"/>
  <c r="L60" i="91"/>
  <c r="B60" i="91"/>
  <c r="Z59" i="91"/>
  <c r="X59" i="91"/>
  <c r="N59" i="91"/>
  <c r="L59" i="91"/>
  <c r="B59" i="91"/>
  <c r="Z58" i="91"/>
  <c r="X58" i="91"/>
  <c r="V58" i="91"/>
  <c r="T58" i="91"/>
  <c r="P58" i="91"/>
  <c r="N58" i="91"/>
  <c r="L58" i="91"/>
  <c r="H58" i="91"/>
  <c r="D58" i="91"/>
  <c r="B58" i="91"/>
  <c r="Z57" i="91"/>
  <c r="X57" i="91"/>
  <c r="N57" i="91"/>
  <c r="L57" i="91"/>
  <c r="B57" i="91"/>
  <c r="Z56" i="91"/>
  <c r="X56" i="91"/>
  <c r="V56" i="91"/>
  <c r="N56" i="91"/>
  <c r="L56" i="91"/>
  <c r="B56" i="91"/>
  <c r="Z55" i="91"/>
  <c r="T55" i="91"/>
  <c r="P55" i="91"/>
  <c r="X55" i="91" s="1"/>
  <c r="N55" i="91"/>
  <c r="L55" i="91"/>
  <c r="H55" i="91"/>
  <c r="D55" i="91"/>
  <c r="B55" i="91"/>
  <c r="Z54" i="91"/>
  <c r="X54" i="91"/>
  <c r="N54" i="91"/>
  <c r="L54" i="91"/>
  <c r="B54" i="91"/>
  <c r="X53" i="91"/>
  <c r="T53" i="91"/>
  <c r="Z53" i="91" s="1"/>
  <c r="P53" i="91"/>
  <c r="H53" i="91"/>
  <c r="D53" i="91"/>
  <c r="B53" i="91"/>
  <c r="Z52" i="91"/>
  <c r="X52" i="91"/>
  <c r="N52" i="91"/>
  <c r="L52" i="91"/>
  <c r="B52" i="91"/>
  <c r="T51" i="91"/>
  <c r="Z51" i="91" s="1"/>
  <c r="P51" i="91"/>
  <c r="X51" i="91" s="1"/>
  <c r="H51" i="91"/>
  <c r="N51" i="91" s="1"/>
  <c r="D51" i="91"/>
  <c r="L51" i="91" s="1"/>
  <c r="B51" i="91"/>
  <c r="Z50" i="91"/>
  <c r="X50" i="91"/>
  <c r="V50" i="91"/>
  <c r="N50" i="91"/>
  <c r="L50" i="91"/>
  <c r="B50" i="91"/>
  <c r="Z49" i="91"/>
  <c r="X49" i="91"/>
  <c r="T49" i="91"/>
  <c r="P49" i="91"/>
  <c r="N49" i="91"/>
  <c r="H49" i="91"/>
  <c r="D49" i="91"/>
  <c r="L49" i="91" s="1"/>
  <c r="B49" i="91"/>
  <c r="Z48" i="91"/>
  <c r="X48" i="91"/>
  <c r="N48" i="91"/>
  <c r="L48" i="91"/>
  <c r="B48" i="91"/>
  <c r="T47" i="91"/>
  <c r="P47" i="91"/>
  <c r="L47" i="91"/>
  <c r="H47" i="91"/>
  <c r="N47" i="91" s="1"/>
  <c r="D47" i="91"/>
  <c r="B47" i="91"/>
  <c r="Z46" i="91"/>
  <c r="X46" i="91"/>
  <c r="V46" i="91"/>
  <c r="L46" i="91"/>
  <c r="N46" i="91" s="1"/>
  <c r="B46" i="91"/>
  <c r="Z45" i="91"/>
  <c r="X45" i="91"/>
  <c r="R45" i="91"/>
  <c r="N45" i="91"/>
  <c r="L45" i="91"/>
  <c r="B45" i="91"/>
  <c r="Z44" i="91"/>
  <c r="X44" i="91"/>
  <c r="V44" i="91"/>
  <c r="T44" i="91"/>
  <c r="P44" i="91"/>
  <c r="H44" i="91"/>
  <c r="D44" i="91"/>
  <c r="L44" i="91" s="1"/>
  <c r="N44" i="91" s="1"/>
  <c r="B44" i="91"/>
  <c r="Z43" i="91"/>
  <c r="X43" i="91"/>
  <c r="N43" i="91"/>
  <c r="L43" i="91"/>
  <c r="F43" i="91"/>
  <c r="B43" i="91"/>
  <c r="V42" i="91"/>
  <c r="T42" i="91"/>
  <c r="Z42" i="91" s="1"/>
  <c r="P42" i="91"/>
  <c r="X42" i="91" s="1"/>
  <c r="H42" i="91"/>
  <c r="N42" i="91" s="1"/>
  <c r="F42" i="91"/>
  <c r="D42" i="91"/>
  <c r="L42" i="91" s="1"/>
  <c r="B42" i="91"/>
  <c r="Z41" i="91"/>
  <c r="X41" i="91"/>
  <c r="V41" i="91"/>
  <c r="N41" i="91"/>
  <c r="L41" i="91"/>
  <c r="F41" i="91"/>
  <c r="B41" i="91"/>
  <c r="Z40" i="91"/>
  <c r="T40" i="91"/>
  <c r="P40" i="91"/>
  <c r="X40" i="91" s="1"/>
  <c r="N40" i="91"/>
  <c r="H40" i="91"/>
  <c r="F40" i="91"/>
  <c r="D40" i="91"/>
  <c r="L40" i="91" s="1"/>
  <c r="B40" i="91"/>
  <c r="Z39" i="91"/>
  <c r="X39" i="91"/>
  <c r="N39" i="91"/>
  <c r="L39" i="91"/>
  <c r="B39" i="91"/>
  <c r="Z38" i="91"/>
  <c r="X38" i="91"/>
  <c r="V38" i="91"/>
  <c r="N38" i="91"/>
  <c r="L38" i="91"/>
  <c r="B38" i="91"/>
  <c r="Z37" i="91"/>
  <c r="X37" i="91"/>
  <c r="R37" i="91"/>
  <c r="N37" i="91"/>
  <c r="L37" i="91"/>
  <c r="B37" i="91"/>
  <c r="Z36" i="91"/>
  <c r="X36" i="91"/>
  <c r="V36" i="91"/>
  <c r="N36" i="91"/>
  <c r="L36" i="91"/>
  <c r="B36" i="91"/>
  <c r="Z35" i="91"/>
  <c r="X35" i="91"/>
  <c r="N35" i="91"/>
  <c r="L35" i="91"/>
  <c r="B35" i="91"/>
  <c r="Z34" i="91"/>
  <c r="X34" i="91"/>
  <c r="V34" i="91"/>
  <c r="N34" i="91"/>
  <c r="L34" i="91"/>
  <c r="F34" i="91"/>
  <c r="B34" i="91"/>
  <c r="Z33" i="91"/>
  <c r="X33" i="91"/>
  <c r="R33" i="91"/>
  <c r="N33" i="91"/>
  <c r="L33" i="91"/>
  <c r="B33" i="91"/>
  <c r="Z32" i="91"/>
  <c r="X32" i="91"/>
  <c r="V32" i="91"/>
  <c r="N32" i="91"/>
  <c r="L32" i="91"/>
  <c r="B32" i="91"/>
  <c r="Z31" i="91"/>
  <c r="X31" i="91"/>
  <c r="V31" i="91"/>
  <c r="N31" i="91"/>
  <c r="L31" i="91"/>
  <c r="B31" i="91"/>
  <c r="Z30" i="91"/>
  <c r="X30" i="91"/>
  <c r="V30" i="91"/>
  <c r="N30" i="91"/>
  <c r="L30" i="91"/>
  <c r="F30" i="91"/>
  <c r="B30" i="91"/>
  <c r="T29" i="91"/>
  <c r="Z29" i="91" s="1"/>
  <c r="P29" i="91"/>
  <c r="X29" i="91" s="1"/>
  <c r="H29" i="91"/>
  <c r="N29" i="91" s="1"/>
  <c r="F29" i="91"/>
  <c r="D29" i="91"/>
  <c r="L29" i="91" s="1"/>
  <c r="B29" i="91"/>
  <c r="X28" i="91"/>
  <c r="Z28" i="91" s="1"/>
  <c r="V28" i="91"/>
  <c r="N28" i="91"/>
  <c r="L28" i="91"/>
  <c r="B28" i="91"/>
  <c r="Z27" i="91"/>
  <c r="X27" i="91"/>
  <c r="V27" i="91"/>
  <c r="N27" i="91"/>
  <c r="L27" i="91"/>
  <c r="F27" i="91"/>
  <c r="B27" i="91"/>
  <c r="Z26" i="91"/>
  <c r="X26" i="91"/>
  <c r="V26" i="91"/>
  <c r="N26" i="91"/>
  <c r="L26" i="91"/>
  <c r="B26" i="91"/>
  <c r="Z25" i="91"/>
  <c r="X25" i="91"/>
  <c r="V25" i="91"/>
  <c r="N25" i="91"/>
  <c r="L25" i="91"/>
  <c r="F25" i="91"/>
  <c r="B25" i="91"/>
  <c r="Z24" i="91"/>
  <c r="X24" i="91"/>
  <c r="V24" i="91"/>
  <c r="N24" i="91"/>
  <c r="L24" i="91"/>
  <c r="B24" i="91"/>
  <c r="Z23" i="91"/>
  <c r="X23" i="91"/>
  <c r="V23" i="91"/>
  <c r="N23" i="91"/>
  <c r="L23" i="91"/>
  <c r="F23" i="91"/>
  <c r="B23" i="91"/>
  <c r="X22" i="91"/>
  <c r="Z22" i="91" s="1"/>
  <c r="V22" i="91"/>
  <c r="N22" i="91"/>
  <c r="L22" i="91"/>
  <c r="B22" i="91"/>
  <c r="Z21" i="91"/>
  <c r="X21" i="91"/>
  <c r="V21" i="91"/>
  <c r="N21" i="91"/>
  <c r="L21" i="91"/>
  <c r="F21" i="91"/>
  <c r="B21" i="91"/>
  <c r="Z20" i="91"/>
  <c r="X20" i="91"/>
  <c r="V20" i="91"/>
  <c r="N20" i="91"/>
  <c r="L20" i="91"/>
  <c r="B20" i="91"/>
  <c r="V19" i="91"/>
  <c r="T19" i="91"/>
  <c r="P19" i="91"/>
  <c r="X19" i="91" s="1"/>
  <c r="Z19" i="91" s="1"/>
  <c r="L19" i="91"/>
  <c r="N19" i="91" s="1"/>
  <c r="H19" i="91"/>
  <c r="F19" i="91"/>
  <c r="D19" i="91"/>
  <c r="B19" i="91"/>
  <c r="T18" i="91"/>
  <c r="R18" i="91"/>
  <c r="P18" i="91"/>
  <c r="X18" i="91" s="1"/>
  <c r="Z18" i="91" s="1"/>
  <c r="N18" i="91"/>
  <c r="H18" i="91"/>
  <c r="F18" i="91"/>
  <c r="D18" i="91"/>
  <c r="L18" i="91" s="1"/>
  <c r="R16" i="91"/>
  <c r="F16" i="91"/>
  <c r="Z14" i="91"/>
  <c r="T14" i="91"/>
  <c r="T16" i="91" s="1"/>
  <c r="R14" i="91"/>
  <c r="P14" i="91"/>
  <c r="X14" i="91" s="1"/>
  <c r="N14" i="91"/>
  <c r="H14" i="91"/>
  <c r="F14" i="91"/>
  <c r="D14" i="91"/>
  <c r="D16" i="91" s="1"/>
  <c r="Z12" i="91"/>
  <c r="T12" i="91"/>
  <c r="V86" i="91" s="1"/>
  <c r="P12" i="91"/>
  <c r="R86" i="91" s="1"/>
  <c r="H12" i="91"/>
  <c r="D12" i="91"/>
  <c r="F81" i="91" s="1"/>
  <c r="D6" i="91"/>
  <c r="D4" i="91"/>
  <c r="J39" i="88"/>
  <c r="J36" i="88"/>
  <c r="Z34" i="88"/>
  <c r="X34" i="88"/>
  <c r="N34" i="88"/>
  <c r="L34" i="88"/>
  <c r="J34" i="88"/>
  <c r="F32" i="88"/>
  <c r="Z30" i="88"/>
  <c r="T30" i="88"/>
  <c r="P30" i="88"/>
  <c r="X30" i="88" s="1"/>
  <c r="N30" i="88"/>
  <c r="H30" i="88"/>
  <c r="F30" i="88"/>
  <c r="D30" i="88"/>
  <c r="L30" i="88" s="1"/>
  <c r="Z28" i="88"/>
  <c r="X28" i="88"/>
  <c r="N28" i="88"/>
  <c r="L28" i="88"/>
  <c r="J28" i="88"/>
  <c r="B28" i="88"/>
  <c r="T27" i="88"/>
  <c r="P27" i="88"/>
  <c r="J27" i="88"/>
  <c r="H27" i="88"/>
  <c r="N27" i="88" s="1"/>
  <c r="D27" i="88"/>
  <c r="B27" i="88"/>
  <c r="Z26" i="88"/>
  <c r="X26" i="88"/>
  <c r="V26" i="88"/>
  <c r="N26" i="88"/>
  <c r="L26" i="88"/>
  <c r="J26" i="88"/>
  <c r="F26" i="88"/>
  <c r="B26" i="88"/>
  <c r="T25" i="88"/>
  <c r="Z25" i="88" s="1"/>
  <c r="P25" i="88"/>
  <c r="X25" i="88" s="1"/>
  <c r="J25" i="88"/>
  <c r="H25" i="88"/>
  <c r="N25" i="88" s="1"/>
  <c r="F25" i="88"/>
  <c r="D25" i="88"/>
  <c r="L25" i="88" s="1"/>
  <c r="B25" i="88"/>
  <c r="Z24" i="88"/>
  <c r="X24" i="88"/>
  <c r="V24" i="88"/>
  <c r="N24" i="88"/>
  <c r="L24" i="88"/>
  <c r="F24" i="88"/>
  <c r="B24" i="88"/>
  <c r="Z23" i="88"/>
  <c r="T23" i="88"/>
  <c r="P23" i="88"/>
  <c r="X23" i="88" s="1"/>
  <c r="N23" i="88"/>
  <c r="L23" i="88"/>
  <c r="H23" i="88"/>
  <c r="F23" i="88"/>
  <c r="D23" i="88"/>
  <c r="B23" i="88"/>
  <c r="Z22" i="88"/>
  <c r="X22" i="88"/>
  <c r="N22" i="88"/>
  <c r="L22" i="88"/>
  <c r="J22" i="88"/>
  <c r="B22" i="88"/>
  <c r="V21" i="88"/>
  <c r="T21" i="88"/>
  <c r="P21" i="88"/>
  <c r="J21" i="88"/>
  <c r="H21" i="88"/>
  <c r="D21" i="88"/>
  <c r="B21" i="88"/>
  <c r="Z20" i="88"/>
  <c r="X20" i="88"/>
  <c r="V20" i="88"/>
  <c r="N20" i="88"/>
  <c r="L20" i="88"/>
  <c r="J20" i="88"/>
  <c r="B20" i="88"/>
  <c r="T19" i="88"/>
  <c r="Z19" i="88" s="1"/>
  <c r="P19" i="88"/>
  <c r="X19" i="88" s="1"/>
  <c r="J19" i="88"/>
  <c r="H19" i="88"/>
  <c r="N19" i="88" s="1"/>
  <c r="D19" i="88"/>
  <c r="L19" i="88" s="1"/>
  <c r="B19" i="88"/>
  <c r="T18" i="88"/>
  <c r="X18" i="88" s="1"/>
  <c r="P18" i="88"/>
  <c r="J18" i="88"/>
  <c r="H18" i="88"/>
  <c r="F18" i="88"/>
  <c r="D18" i="88"/>
  <c r="J16" i="88"/>
  <c r="F16" i="88"/>
  <c r="T14" i="88"/>
  <c r="X14" i="88" s="1"/>
  <c r="P14" i="88"/>
  <c r="J14" i="88"/>
  <c r="H14" i="88"/>
  <c r="N14" i="88" s="1"/>
  <c r="F14" i="88"/>
  <c r="D14" i="88"/>
  <c r="T12" i="88"/>
  <c r="V19" i="88" s="1"/>
  <c r="P12" i="88"/>
  <c r="R28" i="88" s="1"/>
  <c r="N12" i="88"/>
  <c r="H12" i="88"/>
  <c r="J32" i="88" s="1"/>
  <c r="D12" i="88"/>
  <c r="F28" i="88" s="1"/>
  <c r="D6" i="88"/>
  <c r="D4" i="88"/>
  <c r="Z90" i="87"/>
  <c r="X90" i="87"/>
  <c r="N90" i="87"/>
  <c r="L90" i="87"/>
  <c r="V88" i="87"/>
  <c r="R88" i="87"/>
  <c r="V86" i="87"/>
  <c r="T86" i="87"/>
  <c r="Z86" i="87" s="1"/>
  <c r="P86" i="87"/>
  <c r="H86" i="87"/>
  <c r="L86" i="87" s="1"/>
  <c r="D86" i="87"/>
  <c r="Z84" i="87"/>
  <c r="X84" i="87"/>
  <c r="V84" i="87"/>
  <c r="N84" i="87"/>
  <c r="L84" i="87"/>
  <c r="B84" i="87"/>
  <c r="Z83" i="87"/>
  <c r="T83" i="87"/>
  <c r="P83" i="87"/>
  <c r="X83" i="87" s="1"/>
  <c r="N83" i="87"/>
  <c r="L83" i="87"/>
  <c r="H83" i="87"/>
  <c r="D83" i="87"/>
  <c r="B83" i="87"/>
  <c r="Z82" i="87"/>
  <c r="X82" i="87"/>
  <c r="N82" i="87"/>
  <c r="L82" i="87"/>
  <c r="B82" i="87"/>
  <c r="T81" i="87"/>
  <c r="Z81" i="87" s="1"/>
  <c r="P81" i="87"/>
  <c r="H81" i="87"/>
  <c r="D81" i="87"/>
  <c r="B81" i="87"/>
  <c r="Z80" i="87"/>
  <c r="X80" i="87"/>
  <c r="N80" i="87"/>
  <c r="L80" i="87"/>
  <c r="B80" i="87"/>
  <c r="T79" i="87"/>
  <c r="Z79" i="87" s="1"/>
  <c r="P79" i="87"/>
  <c r="X79" i="87" s="1"/>
  <c r="H79" i="87"/>
  <c r="N79" i="87" s="1"/>
  <c r="D79" i="87"/>
  <c r="L79" i="87" s="1"/>
  <c r="B79" i="87"/>
  <c r="Z78" i="87"/>
  <c r="X78" i="87"/>
  <c r="N78" i="87"/>
  <c r="L78" i="87"/>
  <c r="B78" i="87"/>
  <c r="Z77" i="87"/>
  <c r="X77" i="87"/>
  <c r="N77" i="87"/>
  <c r="L77" i="87"/>
  <c r="B77" i="87"/>
  <c r="Z76" i="87"/>
  <c r="X76" i="87"/>
  <c r="V76" i="87"/>
  <c r="N76" i="87"/>
  <c r="L76" i="87"/>
  <c r="B76" i="87"/>
  <c r="Z75" i="87"/>
  <c r="X75" i="87"/>
  <c r="N75" i="87"/>
  <c r="L75" i="87"/>
  <c r="B75" i="87"/>
  <c r="Z74" i="87"/>
  <c r="X74" i="87"/>
  <c r="N74" i="87"/>
  <c r="L74" i="87"/>
  <c r="B74" i="87"/>
  <c r="Z73" i="87"/>
  <c r="X73" i="87"/>
  <c r="N73" i="87"/>
  <c r="L73" i="87"/>
  <c r="B73" i="87"/>
  <c r="Z72" i="87"/>
  <c r="X72" i="87"/>
  <c r="V72" i="87"/>
  <c r="N72" i="87"/>
  <c r="L72" i="87"/>
  <c r="B72" i="87"/>
  <c r="Z71" i="87"/>
  <c r="X71" i="87"/>
  <c r="N71" i="87"/>
  <c r="L71" i="87"/>
  <c r="B71" i="87"/>
  <c r="Z70" i="87"/>
  <c r="X70" i="87"/>
  <c r="N70" i="87"/>
  <c r="L70" i="87"/>
  <c r="B70" i="87"/>
  <c r="Z69" i="87"/>
  <c r="X69" i="87"/>
  <c r="T69" i="87"/>
  <c r="P69" i="87"/>
  <c r="N69" i="87"/>
  <c r="H69" i="87"/>
  <c r="D69" i="87"/>
  <c r="L69" i="87" s="1"/>
  <c r="B69" i="87"/>
  <c r="Z68" i="87"/>
  <c r="X68" i="87"/>
  <c r="N68" i="87"/>
  <c r="L68" i="87"/>
  <c r="B68" i="87"/>
  <c r="X67" i="87"/>
  <c r="T67" i="87"/>
  <c r="Z67" i="87" s="1"/>
  <c r="P67" i="87"/>
  <c r="H67" i="87"/>
  <c r="N67" i="87" s="1"/>
  <c r="D67" i="87"/>
  <c r="B67" i="87"/>
  <c r="Z66" i="87"/>
  <c r="X66" i="87"/>
  <c r="V66" i="87"/>
  <c r="N66" i="87"/>
  <c r="L66" i="87"/>
  <c r="B66" i="87"/>
  <c r="Z65" i="87"/>
  <c r="X65" i="87"/>
  <c r="R65" i="87"/>
  <c r="N65" i="87"/>
  <c r="L65" i="87"/>
  <c r="B65" i="87"/>
  <c r="Z64" i="87"/>
  <c r="X64" i="87"/>
  <c r="V64" i="87"/>
  <c r="N64" i="87"/>
  <c r="L64" i="87"/>
  <c r="B64" i="87"/>
  <c r="Z63" i="87"/>
  <c r="X63" i="87"/>
  <c r="N63" i="87"/>
  <c r="L63" i="87"/>
  <c r="B63" i="87"/>
  <c r="Z62" i="87"/>
  <c r="V62" i="87"/>
  <c r="T62" i="87"/>
  <c r="P62" i="87"/>
  <c r="X62" i="87" s="1"/>
  <c r="N62" i="87"/>
  <c r="L62" i="87"/>
  <c r="H62" i="87"/>
  <c r="D62" i="87"/>
  <c r="B62" i="87"/>
  <c r="Z61" i="87"/>
  <c r="X61" i="87"/>
  <c r="N61" i="87"/>
  <c r="L61" i="87"/>
  <c r="B61" i="87"/>
  <c r="V60" i="87"/>
  <c r="T60" i="87"/>
  <c r="Z60" i="87" s="1"/>
  <c r="R60" i="87"/>
  <c r="P60" i="87"/>
  <c r="H60" i="87"/>
  <c r="L60" i="87" s="1"/>
  <c r="D60" i="87"/>
  <c r="B60" i="87"/>
  <c r="Z59" i="87"/>
  <c r="X59" i="87"/>
  <c r="R59" i="87"/>
  <c r="N59" i="87"/>
  <c r="L59" i="87"/>
  <c r="B59" i="87"/>
  <c r="Z58" i="87"/>
  <c r="X58" i="87"/>
  <c r="N58" i="87"/>
  <c r="L58" i="87"/>
  <c r="B58" i="87"/>
  <c r="V57" i="87"/>
  <c r="T57" i="87"/>
  <c r="Z57" i="87" s="1"/>
  <c r="P57" i="87"/>
  <c r="L57" i="87"/>
  <c r="H57" i="87"/>
  <c r="N57" i="87" s="1"/>
  <c r="D57" i="87"/>
  <c r="B57" i="87"/>
  <c r="X56" i="87"/>
  <c r="Z56" i="87" s="1"/>
  <c r="V56" i="87"/>
  <c r="L56" i="87"/>
  <c r="N56" i="87" s="1"/>
  <c r="B56" i="87"/>
  <c r="T55" i="87"/>
  <c r="Z55" i="87" s="1"/>
  <c r="P55" i="87"/>
  <c r="X55" i="87" s="1"/>
  <c r="H55" i="87"/>
  <c r="D55" i="87"/>
  <c r="B55" i="87"/>
  <c r="Z54" i="87"/>
  <c r="X54" i="87"/>
  <c r="V54" i="87"/>
  <c r="N54" i="87"/>
  <c r="L54" i="87"/>
  <c r="B54" i="87"/>
  <c r="Z53" i="87"/>
  <c r="X53" i="87"/>
  <c r="T53" i="87"/>
  <c r="P53" i="87"/>
  <c r="N53" i="87"/>
  <c r="H53" i="87"/>
  <c r="D53" i="87"/>
  <c r="L53" i="87" s="1"/>
  <c r="B53" i="87"/>
  <c r="Z52" i="87"/>
  <c r="X52" i="87"/>
  <c r="L52" i="87"/>
  <c r="N52" i="87" s="1"/>
  <c r="B52" i="87"/>
  <c r="X51" i="87"/>
  <c r="T51" i="87"/>
  <c r="P51" i="87"/>
  <c r="H51" i="87"/>
  <c r="D51" i="87"/>
  <c r="B51" i="87"/>
  <c r="Z50" i="87"/>
  <c r="X50" i="87"/>
  <c r="V50" i="87"/>
  <c r="N50" i="87"/>
  <c r="L50" i="87"/>
  <c r="B50" i="87"/>
  <c r="T49" i="87"/>
  <c r="Z49" i="87" s="1"/>
  <c r="P49" i="87"/>
  <c r="H49" i="87"/>
  <c r="N49" i="87" s="1"/>
  <c r="D49" i="87"/>
  <c r="L49" i="87" s="1"/>
  <c r="B49" i="87"/>
  <c r="X48" i="87"/>
  <c r="Z48" i="87" s="1"/>
  <c r="V48" i="87"/>
  <c r="N48" i="87"/>
  <c r="L48" i="87"/>
  <c r="B48" i="87"/>
  <c r="Z47" i="87"/>
  <c r="X47" i="87"/>
  <c r="N47" i="87"/>
  <c r="L47" i="87"/>
  <c r="B47" i="87"/>
  <c r="V46" i="87"/>
  <c r="T46" i="87"/>
  <c r="X46" i="87" s="1"/>
  <c r="P46" i="87"/>
  <c r="H46" i="87"/>
  <c r="D46" i="87"/>
  <c r="B46" i="87"/>
  <c r="Z45" i="87"/>
  <c r="X45" i="87"/>
  <c r="V45" i="87"/>
  <c r="N45" i="87"/>
  <c r="L45" i="87"/>
  <c r="B45" i="87"/>
  <c r="Z44" i="87"/>
  <c r="T44" i="87"/>
  <c r="P44" i="87"/>
  <c r="X44" i="87" s="1"/>
  <c r="N44" i="87"/>
  <c r="H44" i="87"/>
  <c r="D44" i="87"/>
  <c r="L44" i="87" s="1"/>
  <c r="B44" i="87"/>
  <c r="Z43" i="87"/>
  <c r="X43" i="87"/>
  <c r="V43" i="87"/>
  <c r="N43" i="87"/>
  <c r="L43" i="87"/>
  <c r="B43" i="87"/>
  <c r="Z42" i="87"/>
  <c r="X42" i="87"/>
  <c r="V42" i="87"/>
  <c r="T42" i="87"/>
  <c r="P42" i="87"/>
  <c r="N42" i="87"/>
  <c r="L42" i="87"/>
  <c r="H42" i="87"/>
  <c r="D42" i="87"/>
  <c r="B42" i="87"/>
  <c r="Z41" i="87"/>
  <c r="X41" i="87"/>
  <c r="N41" i="87"/>
  <c r="L41" i="87"/>
  <c r="B41" i="87"/>
  <c r="Z40" i="87"/>
  <c r="X40" i="87"/>
  <c r="V40" i="87"/>
  <c r="N40" i="87"/>
  <c r="L40" i="87"/>
  <c r="B40" i="87"/>
  <c r="Z39" i="87"/>
  <c r="X39" i="87"/>
  <c r="N39" i="87"/>
  <c r="L39" i="87"/>
  <c r="B39" i="87"/>
  <c r="Z38" i="87"/>
  <c r="X38" i="87"/>
  <c r="V38" i="87"/>
  <c r="N38" i="87"/>
  <c r="L38" i="87"/>
  <c r="B38" i="87"/>
  <c r="Z37" i="87"/>
  <c r="X37" i="87"/>
  <c r="N37" i="87"/>
  <c r="L37" i="87"/>
  <c r="B37" i="87"/>
  <c r="Z36" i="87"/>
  <c r="X36" i="87"/>
  <c r="V36" i="87"/>
  <c r="N36" i="87"/>
  <c r="L36" i="87"/>
  <c r="B36" i="87"/>
  <c r="Z35" i="87"/>
  <c r="X35" i="87"/>
  <c r="N35" i="87"/>
  <c r="L35" i="87"/>
  <c r="B35" i="87"/>
  <c r="Z34" i="87"/>
  <c r="X34" i="87"/>
  <c r="V34" i="87"/>
  <c r="R34" i="87"/>
  <c r="N34" i="87"/>
  <c r="L34" i="87"/>
  <c r="B34" i="87"/>
  <c r="Z33" i="87"/>
  <c r="X33" i="87"/>
  <c r="N33" i="87"/>
  <c r="L33" i="87"/>
  <c r="J33" i="87"/>
  <c r="B33" i="87"/>
  <c r="Z32" i="87"/>
  <c r="X32" i="87"/>
  <c r="V32" i="87"/>
  <c r="N32" i="87"/>
  <c r="L32" i="87"/>
  <c r="B32" i="87"/>
  <c r="Z31" i="87"/>
  <c r="V31" i="87"/>
  <c r="T31" i="87"/>
  <c r="P31" i="87"/>
  <c r="X31" i="87" s="1"/>
  <c r="N31" i="87"/>
  <c r="L31" i="87"/>
  <c r="H31" i="87"/>
  <c r="D31" i="87"/>
  <c r="B31" i="87"/>
  <c r="Z30" i="87"/>
  <c r="X30" i="87"/>
  <c r="N30" i="87"/>
  <c r="L30" i="87"/>
  <c r="B30" i="87"/>
  <c r="Z29" i="87"/>
  <c r="X29" i="87"/>
  <c r="V29" i="87"/>
  <c r="R29" i="87"/>
  <c r="N29" i="87"/>
  <c r="L29" i="87"/>
  <c r="B29" i="87"/>
  <c r="Z28" i="87"/>
  <c r="X28" i="87"/>
  <c r="N28" i="87"/>
  <c r="L28" i="87"/>
  <c r="J28" i="87"/>
  <c r="B28" i="87"/>
  <c r="Z27" i="87"/>
  <c r="X27" i="87"/>
  <c r="V27" i="87"/>
  <c r="R27" i="87"/>
  <c r="N27" i="87"/>
  <c r="L27" i="87"/>
  <c r="B27" i="87"/>
  <c r="Z26" i="87"/>
  <c r="X26" i="87"/>
  <c r="N26" i="87"/>
  <c r="L26" i="87"/>
  <c r="B26" i="87"/>
  <c r="Z25" i="87"/>
  <c r="X25" i="87"/>
  <c r="V25" i="87"/>
  <c r="R25" i="87"/>
  <c r="N25" i="87"/>
  <c r="L25" i="87"/>
  <c r="B25" i="87"/>
  <c r="Z24" i="87"/>
  <c r="X24" i="87"/>
  <c r="N24" i="87"/>
  <c r="L24" i="87"/>
  <c r="B24" i="87"/>
  <c r="Z23" i="87"/>
  <c r="X23" i="87"/>
  <c r="V23" i="87"/>
  <c r="R23" i="87"/>
  <c r="N23" i="87"/>
  <c r="L23" i="87"/>
  <c r="B23" i="87"/>
  <c r="Z22" i="87"/>
  <c r="T22" i="87"/>
  <c r="P22" i="87"/>
  <c r="X22" i="87" s="1"/>
  <c r="N22" i="87"/>
  <c r="H22" i="87"/>
  <c r="D22" i="87"/>
  <c r="L22" i="87" s="1"/>
  <c r="B22" i="87"/>
  <c r="V21" i="87"/>
  <c r="T21" i="87"/>
  <c r="R21" i="87"/>
  <c r="P21" i="87"/>
  <c r="H21" i="87"/>
  <c r="D21" i="87"/>
  <c r="L21" i="87" s="1"/>
  <c r="V19" i="87"/>
  <c r="T19" i="87"/>
  <c r="P19" i="87"/>
  <c r="Z17" i="87"/>
  <c r="X17" i="87"/>
  <c r="V17" i="87"/>
  <c r="N17" i="87"/>
  <c r="L17" i="87"/>
  <c r="B17" i="87"/>
  <c r="Z16" i="87"/>
  <c r="X16" i="87"/>
  <c r="V16" i="87"/>
  <c r="T16" i="87"/>
  <c r="P16" i="87"/>
  <c r="N16" i="87"/>
  <c r="L16" i="87"/>
  <c r="J16" i="87"/>
  <c r="H16" i="87"/>
  <c r="D16" i="87"/>
  <c r="Z14" i="87"/>
  <c r="X14" i="87"/>
  <c r="P14" i="87"/>
  <c r="P12" i="87" s="1"/>
  <c r="N14" i="87"/>
  <c r="D14" i="87"/>
  <c r="L14" i="87" s="1"/>
  <c r="B14" i="87"/>
  <c r="Z13" i="87"/>
  <c r="X13" i="87"/>
  <c r="P13" i="87"/>
  <c r="N13" i="87"/>
  <c r="D13" i="87"/>
  <c r="B13" i="87"/>
  <c r="Z12" i="87"/>
  <c r="T12" i="87"/>
  <c r="V79" i="87" s="1"/>
  <c r="H12" i="87"/>
  <c r="J82" i="87" s="1"/>
  <c r="D6" i="87"/>
  <c r="D4" i="87"/>
  <c r="Z30" i="85"/>
  <c r="X30" i="85"/>
  <c r="V30" i="85"/>
  <c r="L30" i="85"/>
  <c r="N30" i="85" s="1"/>
  <c r="T26" i="85"/>
  <c r="Z26" i="85" s="1"/>
  <c r="P26" i="85"/>
  <c r="N26" i="85"/>
  <c r="H26" i="85"/>
  <c r="D26" i="85"/>
  <c r="L26" i="85" s="1"/>
  <c r="Z24" i="85"/>
  <c r="X24" i="85"/>
  <c r="L24" i="85"/>
  <c r="N24" i="85" s="1"/>
  <c r="B24" i="85"/>
  <c r="T23" i="85"/>
  <c r="P23" i="85"/>
  <c r="L23" i="85"/>
  <c r="N23" i="85" s="1"/>
  <c r="H23" i="85"/>
  <c r="D23" i="85"/>
  <c r="B23" i="85"/>
  <c r="V22" i="85"/>
  <c r="T22" i="85"/>
  <c r="P22" i="85"/>
  <c r="X22" i="85" s="1"/>
  <c r="Z22" i="85" s="1"/>
  <c r="N22" i="85"/>
  <c r="L22" i="85"/>
  <c r="H22" i="85"/>
  <c r="D22" i="85"/>
  <c r="Z18" i="85"/>
  <c r="X18" i="85"/>
  <c r="V18" i="85"/>
  <c r="R18" i="85"/>
  <c r="N18" i="85"/>
  <c r="L18" i="85"/>
  <c r="B18" i="85"/>
  <c r="Z17" i="85"/>
  <c r="X17" i="85"/>
  <c r="V17" i="85"/>
  <c r="L17" i="85"/>
  <c r="N17" i="85" s="1"/>
  <c r="B17" i="85"/>
  <c r="T16" i="85"/>
  <c r="P16" i="85"/>
  <c r="H16" i="85"/>
  <c r="D16" i="85"/>
  <c r="L16" i="85" s="1"/>
  <c r="N16" i="85" s="1"/>
  <c r="Z14" i="85"/>
  <c r="X14" i="85"/>
  <c r="P14" i="85"/>
  <c r="N14" i="85"/>
  <c r="D14" i="85"/>
  <c r="L14" i="85" s="1"/>
  <c r="B14" i="85"/>
  <c r="Z13" i="85"/>
  <c r="P13" i="85"/>
  <c r="X13" i="85" s="1"/>
  <c r="L13" i="85"/>
  <c r="N13" i="85" s="1"/>
  <c r="D13" i="85"/>
  <c r="B13" i="85"/>
  <c r="T12" i="85"/>
  <c r="P12" i="85"/>
  <c r="H12" i="85"/>
  <c r="D6" i="85"/>
  <c r="D4" i="85"/>
  <c r="X121" i="84"/>
  <c r="Z121" i="84" s="1"/>
  <c r="L121" i="84"/>
  <c r="N121" i="84" s="1"/>
  <c r="T117" i="84"/>
  <c r="Z117" i="84" s="1"/>
  <c r="P117" i="84"/>
  <c r="X117" i="84" s="1"/>
  <c r="H117" i="84"/>
  <c r="N117" i="84" s="1"/>
  <c r="D117" i="84"/>
  <c r="L117" i="84" s="1"/>
  <c r="Z115" i="84"/>
  <c r="X115" i="84"/>
  <c r="V115" i="84"/>
  <c r="L115" i="84"/>
  <c r="N115" i="84" s="1"/>
  <c r="B115" i="84"/>
  <c r="T114" i="84"/>
  <c r="P114" i="84"/>
  <c r="X114" i="84" s="1"/>
  <c r="Z114" i="84" s="1"/>
  <c r="H114" i="84"/>
  <c r="D114" i="84"/>
  <c r="L114" i="84" s="1"/>
  <c r="N114" i="84" s="1"/>
  <c r="B114" i="84"/>
  <c r="Z113" i="84"/>
  <c r="X113" i="84"/>
  <c r="N113" i="84"/>
  <c r="L113" i="84"/>
  <c r="B113" i="84"/>
  <c r="Z112" i="84"/>
  <c r="X112" i="84"/>
  <c r="N112" i="84"/>
  <c r="L112" i="84"/>
  <c r="B112" i="84"/>
  <c r="T111" i="84"/>
  <c r="P111" i="84"/>
  <c r="X111" i="84" s="1"/>
  <c r="Z111" i="84" s="1"/>
  <c r="H111" i="84"/>
  <c r="D111" i="84"/>
  <c r="L111" i="84" s="1"/>
  <c r="N111" i="84" s="1"/>
  <c r="B111" i="84"/>
  <c r="Z110" i="84"/>
  <c r="X110" i="84"/>
  <c r="N110" i="84"/>
  <c r="L110" i="84"/>
  <c r="B110" i="84"/>
  <c r="Z109" i="84"/>
  <c r="X109" i="84"/>
  <c r="T109" i="84"/>
  <c r="P109" i="84"/>
  <c r="N109" i="84"/>
  <c r="L109" i="84"/>
  <c r="H109" i="84"/>
  <c r="D109" i="84"/>
  <c r="B109" i="84"/>
  <c r="Z108" i="84"/>
  <c r="X108" i="84"/>
  <c r="N108" i="84"/>
  <c r="L108" i="84"/>
  <c r="B108" i="84"/>
  <c r="Z107" i="84"/>
  <c r="X107" i="84"/>
  <c r="V107" i="84"/>
  <c r="L107" i="84"/>
  <c r="N107" i="84" s="1"/>
  <c r="B107" i="84"/>
  <c r="T106" i="84"/>
  <c r="P106" i="84"/>
  <c r="X106" i="84" s="1"/>
  <c r="Z106" i="84" s="1"/>
  <c r="H106" i="84"/>
  <c r="D106" i="84"/>
  <c r="L106" i="84" s="1"/>
  <c r="N106" i="84" s="1"/>
  <c r="B106" i="84"/>
  <c r="Z105" i="84"/>
  <c r="X105" i="84"/>
  <c r="N105" i="84"/>
  <c r="L105" i="84"/>
  <c r="B105" i="84"/>
  <c r="X104" i="84"/>
  <c r="Z104" i="84" s="1"/>
  <c r="N104" i="84"/>
  <c r="L104" i="84"/>
  <c r="B104" i="84"/>
  <c r="X103" i="84"/>
  <c r="Z103" i="84" s="1"/>
  <c r="L103" i="84"/>
  <c r="N103" i="84" s="1"/>
  <c r="B103" i="84"/>
  <c r="X102" i="84"/>
  <c r="Z102" i="84" s="1"/>
  <c r="V102" i="84"/>
  <c r="L102" i="84"/>
  <c r="N102" i="84" s="1"/>
  <c r="B102" i="84"/>
  <c r="Z101" i="84"/>
  <c r="X101" i="84"/>
  <c r="L101" i="84"/>
  <c r="N101" i="84" s="1"/>
  <c r="B101" i="84"/>
  <c r="Z100" i="84"/>
  <c r="X100" i="84"/>
  <c r="N100" i="84"/>
  <c r="L100" i="84"/>
  <c r="B100" i="84"/>
  <c r="T99" i="84"/>
  <c r="P99" i="84"/>
  <c r="X99" i="84" s="1"/>
  <c r="Z99" i="84" s="1"/>
  <c r="H99" i="84"/>
  <c r="N99" i="84" s="1"/>
  <c r="D99" i="84"/>
  <c r="L99" i="84" s="1"/>
  <c r="B99" i="84"/>
  <c r="Z98" i="84"/>
  <c r="X98" i="84"/>
  <c r="N98" i="84"/>
  <c r="L98" i="84"/>
  <c r="B98" i="84"/>
  <c r="X97" i="84"/>
  <c r="Z97" i="84" s="1"/>
  <c r="N97" i="84"/>
  <c r="L97" i="84"/>
  <c r="B97" i="84"/>
  <c r="T96" i="84"/>
  <c r="P96" i="84"/>
  <c r="H96" i="84"/>
  <c r="N96" i="84" s="1"/>
  <c r="D96" i="84"/>
  <c r="L96" i="84" s="1"/>
  <c r="B96" i="84"/>
  <c r="Z95" i="84"/>
  <c r="X95" i="84"/>
  <c r="V95" i="84"/>
  <c r="L95" i="84"/>
  <c r="N95" i="84" s="1"/>
  <c r="B95" i="84"/>
  <c r="Z94" i="84"/>
  <c r="X94" i="84"/>
  <c r="L94" i="84"/>
  <c r="N94" i="84" s="1"/>
  <c r="B94" i="84"/>
  <c r="Z93" i="84"/>
  <c r="X93" i="84"/>
  <c r="N93" i="84"/>
  <c r="L93" i="84"/>
  <c r="B93" i="84"/>
  <c r="Z92" i="84"/>
  <c r="T92" i="84"/>
  <c r="P92" i="84"/>
  <c r="X92" i="84" s="1"/>
  <c r="H92" i="84"/>
  <c r="D92" i="84"/>
  <c r="L92" i="84" s="1"/>
  <c r="N92" i="84" s="1"/>
  <c r="B92" i="84"/>
  <c r="X91" i="84"/>
  <c r="Z91" i="84" s="1"/>
  <c r="L91" i="84"/>
  <c r="N91" i="84" s="1"/>
  <c r="B91" i="84"/>
  <c r="Z90" i="84"/>
  <c r="X90" i="84"/>
  <c r="V90" i="84"/>
  <c r="N90" i="84"/>
  <c r="L90" i="84"/>
  <c r="B90" i="84"/>
  <c r="T89" i="84"/>
  <c r="P89" i="84"/>
  <c r="X89" i="84" s="1"/>
  <c r="Z89" i="84" s="1"/>
  <c r="H89" i="84"/>
  <c r="D89" i="84"/>
  <c r="L89" i="84" s="1"/>
  <c r="N89" i="84" s="1"/>
  <c r="B89" i="84"/>
  <c r="X88" i="84"/>
  <c r="Z88" i="84" s="1"/>
  <c r="N88" i="84"/>
  <c r="L88" i="84"/>
  <c r="B88" i="84"/>
  <c r="X87" i="84"/>
  <c r="Z87" i="84" s="1"/>
  <c r="T87" i="84"/>
  <c r="P87" i="84"/>
  <c r="L87" i="84"/>
  <c r="N87" i="84" s="1"/>
  <c r="H87" i="84"/>
  <c r="D87" i="84"/>
  <c r="B87" i="84"/>
  <c r="Z86" i="84"/>
  <c r="X86" i="84"/>
  <c r="N86" i="84"/>
  <c r="L86" i="84"/>
  <c r="B86" i="84"/>
  <c r="T85" i="84"/>
  <c r="P85" i="84"/>
  <c r="H85" i="84"/>
  <c r="N85" i="84" s="1"/>
  <c r="D85" i="84"/>
  <c r="L85" i="84" s="1"/>
  <c r="B85" i="84"/>
  <c r="X84" i="84"/>
  <c r="Z84" i="84" s="1"/>
  <c r="L84" i="84"/>
  <c r="N84" i="84" s="1"/>
  <c r="B84" i="84"/>
  <c r="T83" i="84"/>
  <c r="P83" i="84"/>
  <c r="X83" i="84" s="1"/>
  <c r="Z83" i="84" s="1"/>
  <c r="H83" i="84"/>
  <c r="D83" i="84"/>
  <c r="L83" i="84" s="1"/>
  <c r="N83" i="84" s="1"/>
  <c r="B83" i="84"/>
  <c r="X82" i="84"/>
  <c r="Z82" i="84" s="1"/>
  <c r="N82" i="84"/>
  <c r="L82" i="84"/>
  <c r="B82" i="84"/>
  <c r="Z81" i="84"/>
  <c r="X81" i="84"/>
  <c r="T81" i="84"/>
  <c r="P81" i="84"/>
  <c r="L81" i="84"/>
  <c r="N81" i="84" s="1"/>
  <c r="H81" i="84"/>
  <c r="D81" i="84"/>
  <c r="B81" i="84"/>
  <c r="Z80" i="84"/>
  <c r="X80" i="84"/>
  <c r="L80" i="84"/>
  <c r="N80" i="84" s="1"/>
  <c r="B80" i="84"/>
  <c r="X79" i="84"/>
  <c r="Z79" i="84" s="1"/>
  <c r="V79" i="84"/>
  <c r="N79" i="84"/>
  <c r="L79" i="84"/>
  <c r="B79" i="84"/>
  <c r="T78" i="84"/>
  <c r="P78" i="84"/>
  <c r="X78" i="84" s="1"/>
  <c r="Z78" i="84" s="1"/>
  <c r="N78" i="84"/>
  <c r="H78" i="84"/>
  <c r="D78" i="84"/>
  <c r="L78" i="84" s="1"/>
  <c r="B78" i="84"/>
  <c r="Z77" i="84"/>
  <c r="X77" i="84"/>
  <c r="L77" i="84"/>
  <c r="N77" i="84" s="1"/>
  <c r="B77" i="84"/>
  <c r="X76" i="84"/>
  <c r="T76" i="84"/>
  <c r="Z76" i="84" s="1"/>
  <c r="P76" i="84"/>
  <c r="L76" i="84"/>
  <c r="N76" i="84" s="1"/>
  <c r="H76" i="84"/>
  <c r="D76" i="84"/>
  <c r="B76" i="84"/>
  <c r="Z75" i="84"/>
  <c r="X75" i="84"/>
  <c r="N75" i="84"/>
  <c r="L75" i="84"/>
  <c r="B75" i="84"/>
  <c r="T74" i="84"/>
  <c r="Z74" i="84" s="1"/>
  <c r="P74" i="84"/>
  <c r="X74" i="84" s="1"/>
  <c r="H74" i="84"/>
  <c r="D74" i="84"/>
  <c r="B74" i="84"/>
  <c r="Z73" i="84"/>
  <c r="X73" i="84"/>
  <c r="N73" i="84"/>
  <c r="L73" i="84"/>
  <c r="B73" i="84"/>
  <c r="Z72" i="84"/>
  <c r="T72" i="84"/>
  <c r="P72" i="84"/>
  <c r="X72" i="84" s="1"/>
  <c r="H72" i="84"/>
  <c r="D72" i="84"/>
  <c r="L72" i="84" s="1"/>
  <c r="N72" i="84" s="1"/>
  <c r="B72" i="84"/>
  <c r="X71" i="84"/>
  <c r="Z71" i="84" s="1"/>
  <c r="L71" i="84"/>
  <c r="N71" i="84" s="1"/>
  <c r="B71" i="84"/>
  <c r="X70" i="84"/>
  <c r="Z70" i="84" s="1"/>
  <c r="V70" i="84"/>
  <c r="T70" i="84"/>
  <c r="P70" i="84"/>
  <c r="L70" i="84"/>
  <c r="H70" i="84"/>
  <c r="N70" i="84" s="1"/>
  <c r="D70" i="84"/>
  <c r="B70" i="84"/>
  <c r="Z69" i="84"/>
  <c r="X69" i="84"/>
  <c r="N69" i="84"/>
  <c r="L69" i="84"/>
  <c r="B69" i="84"/>
  <c r="T68" i="84"/>
  <c r="P68" i="84"/>
  <c r="H68" i="84"/>
  <c r="N68" i="84" s="1"/>
  <c r="D68" i="84"/>
  <c r="L68" i="84" s="1"/>
  <c r="B68" i="84"/>
  <c r="Z67" i="84"/>
  <c r="X67" i="84"/>
  <c r="V67" i="84"/>
  <c r="L67" i="84"/>
  <c r="N67" i="84" s="1"/>
  <c r="B67" i="84"/>
  <c r="T66" i="84"/>
  <c r="P66" i="84"/>
  <c r="X66" i="84" s="1"/>
  <c r="Z66" i="84" s="1"/>
  <c r="N66" i="84"/>
  <c r="H66" i="84"/>
  <c r="D66" i="84"/>
  <c r="L66" i="84" s="1"/>
  <c r="B66" i="84"/>
  <c r="Z65" i="84"/>
  <c r="X65" i="84"/>
  <c r="N65" i="84"/>
  <c r="L65" i="84"/>
  <c r="B65" i="84"/>
  <c r="Z64" i="84"/>
  <c r="X64" i="84"/>
  <c r="V64" i="84"/>
  <c r="N64" i="84"/>
  <c r="L64" i="84"/>
  <c r="B64" i="84"/>
  <c r="Z63" i="84"/>
  <c r="X63" i="84"/>
  <c r="L63" i="84"/>
  <c r="N63" i="84" s="1"/>
  <c r="B63" i="84"/>
  <c r="X62" i="84"/>
  <c r="Z62" i="84" s="1"/>
  <c r="V62" i="84"/>
  <c r="N62" i="84"/>
  <c r="L62" i="84"/>
  <c r="B62" i="84"/>
  <c r="Z61" i="84"/>
  <c r="X61" i="84"/>
  <c r="N61" i="84"/>
  <c r="L61" i="84"/>
  <c r="B61" i="84"/>
  <c r="Z60" i="84"/>
  <c r="X60" i="84"/>
  <c r="V60" i="84"/>
  <c r="N60" i="84"/>
  <c r="L60" i="84"/>
  <c r="B60" i="84"/>
  <c r="X59" i="84"/>
  <c r="Z59" i="84" s="1"/>
  <c r="L59" i="84"/>
  <c r="N59" i="84" s="1"/>
  <c r="B59" i="84"/>
  <c r="Z58" i="84"/>
  <c r="X58" i="84"/>
  <c r="V58" i="84"/>
  <c r="N58" i="84"/>
  <c r="L58" i="84"/>
  <c r="B58" i="84"/>
  <c r="Z57" i="84"/>
  <c r="X57" i="84"/>
  <c r="L57" i="84"/>
  <c r="N57" i="84" s="1"/>
  <c r="B57" i="84"/>
  <c r="Z56" i="84"/>
  <c r="X56" i="84"/>
  <c r="V56" i="84"/>
  <c r="N56" i="84"/>
  <c r="L56" i="84"/>
  <c r="B56" i="84"/>
  <c r="T55" i="84"/>
  <c r="P55" i="84"/>
  <c r="X55" i="84" s="1"/>
  <c r="Z55" i="84" s="1"/>
  <c r="H55" i="84"/>
  <c r="D55" i="84"/>
  <c r="L55" i="84" s="1"/>
  <c r="N55" i="84" s="1"/>
  <c r="B55" i="84"/>
  <c r="X54" i="84"/>
  <c r="Z54" i="84" s="1"/>
  <c r="N54" i="84"/>
  <c r="L54" i="84"/>
  <c r="B54" i="84"/>
  <c r="Z53" i="84"/>
  <c r="X53" i="84"/>
  <c r="N53" i="84"/>
  <c r="L53" i="84"/>
  <c r="B53" i="84"/>
  <c r="X52" i="84"/>
  <c r="Z52" i="84" s="1"/>
  <c r="N52" i="84"/>
  <c r="L52" i="84"/>
  <c r="B52" i="84"/>
  <c r="Z51" i="84"/>
  <c r="X51" i="84"/>
  <c r="N51" i="84"/>
  <c r="L51" i="84"/>
  <c r="B51" i="84"/>
  <c r="X50" i="84"/>
  <c r="Z50" i="84" s="1"/>
  <c r="N50" i="84"/>
  <c r="L50" i="84"/>
  <c r="B50" i="84"/>
  <c r="Z49" i="84"/>
  <c r="X49" i="84"/>
  <c r="N49" i="84"/>
  <c r="L49" i="84"/>
  <c r="B49" i="84"/>
  <c r="X48" i="84"/>
  <c r="Z48" i="84" s="1"/>
  <c r="N48" i="84"/>
  <c r="L48" i="84"/>
  <c r="B48" i="84"/>
  <c r="X47" i="84"/>
  <c r="Z47" i="84" s="1"/>
  <c r="N47" i="84"/>
  <c r="L47" i="84"/>
  <c r="B47" i="84"/>
  <c r="X46" i="84"/>
  <c r="Z46" i="84" s="1"/>
  <c r="N46" i="84"/>
  <c r="L46" i="84"/>
  <c r="B46" i="84"/>
  <c r="X45" i="84"/>
  <c r="Z45" i="84" s="1"/>
  <c r="T45" i="84"/>
  <c r="P45" i="84"/>
  <c r="L45" i="84"/>
  <c r="N45" i="84" s="1"/>
  <c r="H45" i="84"/>
  <c r="D45" i="84"/>
  <c r="B45" i="84"/>
  <c r="T44" i="84"/>
  <c r="P44" i="84"/>
  <c r="X44" i="84" s="1"/>
  <c r="Z44" i="84" s="1"/>
  <c r="N44" i="84"/>
  <c r="H44" i="84"/>
  <c r="D44" i="84"/>
  <c r="L44" i="84" s="1"/>
  <c r="Z40" i="84"/>
  <c r="X40" i="84"/>
  <c r="N40" i="84"/>
  <c r="L40" i="84"/>
  <c r="B40" i="84"/>
  <c r="Z39" i="84"/>
  <c r="X39" i="84"/>
  <c r="V39" i="84"/>
  <c r="N39" i="84"/>
  <c r="L39" i="84"/>
  <c r="B39" i="84"/>
  <c r="Z38" i="84"/>
  <c r="X38" i="84"/>
  <c r="N38" i="84"/>
  <c r="L38" i="84"/>
  <c r="B38" i="84"/>
  <c r="Z37" i="84"/>
  <c r="X37" i="84"/>
  <c r="V37" i="84"/>
  <c r="N37" i="84"/>
  <c r="L37" i="84"/>
  <c r="B37" i="84"/>
  <c r="Z36" i="84"/>
  <c r="X36" i="84"/>
  <c r="L36" i="84"/>
  <c r="N36" i="84" s="1"/>
  <c r="B36" i="84"/>
  <c r="T35" i="84"/>
  <c r="P35" i="84"/>
  <c r="H35" i="84"/>
  <c r="D35" i="84"/>
  <c r="Z33" i="84"/>
  <c r="P33" i="84"/>
  <c r="X33" i="84" s="1"/>
  <c r="N33" i="84"/>
  <c r="D33" i="84"/>
  <c r="L33" i="84" s="1"/>
  <c r="B33" i="84"/>
  <c r="Z32" i="84"/>
  <c r="P32" i="84"/>
  <c r="X32" i="84" s="1"/>
  <c r="N32" i="84"/>
  <c r="D32" i="84"/>
  <c r="L32" i="84" s="1"/>
  <c r="B32" i="84"/>
  <c r="Z31" i="84"/>
  <c r="X31" i="84"/>
  <c r="P31" i="84"/>
  <c r="N31" i="84"/>
  <c r="L31" i="84"/>
  <c r="D31" i="84"/>
  <c r="B31" i="84"/>
  <c r="Z30" i="84"/>
  <c r="X30" i="84"/>
  <c r="P30" i="84"/>
  <c r="N30" i="84"/>
  <c r="D30" i="84"/>
  <c r="L30" i="84" s="1"/>
  <c r="B30" i="84"/>
  <c r="Z29" i="84"/>
  <c r="P29" i="84"/>
  <c r="X29" i="84" s="1"/>
  <c r="N29" i="84"/>
  <c r="D29" i="84"/>
  <c r="L29" i="84" s="1"/>
  <c r="B29" i="84"/>
  <c r="Z28" i="84"/>
  <c r="X28" i="84"/>
  <c r="P28" i="84"/>
  <c r="N28" i="84"/>
  <c r="L28" i="84"/>
  <c r="D28" i="84"/>
  <c r="B28" i="84"/>
  <c r="Z27" i="84"/>
  <c r="P27" i="84"/>
  <c r="X27" i="84" s="1"/>
  <c r="N27" i="84"/>
  <c r="L27" i="84"/>
  <c r="D27" i="84"/>
  <c r="B27" i="84"/>
  <c r="Z26" i="84"/>
  <c r="X26" i="84"/>
  <c r="P26" i="84"/>
  <c r="N26" i="84"/>
  <c r="D26" i="84"/>
  <c r="L26" i="84" s="1"/>
  <c r="B26" i="84"/>
  <c r="Z25" i="84"/>
  <c r="X25" i="84"/>
  <c r="P25" i="84"/>
  <c r="N25" i="84"/>
  <c r="L25" i="84"/>
  <c r="D25" i="84"/>
  <c r="B25" i="84"/>
  <c r="Z24" i="84"/>
  <c r="P24" i="84"/>
  <c r="X24" i="84" s="1"/>
  <c r="N24" i="84"/>
  <c r="D24" i="84"/>
  <c r="L24" i="84" s="1"/>
  <c r="B24" i="84"/>
  <c r="Z23" i="84"/>
  <c r="P23" i="84"/>
  <c r="X23" i="84" s="1"/>
  <c r="N23" i="84"/>
  <c r="L23" i="84"/>
  <c r="D23" i="84"/>
  <c r="B23" i="84"/>
  <c r="Z22" i="84"/>
  <c r="X22" i="84"/>
  <c r="P22" i="84"/>
  <c r="N22" i="84"/>
  <c r="L22" i="84"/>
  <c r="D22" i="84"/>
  <c r="B22" i="84"/>
  <c r="Z21" i="84"/>
  <c r="P21" i="84"/>
  <c r="X21" i="84" s="1"/>
  <c r="N21" i="84"/>
  <c r="D21" i="84"/>
  <c r="L21" i="84" s="1"/>
  <c r="B21" i="84"/>
  <c r="Z20" i="84"/>
  <c r="P20" i="84"/>
  <c r="X20" i="84" s="1"/>
  <c r="N20" i="84"/>
  <c r="D20" i="84"/>
  <c r="L20" i="84" s="1"/>
  <c r="B20" i="84"/>
  <c r="Z19" i="84"/>
  <c r="X19" i="84"/>
  <c r="P19" i="84"/>
  <c r="N19" i="84"/>
  <c r="L19" i="84"/>
  <c r="D19" i="84"/>
  <c r="B19" i="84"/>
  <c r="Z18" i="84"/>
  <c r="X18" i="84"/>
  <c r="P18" i="84"/>
  <c r="N18" i="84"/>
  <c r="D18" i="84"/>
  <c r="L18" i="84" s="1"/>
  <c r="B18" i="84"/>
  <c r="Z17" i="84"/>
  <c r="P17" i="84"/>
  <c r="X17" i="84" s="1"/>
  <c r="N17" i="84"/>
  <c r="L17" i="84"/>
  <c r="D17" i="84"/>
  <c r="B17" i="84"/>
  <c r="Z16" i="84"/>
  <c r="X16" i="84"/>
  <c r="P16" i="84"/>
  <c r="N16" i="84"/>
  <c r="L16" i="84"/>
  <c r="D16" i="84"/>
  <c r="B16" i="84"/>
  <c r="Z15" i="84"/>
  <c r="P15" i="84"/>
  <c r="N15" i="84"/>
  <c r="L15" i="84"/>
  <c r="D15" i="84"/>
  <c r="B15" i="84"/>
  <c r="Z14" i="84"/>
  <c r="P14" i="84"/>
  <c r="X14" i="84" s="1"/>
  <c r="N14" i="84"/>
  <c r="D14" i="84"/>
  <c r="B14" i="84"/>
  <c r="X13" i="84"/>
  <c r="Z13" i="84" s="1"/>
  <c r="P13" i="84"/>
  <c r="L13" i="84"/>
  <c r="N13" i="84" s="1"/>
  <c r="D13" i="84"/>
  <c r="B13" i="84"/>
  <c r="T12" i="84"/>
  <c r="V111" i="84" s="1"/>
  <c r="H12" i="84"/>
  <c r="J86" i="84" s="1"/>
  <c r="D6" i="84"/>
  <c r="D4" i="84"/>
  <c r="X92" i="83"/>
  <c r="Z92" i="83" s="1"/>
  <c r="L92" i="83"/>
  <c r="N92" i="83" s="1"/>
  <c r="Z88" i="83"/>
  <c r="T88" i="83"/>
  <c r="P88" i="83"/>
  <c r="X88" i="83" s="1"/>
  <c r="N88" i="83"/>
  <c r="H88" i="83"/>
  <c r="D88" i="83"/>
  <c r="L88" i="83" s="1"/>
  <c r="Z86" i="83"/>
  <c r="X86" i="83"/>
  <c r="L86" i="83"/>
  <c r="N86" i="83" s="1"/>
  <c r="B86" i="83"/>
  <c r="T85" i="83"/>
  <c r="P85" i="83"/>
  <c r="H85" i="83"/>
  <c r="N85" i="83" s="1"/>
  <c r="D85" i="83"/>
  <c r="L85" i="83" s="1"/>
  <c r="B85" i="83"/>
  <c r="X84" i="83"/>
  <c r="Z84" i="83" s="1"/>
  <c r="N84" i="83"/>
  <c r="L84" i="83"/>
  <c r="B84" i="83"/>
  <c r="T83" i="83"/>
  <c r="P83" i="83"/>
  <c r="X83" i="83" s="1"/>
  <c r="N83" i="83"/>
  <c r="H83" i="83"/>
  <c r="D83" i="83"/>
  <c r="L83" i="83" s="1"/>
  <c r="B83" i="83"/>
  <c r="X82" i="83"/>
  <c r="Z82" i="83" s="1"/>
  <c r="N82" i="83"/>
  <c r="L82" i="83"/>
  <c r="B82" i="83"/>
  <c r="Z81" i="83"/>
  <c r="X81" i="83"/>
  <c r="N81" i="83"/>
  <c r="L81" i="83"/>
  <c r="J81" i="83"/>
  <c r="B81" i="83"/>
  <c r="X80" i="83"/>
  <c r="T80" i="83"/>
  <c r="P80" i="83"/>
  <c r="H80" i="83"/>
  <c r="D80" i="83"/>
  <c r="B80" i="83"/>
  <c r="Z79" i="83"/>
  <c r="X79" i="83"/>
  <c r="N79" i="83"/>
  <c r="L79" i="83"/>
  <c r="J79" i="83"/>
  <c r="B79" i="83"/>
  <c r="Z78" i="83"/>
  <c r="X78" i="83"/>
  <c r="N78" i="83"/>
  <c r="L78" i="83"/>
  <c r="B78" i="83"/>
  <c r="Z77" i="83"/>
  <c r="X77" i="83"/>
  <c r="N77" i="83"/>
  <c r="L77" i="83"/>
  <c r="B77" i="83"/>
  <c r="Z76" i="83"/>
  <c r="X76" i="83"/>
  <c r="L76" i="83"/>
  <c r="N76" i="83" s="1"/>
  <c r="J76" i="83"/>
  <c r="B76" i="83"/>
  <c r="Z75" i="83"/>
  <c r="X75" i="83"/>
  <c r="N75" i="83"/>
  <c r="L75" i="83"/>
  <c r="J75" i="83"/>
  <c r="B75" i="83"/>
  <c r="X74" i="83"/>
  <c r="T74" i="83"/>
  <c r="P74" i="83"/>
  <c r="H74" i="83"/>
  <c r="N74" i="83" s="1"/>
  <c r="D74" i="83"/>
  <c r="L74" i="83" s="1"/>
  <c r="B74" i="83"/>
  <c r="Z73" i="83"/>
  <c r="X73" i="83"/>
  <c r="N73" i="83"/>
  <c r="L73" i="83"/>
  <c r="B73" i="83"/>
  <c r="T72" i="83"/>
  <c r="P72" i="83"/>
  <c r="X72" i="83" s="1"/>
  <c r="L72" i="83"/>
  <c r="H72" i="83"/>
  <c r="D72" i="83"/>
  <c r="B72" i="83"/>
  <c r="Z71" i="83"/>
  <c r="X71" i="83"/>
  <c r="V71" i="83"/>
  <c r="N71" i="83"/>
  <c r="L71" i="83"/>
  <c r="J71" i="83"/>
  <c r="B71" i="83"/>
  <c r="X70" i="83"/>
  <c r="Z70" i="83" s="1"/>
  <c r="L70" i="83"/>
  <c r="N70" i="83" s="1"/>
  <c r="B70" i="83"/>
  <c r="Z69" i="83"/>
  <c r="X69" i="83"/>
  <c r="N69" i="83"/>
  <c r="L69" i="83"/>
  <c r="J69" i="83"/>
  <c r="B69" i="83"/>
  <c r="T68" i="83"/>
  <c r="P68" i="83"/>
  <c r="H68" i="83"/>
  <c r="D68" i="83"/>
  <c r="B68" i="83"/>
  <c r="Z67" i="83"/>
  <c r="X67" i="83"/>
  <c r="N67" i="83"/>
  <c r="L67" i="83"/>
  <c r="B67" i="83"/>
  <c r="Z66" i="83"/>
  <c r="X66" i="83"/>
  <c r="L66" i="83"/>
  <c r="N66" i="83" s="1"/>
  <c r="J66" i="83"/>
  <c r="B66" i="83"/>
  <c r="Z65" i="83"/>
  <c r="X65" i="83"/>
  <c r="N65" i="83"/>
  <c r="L65" i="83"/>
  <c r="J65" i="83"/>
  <c r="B65" i="83"/>
  <c r="Z64" i="83"/>
  <c r="X64" i="83"/>
  <c r="N64" i="83"/>
  <c r="L64" i="83"/>
  <c r="J64" i="83"/>
  <c r="B64" i="83"/>
  <c r="T63" i="83"/>
  <c r="P63" i="83"/>
  <c r="X63" i="83" s="1"/>
  <c r="Z63" i="83" s="1"/>
  <c r="H63" i="83"/>
  <c r="D63" i="83"/>
  <c r="B63" i="83"/>
  <c r="Z62" i="83"/>
  <c r="X62" i="83"/>
  <c r="N62" i="83"/>
  <c r="L62" i="83"/>
  <c r="B62" i="83"/>
  <c r="V61" i="83"/>
  <c r="T61" i="83"/>
  <c r="Z61" i="83" s="1"/>
  <c r="P61" i="83"/>
  <c r="X61" i="83" s="1"/>
  <c r="H61" i="83"/>
  <c r="D61" i="83"/>
  <c r="L61" i="83" s="1"/>
  <c r="N61" i="83" s="1"/>
  <c r="B61" i="83"/>
  <c r="X60" i="83"/>
  <c r="Z60" i="83" s="1"/>
  <c r="L60" i="83"/>
  <c r="N60" i="83" s="1"/>
  <c r="J60" i="83"/>
  <c r="B60" i="83"/>
  <c r="X59" i="83"/>
  <c r="Z59" i="83" s="1"/>
  <c r="T59" i="83"/>
  <c r="P59" i="83"/>
  <c r="H59" i="83"/>
  <c r="L59" i="83" s="1"/>
  <c r="D59" i="83"/>
  <c r="B59" i="83"/>
  <c r="Z58" i="83"/>
  <c r="X58" i="83"/>
  <c r="N58" i="83"/>
  <c r="L58" i="83"/>
  <c r="J58" i="83"/>
  <c r="B58" i="83"/>
  <c r="T57" i="83"/>
  <c r="P57" i="83"/>
  <c r="N57" i="83"/>
  <c r="H57" i="83"/>
  <c r="D57" i="83"/>
  <c r="L57" i="83" s="1"/>
  <c r="B57" i="83"/>
  <c r="X56" i="83"/>
  <c r="Z56" i="83" s="1"/>
  <c r="V56" i="83"/>
  <c r="L56" i="83"/>
  <c r="N56" i="83" s="1"/>
  <c r="B56" i="83"/>
  <c r="X55" i="83"/>
  <c r="Z55" i="83" s="1"/>
  <c r="T55" i="83"/>
  <c r="P55" i="83"/>
  <c r="J55" i="83"/>
  <c r="H55" i="83"/>
  <c r="D55" i="83"/>
  <c r="L55" i="83" s="1"/>
  <c r="B55" i="83"/>
  <c r="Z54" i="83"/>
  <c r="X54" i="83"/>
  <c r="N54" i="83"/>
  <c r="L54" i="83"/>
  <c r="B54" i="83"/>
  <c r="T53" i="83"/>
  <c r="X53" i="83" s="1"/>
  <c r="P53" i="83"/>
  <c r="L53" i="83"/>
  <c r="N53" i="83" s="1"/>
  <c r="H53" i="83"/>
  <c r="F53" i="83"/>
  <c r="D53" i="83"/>
  <c r="B53" i="83"/>
  <c r="Z52" i="83"/>
  <c r="X52" i="83"/>
  <c r="V52" i="83"/>
  <c r="L52" i="83"/>
  <c r="N52" i="83" s="1"/>
  <c r="J52" i="83"/>
  <c r="B52" i="83"/>
  <c r="Z51" i="83"/>
  <c r="X51" i="83"/>
  <c r="N51" i="83"/>
  <c r="L51" i="83"/>
  <c r="B51" i="83"/>
  <c r="T50" i="83"/>
  <c r="P50" i="83"/>
  <c r="N50" i="83"/>
  <c r="L50" i="83"/>
  <c r="J50" i="83"/>
  <c r="H50" i="83"/>
  <c r="D50" i="83"/>
  <c r="B50" i="83"/>
  <c r="X49" i="83"/>
  <c r="Z49" i="83" s="1"/>
  <c r="V49" i="83"/>
  <c r="L49" i="83"/>
  <c r="N49" i="83" s="1"/>
  <c r="J49" i="83"/>
  <c r="B49" i="83"/>
  <c r="V48" i="83"/>
  <c r="T48" i="83"/>
  <c r="P48" i="83"/>
  <c r="X48" i="83" s="1"/>
  <c r="Z48" i="83" s="1"/>
  <c r="H48" i="83"/>
  <c r="J48" i="83" s="1"/>
  <c r="D48" i="83"/>
  <c r="L48" i="83" s="1"/>
  <c r="B48" i="83"/>
  <c r="X47" i="83"/>
  <c r="Z47" i="83" s="1"/>
  <c r="N47" i="83"/>
  <c r="L47" i="83"/>
  <c r="B47" i="83"/>
  <c r="T46" i="83"/>
  <c r="P46" i="83"/>
  <c r="X46" i="83" s="1"/>
  <c r="Z46" i="83" s="1"/>
  <c r="L46" i="83"/>
  <c r="N46" i="83" s="1"/>
  <c r="H46" i="83"/>
  <c r="D46" i="83"/>
  <c r="B46" i="83"/>
  <c r="X45" i="83"/>
  <c r="Z45" i="83" s="1"/>
  <c r="N45" i="83"/>
  <c r="L45" i="83"/>
  <c r="J45" i="83"/>
  <c r="B45" i="83"/>
  <c r="X44" i="83"/>
  <c r="Z44" i="83" s="1"/>
  <c r="V44" i="83"/>
  <c r="T44" i="83"/>
  <c r="P44" i="83"/>
  <c r="H44" i="83"/>
  <c r="D44" i="83"/>
  <c r="B44" i="83"/>
  <c r="Z43" i="83"/>
  <c r="X43" i="83"/>
  <c r="N43" i="83"/>
  <c r="L43" i="83"/>
  <c r="B43" i="83"/>
  <c r="Z42" i="83"/>
  <c r="X42" i="83"/>
  <c r="V42" i="83"/>
  <c r="N42" i="83"/>
  <c r="L42" i="83"/>
  <c r="B42" i="83"/>
  <c r="Z41" i="83"/>
  <c r="X41" i="83"/>
  <c r="V41" i="83"/>
  <c r="L41" i="83"/>
  <c r="N41" i="83" s="1"/>
  <c r="J41" i="83"/>
  <c r="B41" i="83"/>
  <c r="X40" i="83"/>
  <c r="Z40" i="83" s="1"/>
  <c r="V40" i="83"/>
  <c r="N40" i="83"/>
  <c r="L40" i="83"/>
  <c r="B40" i="83"/>
  <c r="Z39" i="83"/>
  <c r="X39" i="83"/>
  <c r="N39" i="83"/>
  <c r="L39" i="83"/>
  <c r="B39" i="83"/>
  <c r="Z38" i="83"/>
  <c r="X38" i="83"/>
  <c r="V38" i="83"/>
  <c r="N38" i="83"/>
  <c r="L38" i="83"/>
  <c r="B38" i="83"/>
  <c r="Z37" i="83"/>
  <c r="X37" i="83"/>
  <c r="V37" i="83"/>
  <c r="N37" i="83"/>
  <c r="L37" i="83"/>
  <c r="J37" i="83"/>
  <c r="B37" i="83"/>
  <c r="Z36" i="83"/>
  <c r="X36" i="83"/>
  <c r="V36" i="83"/>
  <c r="N36" i="83"/>
  <c r="L36" i="83"/>
  <c r="B36" i="83"/>
  <c r="X35" i="83"/>
  <c r="Z35" i="83" s="1"/>
  <c r="L35" i="83"/>
  <c r="N35" i="83" s="1"/>
  <c r="B35" i="83"/>
  <c r="Z34" i="83"/>
  <c r="X34" i="83"/>
  <c r="V34" i="83"/>
  <c r="N34" i="83"/>
  <c r="L34" i="83"/>
  <c r="B34" i="83"/>
  <c r="V33" i="83"/>
  <c r="T33" i="83"/>
  <c r="P33" i="83"/>
  <c r="X33" i="83" s="1"/>
  <c r="H33" i="83"/>
  <c r="D33" i="83"/>
  <c r="L33" i="83" s="1"/>
  <c r="N33" i="83" s="1"/>
  <c r="B33" i="83"/>
  <c r="X32" i="83"/>
  <c r="Z32" i="83" s="1"/>
  <c r="N32" i="83"/>
  <c r="L32" i="83"/>
  <c r="J32" i="83"/>
  <c r="B32" i="83"/>
  <c r="X31" i="83"/>
  <c r="Z31" i="83" s="1"/>
  <c r="N31" i="83"/>
  <c r="L31" i="83"/>
  <c r="B31" i="83"/>
  <c r="Z30" i="83"/>
  <c r="X30" i="83"/>
  <c r="N30" i="83"/>
  <c r="L30" i="83"/>
  <c r="B30" i="83"/>
  <c r="X29" i="83"/>
  <c r="Z29" i="83" s="1"/>
  <c r="V29" i="83"/>
  <c r="L29" i="83"/>
  <c r="N29" i="83" s="1"/>
  <c r="J29" i="83"/>
  <c r="B29" i="83"/>
  <c r="X28" i="83"/>
  <c r="Z28" i="83" s="1"/>
  <c r="N28" i="83"/>
  <c r="L28" i="83"/>
  <c r="J28" i="83"/>
  <c r="B28" i="83"/>
  <c r="X27" i="83"/>
  <c r="Z27" i="83" s="1"/>
  <c r="N27" i="83"/>
  <c r="L27" i="83"/>
  <c r="B27" i="83"/>
  <c r="Z26" i="83"/>
  <c r="X26" i="83"/>
  <c r="N26" i="83"/>
  <c r="L26" i="83"/>
  <c r="B26" i="83"/>
  <c r="X25" i="83"/>
  <c r="Z25" i="83" s="1"/>
  <c r="V25" i="83"/>
  <c r="L25" i="83"/>
  <c r="N25" i="83" s="1"/>
  <c r="J25" i="83"/>
  <c r="B25" i="83"/>
  <c r="X24" i="83"/>
  <c r="T24" i="83"/>
  <c r="P24" i="83"/>
  <c r="H24" i="83"/>
  <c r="J24" i="83" s="1"/>
  <c r="D24" i="83"/>
  <c r="L24" i="83" s="1"/>
  <c r="N24" i="83" s="1"/>
  <c r="B24" i="83"/>
  <c r="T23" i="83"/>
  <c r="P23" i="83"/>
  <c r="X23" i="83" s="1"/>
  <c r="Z23" i="83" s="1"/>
  <c r="H23" i="83"/>
  <c r="D23" i="83"/>
  <c r="T21" i="83"/>
  <c r="T90" i="83" s="1"/>
  <c r="Z19" i="83"/>
  <c r="X19" i="83"/>
  <c r="N19" i="83"/>
  <c r="L19" i="83"/>
  <c r="B19" i="83"/>
  <c r="Z18" i="83"/>
  <c r="X18" i="83"/>
  <c r="N18" i="83"/>
  <c r="L18" i="83"/>
  <c r="J18" i="83"/>
  <c r="B18" i="83"/>
  <c r="X17" i="83"/>
  <c r="Z17" i="83" s="1"/>
  <c r="V17" i="83"/>
  <c r="L17" i="83"/>
  <c r="N17" i="83" s="1"/>
  <c r="J17" i="83"/>
  <c r="B17" i="83"/>
  <c r="Z16" i="83"/>
  <c r="X16" i="83"/>
  <c r="V16" i="83"/>
  <c r="T16" i="83"/>
  <c r="P16" i="83"/>
  <c r="H16" i="83"/>
  <c r="D16" i="83"/>
  <c r="P14" i="83"/>
  <c r="X14" i="83" s="1"/>
  <c r="Z14" i="83" s="1"/>
  <c r="D14" i="83"/>
  <c r="L14" i="83" s="1"/>
  <c r="N14" i="83" s="1"/>
  <c r="B14" i="83"/>
  <c r="P13" i="83"/>
  <c r="D13" i="83"/>
  <c r="L13" i="83" s="1"/>
  <c r="N13" i="83" s="1"/>
  <c r="B13" i="83"/>
  <c r="T12" i="83"/>
  <c r="V84" i="83" s="1"/>
  <c r="H12" i="83"/>
  <c r="J56" i="83" s="1"/>
  <c r="D12" i="83"/>
  <c r="D6" i="83"/>
  <c r="D4" i="83"/>
  <c r="Z51" i="82"/>
  <c r="X51" i="82"/>
  <c r="L51" i="82"/>
  <c r="N51" i="82" s="1"/>
  <c r="J51" i="82"/>
  <c r="X47" i="82"/>
  <c r="T47" i="82"/>
  <c r="Z47" i="82" s="1"/>
  <c r="P47" i="82"/>
  <c r="N47" i="82"/>
  <c r="H47" i="82"/>
  <c r="D47" i="82"/>
  <c r="L47" i="82" s="1"/>
  <c r="Z45" i="82"/>
  <c r="X45" i="82"/>
  <c r="N45" i="82"/>
  <c r="L45" i="82"/>
  <c r="J45" i="82"/>
  <c r="B45" i="82"/>
  <c r="Z44" i="82"/>
  <c r="X44" i="82"/>
  <c r="N44" i="82"/>
  <c r="L44" i="82"/>
  <c r="B44" i="82"/>
  <c r="Z43" i="82"/>
  <c r="X43" i="82"/>
  <c r="N43" i="82"/>
  <c r="L43" i="82"/>
  <c r="B43" i="82"/>
  <c r="Z42" i="82"/>
  <c r="X42" i="82"/>
  <c r="N42" i="82"/>
  <c r="L42" i="82"/>
  <c r="B42" i="82"/>
  <c r="Z41" i="82"/>
  <c r="X41" i="82"/>
  <c r="N41" i="82"/>
  <c r="L41" i="82"/>
  <c r="J41" i="82"/>
  <c r="B41" i="82"/>
  <c r="Z40" i="82"/>
  <c r="X40" i="82"/>
  <c r="N40" i="82"/>
  <c r="L40" i="82"/>
  <c r="B40" i="82"/>
  <c r="Z39" i="82"/>
  <c r="X39" i="82"/>
  <c r="N39" i="82"/>
  <c r="L39" i="82"/>
  <c r="B39" i="82"/>
  <c r="Z38" i="82"/>
  <c r="X38" i="82"/>
  <c r="N38" i="82"/>
  <c r="L38" i="82"/>
  <c r="B38" i="82"/>
  <c r="Z37" i="82"/>
  <c r="X37" i="82"/>
  <c r="N37" i="82"/>
  <c r="L37" i="82"/>
  <c r="J37" i="82"/>
  <c r="B37" i="82"/>
  <c r="Z36" i="82"/>
  <c r="X36" i="82"/>
  <c r="N36" i="82"/>
  <c r="L36" i="82"/>
  <c r="B36" i="82"/>
  <c r="Z35" i="82"/>
  <c r="T35" i="82"/>
  <c r="P35" i="82"/>
  <c r="X35" i="82" s="1"/>
  <c r="L35" i="82"/>
  <c r="H35" i="82"/>
  <c r="N35" i="82" s="1"/>
  <c r="D35" i="82"/>
  <c r="B35" i="82"/>
  <c r="Z34" i="82"/>
  <c r="X34" i="82"/>
  <c r="N34" i="82"/>
  <c r="L34" i="82"/>
  <c r="J34" i="82"/>
  <c r="B34" i="82"/>
  <c r="Z33" i="82"/>
  <c r="X33" i="82"/>
  <c r="N33" i="82"/>
  <c r="L33" i="82"/>
  <c r="J33" i="82"/>
  <c r="B33" i="82"/>
  <c r="Z32" i="82"/>
  <c r="X32" i="82"/>
  <c r="N32" i="82"/>
  <c r="L32" i="82"/>
  <c r="B32" i="82"/>
  <c r="Z31" i="82"/>
  <c r="X31" i="82"/>
  <c r="N31" i="82"/>
  <c r="L31" i="82"/>
  <c r="J31" i="82"/>
  <c r="B31" i="82"/>
  <c r="Z30" i="82"/>
  <c r="X30" i="82"/>
  <c r="N30" i="82"/>
  <c r="L30" i="82"/>
  <c r="J30" i="82"/>
  <c r="B30" i="82"/>
  <c r="Z29" i="82"/>
  <c r="X29" i="82"/>
  <c r="V29" i="82"/>
  <c r="N29" i="82"/>
  <c r="L29" i="82"/>
  <c r="J29" i="82"/>
  <c r="B29" i="82"/>
  <c r="Z28" i="82"/>
  <c r="X28" i="82"/>
  <c r="N28" i="82"/>
  <c r="L28" i="82"/>
  <c r="B28" i="82"/>
  <c r="Z27" i="82"/>
  <c r="X27" i="82"/>
  <c r="N27" i="82"/>
  <c r="L27" i="82"/>
  <c r="J27" i="82"/>
  <c r="B27" i="82"/>
  <c r="T26" i="82"/>
  <c r="Z26" i="82" s="1"/>
  <c r="P26" i="82"/>
  <c r="N26" i="82"/>
  <c r="H26" i="82"/>
  <c r="D26" i="82"/>
  <c r="L26" i="82" s="1"/>
  <c r="B26" i="82"/>
  <c r="Z25" i="82"/>
  <c r="V25" i="82"/>
  <c r="T25" i="82"/>
  <c r="P25" i="82"/>
  <c r="X25" i="82" s="1"/>
  <c r="J25" i="82"/>
  <c r="H25" i="82"/>
  <c r="N25" i="82" s="1"/>
  <c r="D25" i="82"/>
  <c r="L25" i="82" s="1"/>
  <c r="J23" i="82"/>
  <c r="H23" i="82"/>
  <c r="H49" i="82" s="1"/>
  <c r="H53" i="82" s="1"/>
  <c r="Z21" i="82"/>
  <c r="X21" i="82"/>
  <c r="V21" i="82"/>
  <c r="N21" i="82"/>
  <c r="L21" i="82"/>
  <c r="B21" i="82"/>
  <c r="Z20" i="82"/>
  <c r="X20" i="82"/>
  <c r="N20" i="82"/>
  <c r="L20" i="82"/>
  <c r="B20" i="82"/>
  <c r="Z19" i="82"/>
  <c r="X19" i="82"/>
  <c r="N19" i="82"/>
  <c r="L19" i="82"/>
  <c r="B19" i="82"/>
  <c r="V18" i="82"/>
  <c r="T18" i="82"/>
  <c r="P18" i="82"/>
  <c r="X18" i="82" s="1"/>
  <c r="Z18" i="82" s="1"/>
  <c r="L18" i="82"/>
  <c r="N18" i="82" s="1"/>
  <c r="H18" i="82"/>
  <c r="D18" i="82"/>
  <c r="Z16" i="82"/>
  <c r="P16" i="82"/>
  <c r="X16" i="82" s="1"/>
  <c r="N16" i="82"/>
  <c r="D16" i="82"/>
  <c r="L16" i="82" s="1"/>
  <c r="B16" i="82"/>
  <c r="Z15" i="82"/>
  <c r="P15" i="82"/>
  <c r="X15" i="82" s="1"/>
  <c r="N15" i="82"/>
  <c r="L15" i="82"/>
  <c r="D15" i="82"/>
  <c r="B15" i="82"/>
  <c r="Z14" i="82"/>
  <c r="X14" i="82"/>
  <c r="P14" i="82"/>
  <c r="N14" i="82"/>
  <c r="D14" i="82"/>
  <c r="L14" i="82" s="1"/>
  <c r="B14" i="82"/>
  <c r="P13" i="82"/>
  <c r="X13" i="82" s="1"/>
  <c r="Z13" i="82" s="1"/>
  <c r="D13" i="82"/>
  <c r="L13" i="82" s="1"/>
  <c r="N13" i="82" s="1"/>
  <c r="B13" i="82"/>
  <c r="T12" i="82"/>
  <c r="V19" i="82" s="1"/>
  <c r="H12" i="82"/>
  <c r="J32" i="82" s="1"/>
  <c r="D6" i="82"/>
  <c r="D4" i="82"/>
  <c r="Z72" i="80"/>
  <c r="X72" i="80"/>
  <c r="N72" i="80"/>
  <c r="L72" i="80"/>
  <c r="T68" i="80"/>
  <c r="P68" i="80"/>
  <c r="N68" i="80"/>
  <c r="L68" i="80"/>
  <c r="H68" i="80"/>
  <c r="D68" i="80"/>
  <c r="Z66" i="80"/>
  <c r="X66" i="80"/>
  <c r="N66" i="80"/>
  <c r="L66" i="80"/>
  <c r="B66" i="80"/>
  <c r="Z65" i="80"/>
  <c r="T65" i="80"/>
  <c r="P65" i="80"/>
  <c r="X65" i="80" s="1"/>
  <c r="N65" i="80"/>
  <c r="H65" i="80"/>
  <c r="D65" i="80"/>
  <c r="L65" i="80" s="1"/>
  <c r="B65" i="80"/>
  <c r="Z64" i="80"/>
  <c r="X64" i="80"/>
  <c r="N64" i="80"/>
  <c r="L64" i="80"/>
  <c r="B64" i="80"/>
  <c r="T63" i="80"/>
  <c r="Z63" i="80" s="1"/>
  <c r="P63" i="80"/>
  <c r="N63" i="80"/>
  <c r="L63" i="80"/>
  <c r="J63" i="80"/>
  <c r="H63" i="80"/>
  <c r="D63" i="80"/>
  <c r="B63" i="80"/>
  <c r="Z62" i="80"/>
  <c r="X62" i="80"/>
  <c r="N62" i="80"/>
  <c r="L62" i="80"/>
  <c r="B62" i="80"/>
  <c r="Z61" i="80"/>
  <c r="X61" i="80"/>
  <c r="V61" i="80"/>
  <c r="N61" i="80"/>
  <c r="L61" i="80"/>
  <c r="B61" i="80"/>
  <c r="Z60" i="80"/>
  <c r="X60" i="80"/>
  <c r="N60" i="80"/>
  <c r="L60" i="80"/>
  <c r="B60" i="80"/>
  <c r="Z59" i="80"/>
  <c r="X59" i="80"/>
  <c r="R59" i="80"/>
  <c r="N59" i="80"/>
  <c r="L59" i="80"/>
  <c r="B59" i="80"/>
  <c r="T58" i="80"/>
  <c r="Z58" i="80" s="1"/>
  <c r="P58" i="80"/>
  <c r="X58" i="80" s="1"/>
  <c r="N58" i="80"/>
  <c r="H58" i="80"/>
  <c r="D58" i="80"/>
  <c r="L58" i="80" s="1"/>
  <c r="B58" i="80"/>
  <c r="Z57" i="80"/>
  <c r="X57" i="80"/>
  <c r="N57" i="80"/>
  <c r="L57" i="80"/>
  <c r="B57" i="80"/>
  <c r="Z56" i="80"/>
  <c r="X56" i="80"/>
  <c r="N56" i="80"/>
  <c r="L56" i="80"/>
  <c r="B56" i="80"/>
  <c r="Z55" i="80"/>
  <c r="T55" i="80"/>
  <c r="P55" i="80"/>
  <c r="X55" i="80" s="1"/>
  <c r="H55" i="80"/>
  <c r="N55" i="80" s="1"/>
  <c r="D55" i="80"/>
  <c r="L55" i="80" s="1"/>
  <c r="B55" i="80"/>
  <c r="Z54" i="80"/>
  <c r="X54" i="80"/>
  <c r="N54" i="80"/>
  <c r="L54" i="80"/>
  <c r="B54" i="80"/>
  <c r="Z53" i="80"/>
  <c r="X53" i="80"/>
  <c r="N53" i="80"/>
  <c r="L53" i="80"/>
  <c r="B53" i="80"/>
  <c r="T52" i="80"/>
  <c r="Z52" i="80" s="1"/>
  <c r="P52" i="80"/>
  <c r="H52" i="80"/>
  <c r="N52" i="80" s="1"/>
  <c r="D52" i="80"/>
  <c r="B52" i="80"/>
  <c r="Z51" i="80"/>
  <c r="X51" i="80"/>
  <c r="V51" i="80"/>
  <c r="N51" i="80"/>
  <c r="L51" i="80"/>
  <c r="B51" i="80"/>
  <c r="T50" i="80"/>
  <c r="Z50" i="80" s="1"/>
  <c r="P50" i="80"/>
  <c r="X50" i="80" s="1"/>
  <c r="N50" i="80"/>
  <c r="L50" i="80"/>
  <c r="H50" i="80"/>
  <c r="D50" i="80"/>
  <c r="B50" i="80"/>
  <c r="Z49" i="80"/>
  <c r="X49" i="80"/>
  <c r="N49" i="80"/>
  <c r="L49" i="80"/>
  <c r="B49" i="80"/>
  <c r="Z48" i="80"/>
  <c r="X48" i="80"/>
  <c r="T48" i="80"/>
  <c r="P48" i="80"/>
  <c r="H48" i="80"/>
  <c r="D48" i="80"/>
  <c r="B48" i="80"/>
  <c r="Z47" i="80"/>
  <c r="X47" i="80"/>
  <c r="L47" i="80"/>
  <c r="N47" i="80" s="1"/>
  <c r="B47" i="80"/>
  <c r="V46" i="80"/>
  <c r="T46" i="80"/>
  <c r="P46" i="80"/>
  <c r="H46" i="80"/>
  <c r="D46" i="80"/>
  <c r="B46" i="80"/>
  <c r="Z45" i="80"/>
  <c r="X45" i="80"/>
  <c r="N45" i="80"/>
  <c r="L45" i="80"/>
  <c r="B45" i="80"/>
  <c r="Z44" i="80"/>
  <c r="X44" i="80"/>
  <c r="T44" i="80"/>
  <c r="P44" i="80"/>
  <c r="H44" i="80"/>
  <c r="N44" i="80" s="1"/>
  <c r="D44" i="80"/>
  <c r="L44" i="80" s="1"/>
  <c r="B44" i="80"/>
  <c r="Z43" i="80"/>
  <c r="X43" i="80"/>
  <c r="N43" i="80"/>
  <c r="L43" i="80"/>
  <c r="B43" i="80"/>
  <c r="X42" i="80"/>
  <c r="T42" i="80"/>
  <c r="Z42" i="80" s="1"/>
  <c r="P42" i="80"/>
  <c r="N42" i="80"/>
  <c r="L42" i="80"/>
  <c r="H42" i="80"/>
  <c r="D42" i="80"/>
  <c r="B42" i="80"/>
  <c r="Z41" i="80"/>
  <c r="X41" i="80"/>
  <c r="N41" i="80"/>
  <c r="L41" i="80"/>
  <c r="B41" i="80"/>
  <c r="Z40" i="80"/>
  <c r="X40" i="80"/>
  <c r="N40" i="80"/>
  <c r="L40" i="80"/>
  <c r="B40" i="80"/>
  <c r="Z39" i="80"/>
  <c r="X39" i="80"/>
  <c r="N39" i="80"/>
  <c r="L39" i="80"/>
  <c r="J39" i="80"/>
  <c r="B39" i="80"/>
  <c r="Z38" i="80"/>
  <c r="X38" i="80"/>
  <c r="R38" i="80"/>
  <c r="N38" i="80"/>
  <c r="L38" i="80"/>
  <c r="B38" i="80"/>
  <c r="Z37" i="80"/>
  <c r="X37" i="80"/>
  <c r="N37" i="80"/>
  <c r="L37" i="80"/>
  <c r="J37" i="80"/>
  <c r="B37" i="80"/>
  <c r="Z36" i="80"/>
  <c r="X36" i="80"/>
  <c r="N36" i="80"/>
  <c r="L36" i="80"/>
  <c r="B36" i="80"/>
  <c r="Z35" i="80"/>
  <c r="X35" i="80"/>
  <c r="N35" i="80"/>
  <c r="L35" i="80"/>
  <c r="B35" i="80"/>
  <c r="Z34" i="80"/>
  <c r="X34" i="80"/>
  <c r="N34" i="80"/>
  <c r="L34" i="80"/>
  <c r="J34" i="80"/>
  <c r="B34" i="80"/>
  <c r="Z33" i="80"/>
  <c r="X33" i="80"/>
  <c r="V33" i="80"/>
  <c r="N33" i="80"/>
  <c r="L33" i="80"/>
  <c r="B33" i="80"/>
  <c r="Z32" i="80"/>
  <c r="X32" i="80"/>
  <c r="N32" i="80"/>
  <c r="L32" i="80"/>
  <c r="B32" i="80"/>
  <c r="T31" i="80"/>
  <c r="Z31" i="80" s="1"/>
  <c r="P31" i="80"/>
  <c r="N31" i="80"/>
  <c r="H31" i="80"/>
  <c r="D31" i="80"/>
  <c r="L31" i="80" s="1"/>
  <c r="B31" i="80"/>
  <c r="Z30" i="80"/>
  <c r="X30" i="80"/>
  <c r="V30" i="80"/>
  <c r="N30" i="80"/>
  <c r="L30" i="80"/>
  <c r="B30" i="80"/>
  <c r="Z29" i="80"/>
  <c r="X29" i="80"/>
  <c r="V29" i="80"/>
  <c r="N29" i="80"/>
  <c r="L29" i="80"/>
  <c r="B29" i="80"/>
  <c r="Z28" i="80"/>
  <c r="X28" i="80"/>
  <c r="N28" i="80"/>
  <c r="L28" i="80"/>
  <c r="B28" i="80"/>
  <c r="Z27" i="80"/>
  <c r="X27" i="80"/>
  <c r="N27" i="80"/>
  <c r="L27" i="80"/>
  <c r="B27" i="80"/>
  <c r="Z26" i="80"/>
  <c r="X26" i="80"/>
  <c r="N26" i="80"/>
  <c r="L26" i="80"/>
  <c r="B26" i="80"/>
  <c r="Z25" i="80"/>
  <c r="X25" i="80"/>
  <c r="N25" i="80"/>
  <c r="L25" i="80"/>
  <c r="B25" i="80"/>
  <c r="Z24" i="80"/>
  <c r="X24" i="80"/>
  <c r="N24" i="80"/>
  <c r="L24" i="80"/>
  <c r="B24" i="80"/>
  <c r="Z23" i="80"/>
  <c r="X23" i="80"/>
  <c r="R23" i="80"/>
  <c r="N23" i="80"/>
  <c r="L23" i="80"/>
  <c r="B23" i="80"/>
  <c r="T22" i="80"/>
  <c r="Z22" i="80" s="1"/>
  <c r="P22" i="80"/>
  <c r="X22" i="80" s="1"/>
  <c r="N22" i="80"/>
  <c r="L22" i="80"/>
  <c r="J22" i="80"/>
  <c r="H22" i="80"/>
  <c r="F22" i="80"/>
  <c r="D22" i="80"/>
  <c r="B22" i="80"/>
  <c r="X21" i="80"/>
  <c r="T21" i="80"/>
  <c r="P21" i="80"/>
  <c r="L21" i="80"/>
  <c r="H21" i="80"/>
  <c r="N21" i="80" s="1"/>
  <c r="D21" i="80"/>
  <c r="Z19" i="80"/>
  <c r="T19" i="80"/>
  <c r="T70" i="80" s="1"/>
  <c r="H19" i="80"/>
  <c r="Z17" i="80"/>
  <c r="X17" i="80"/>
  <c r="R17" i="80"/>
  <c r="N17" i="80"/>
  <c r="L17" i="80"/>
  <c r="B17" i="80"/>
  <c r="Z16" i="80"/>
  <c r="X16" i="80"/>
  <c r="V16" i="80"/>
  <c r="N16" i="80"/>
  <c r="L16" i="80"/>
  <c r="J16" i="80"/>
  <c r="B16" i="80"/>
  <c r="Z15" i="80"/>
  <c r="T15" i="80"/>
  <c r="P15" i="80"/>
  <c r="X15" i="80" s="1"/>
  <c r="N15" i="80"/>
  <c r="L15" i="80"/>
  <c r="H15" i="80"/>
  <c r="D15" i="80"/>
  <c r="Z13" i="80"/>
  <c r="X13" i="80"/>
  <c r="P13" i="80"/>
  <c r="N13" i="80"/>
  <c r="D13" i="80"/>
  <c r="D12" i="80" s="1"/>
  <c r="B13" i="80"/>
  <c r="Z12" i="80"/>
  <c r="T12" i="80"/>
  <c r="V59" i="80" s="1"/>
  <c r="P12" i="80"/>
  <c r="N12" i="80"/>
  <c r="H12" i="80"/>
  <c r="J72" i="80" s="1"/>
  <c r="D6" i="80"/>
  <c r="D4" i="80"/>
  <c r="X80" i="79"/>
  <c r="Z80" i="79" s="1"/>
  <c r="L80" i="79"/>
  <c r="N80" i="79" s="1"/>
  <c r="T76" i="79"/>
  <c r="Z76" i="79" s="1"/>
  <c r="P76" i="79"/>
  <c r="X76" i="79" s="1"/>
  <c r="H76" i="79"/>
  <c r="N76" i="79" s="1"/>
  <c r="D76" i="79"/>
  <c r="Z74" i="79"/>
  <c r="X74" i="79"/>
  <c r="L74" i="79"/>
  <c r="N74" i="79" s="1"/>
  <c r="B74" i="79"/>
  <c r="Z73" i="79"/>
  <c r="V73" i="79"/>
  <c r="T73" i="79"/>
  <c r="P73" i="79"/>
  <c r="X73" i="79" s="1"/>
  <c r="H73" i="79"/>
  <c r="D73" i="79"/>
  <c r="B73" i="79"/>
  <c r="X72" i="79"/>
  <c r="Z72" i="79" s="1"/>
  <c r="N72" i="79"/>
  <c r="L72" i="79"/>
  <c r="B72" i="79"/>
  <c r="Z71" i="79"/>
  <c r="X71" i="79"/>
  <c r="V71" i="79"/>
  <c r="T71" i="79"/>
  <c r="P71" i="79"/>
  <c r="H71" i="79"/>
  <c r="N71" i="79" s="1"/>
  <c r="D71" i="79"/>
  <c r="L71" i="79" s="1"/>
  <c r="B71" i="79"/>
  <c r="Z70" i="79"/>
  <c r="X70" i="79"/>
  <c r="N70" i="79"/>
  <c r="L70" i="79"/>
  <c r="B70" i="79"/>
  <c r="Z69" i="79"/>
  <c r="X69" i="79"/>
  <c r="V69" i="79"/>
  <c r="N69" i="79"/>
  <c r="L69" i="79"/>
  <c r="J69" i="79"/>
  <c r="B69" i="79"/>
  <c r="T68" i="79"/>
  <c r="P68" i="79"/>
  <c r="X68" i="79" s="1"/>
  <c r="H68" i="79"/>
  <c r="D68" i="79"/>
  <c r="B68" i="79"/>
  <c r="X67" i="79"/>
  <c r="Z67" i="79" s="1"/>
  <c r="N67" i="79"/>
  <c r="L67" i="79"/>
  <c r="J67" i="79"/>
  <c r="B67" i="79"/>
  <c r="Z66" i="79"/>
  <c r="X66" i="79"/>
  <c r="L66" i="79"/>
  <c r="N66" i="79" s="1"/>
  <c r="B66" i="79"/>
  <c r="Z65" i="79"/>
  <c r="X65" i="79"/>
  <c r="V65" i="79"/>
  <c r="L65" i="79"/>
  <c r="N65" i="79" s="1"/>
  <c r="B65" i="79"/>
  <c r="T64" i="79"/>
  <c r="P64" i="79"/>
  <c r="H64" i="79"/>
  <c r="D64" i="79"/>
  <c r="L64" i="79" s="1"/>
  <c r="B64" i="79"/>
  <c r="Z63" i="79"/>
  <c r="X63" i="79"/>
  <c r="V63" i="79"/>
  <c r="N63" i="79"/>
  <c r="L63" i="79"/>
  <c r="B63" i="79"/>
  <c r="Z62" i="79"/>
  <c r="X62" i="79"/>
  <c r="N62" i="79"/>
  <c r="L62" i="79"/>
  <c r="F62" i="79"/>
  <c r="B62" i="79"/>
  <c r="T61" i="79"/>
  <c r="Z61" i="79" s="1"/>
  <c r="P61" i="79"/>
  <c r="X61" i="79" s="1"/>
  <c r="N61" i="79"/>
  <c r="L61" i="79"/>
  <c r="J61" i="79"/>
  <c r="H61" i="79"/>
  <c r="F61" i="79"/>
  <c r="D61" i="79"/>
  <c r="B61" i="79"/>
  <c r="X60" i="79"/>
  <c r="Z60" i="79" s="1"/>
  <c r="L60" i="79"/>
  <c r="N60" i="79" s="1"/>
  <c r="B60" i="79"/>
  <c r="Z59" i="79"/>
  <c r="X59" i="79"/>
  <c r="N59" i="79"/>
  <c r="L59" i="79"/>
  <c r="B59" i="79"/>
  <c r="X58" i="79"/>
  <c r="T58" i="79"/>
  <c r="P58" i="79"/>
  <c r="H58" i="79"/>
  <c r="D58" i="79"/>
  <c r="L58" i="79" s="1"/>
  <c r="B58" i="79"/>
  <c r="Z57" i="79"/>
  <c r="X57" i="79"/>
  <c r="V57" i="79"/>
  <c r="L57" i="79"/>
  <c r="N57" i="79" s="1"/>
  <c r="B57" i="79"/>
  <c r="Z56" i="79"/>
  <c r="X56" i="79"/>
  <c r="N56" i="79"/>
  <c r="L56" i="79"/>
  <c r="B56" i="79"/>
  <c r="T55" i="79"/>
  <c r="P55" i="79"/>
  <c r="X55" i="79" s="1"/>
  <c r="J55" i="79"/>
  <c r="H55" i="79"/>
  <c r="D55" i="79"/>
  <c r="L55" i="79" s="1"/>
  <c r="N55" i="79" s="1"/>
  <c r="B55" i="79"/>
  <c r="X54" i="79"/>
  <c r="Z54" i="79" s="1"/>
  <c r="N54" i="79"/>
  <c r="L54" i="79"/>
  <c r="B54" i="79"/>
  <c r="T53" i="79"/>
  <c r="P53" i="79"/>
  <c r="X53" i="79" s="1"/>
  <c r="N53" i="79"/>
  <c r="J53" i="79"/>
  <c r="H53" i="79"/>
  <c r="D53" i="79"/>
  <c r="L53" i="79" s="1"/>
  <c r="B53" i="79"/>
  <c r="X52" i="79"/>
  <c r="Z52" i="79" s="1"/>
  <c r="L52" i="79"/>
  <c r="N52" i="79" s="1"/>
  <c r="B52" i="79"/>
  <c r="Z51" i="79"/>
  <c r="X51" i="79"/>
  <c r="T51" i="79"/>
  <c r="P51" i="79"/>
  <c r="N51" i="79"/>
  <c r="L51" i="79"/>
  <c r="J51" i="79"/>
  <c r="H51" i="79"/>
  <c r="F51" i="79"/>
  <c r="D51" i="79"/>
  <c r="B51" i="79"/>
  <c r="Z50" i="79"/>
  <c r="X50" i="79"/>
  <c r="L50" i="79"/>
  <c r="N50" i="79" s="1"/>
  <c r="B50" i="79"/>
  <c r="Z49" i="79"/>
  <c r="V49" i="79"/>
  <c r="T49" i="79"/>
  <c r="P49" i="79"/>
  <c r="X49" i="79" s="1"/>
  <c r="H49" i="79"/>
  <c r="D49" i="79"/>
  <c r="L49" i="79" s="1"/>
  <c r="B49" i="79"/>
  <c r="Z48" i="79"/>
  <c r="X48" i="79"/>
  <c r="N48" i="79"/>
  <c r="L48" i="79"/>
  <c r="B48" i="79"/>
  <c r="Z47" i="79"/>
  <c r="V47" i="79"/>
  <c r="T47" i="79"/>
  <c r="P47" i="79"/>
  <c r="X47" i="79" s="1"/>
  <c r="H47" i="79"/>
  <c r="N47" i="79" s="1"/>
  <c r="D47" i="79"/>
  <c r="L47" i="79" s="1"/>
  <c r="B47" i="79"/>
  <c r="X46" i="79"/>
  <c r="Z46" i="79" s="1"/>
  <c r="N46" i="79"/>
  <c r="L46" i="79"/>
  <c r="B46" i="79"/>
  <c r="Z45" i="79"/>
  <c r="X45" i="79"/>
  <c r="V45" i="79"/>
  <c r="T45" i="79"/>
  <c r="P45" i="79"/>
  <c r="N45" i="79"/>
  <c r="H45" i="79"/>
  <c r="D45" i="79"/>
  <c r="L45" i="79" s="1"/>
  <c r="B45" i="79"/>
  <c r="Z44" i="79"/>
  <c r="X44" i="79"/>
  <c r="N44" i="79"/>
  <c r="L44" i="79"/>
  <c r="B44" i="79"/>
  <c r="Z43" i="79"/>
  <c r="X43" i="79"/>
  <c r="N43" i="79"/>
  <c r="L43" i="79"/>
  <c r="J43" i="79"/>
  <c r="B43" i="79"/>
  <c r="Z42" i="79"/>
  <c r="X42" i="79"/>
  <c r="L42" i="79"/>
  <c r="N42" i="79" s="1"/>
  <c r="B42" i="79"/>
  <c r="Z41" i="79"/>
  <c r="X41" i="79"/>
  <c r="V41" i="79"/>
  <c r="N41" i="79"/>
  <c r="L41" i="79"/>
  <c r="B41" i="79"/>
  <c r="Z40" i="79"/>
  <c r="X40" i="79"/>
  <c r="N40" i="79"/>
  <c r="L40" i="79"/>
  <c r="B40" i="79"/>
  <c r="Z39" i="79"/>
  <c r="X39" i="79"/>
  <c r="V39" i="79"/>
  <c r="N39" i="79"/>
  <c r="L39" i="79"/>
  <c r="J39" i="79"/>
  <c r="B39" i="79"/>
  <c r="Z38" i="79"/>
  <c r="X38" i="79"/>
  <c r="L38" i="79"/>
  <c r="N38" i="79" s="1"/>
  <c r="B38" i="79"/>
  <c r="Z37" i="79"/>
  <c r="X37" i="79"/>
  <c r="V37" i="79"/>
  <c r="N37" i="79"/>
  <c r="L37" i="79"/>
  <c r="B37" i="79"/>
  <c r="Z36" i="79"/>
  <c r="X36" i="79"/>
  <c r="N36" i="79"/>
  <c r="L36" i="79"/>
  <c r="B36" i="79"/>
  <c r="Z35" i="79"/>
  <c r="X35" i="79"/>
  <c r="V35" i="79"/>
  <c r="N35" i="79"/>
  <c r="L35" i="79"/>
  <c r="J35" i="79"/>
  <c r="B35" i="79"/>
  <c r="T34" i="79"/>
  <c r="P34" i="79"/>
  <c r="X34" i="79" s="1"/>
  <c r="Z34" i="79" s="1"/>
  <c r="H34" i="79"/>
  <c r="D34" i="79"/>
  <c r="L34" i="79" s="1"/>
  <c r="B34" i="79"/>
  <c r="Z33" i="79"/>
  <c r="X33" i="79"/>
  <c r="N33" i="79"/>
  <c r="L33" i="79"/>
  <c r="J33" i="79"/>
  <c r="B33" i="79"/>
  <c r="X32" i="79"/>
  <c r="Z32" i="79" s="1"/>
  <c r="N32" i="79"/>
  <c r="L32" i="79"/>
  <c r="B32" i="79"/>
  <c r="Z31" i="79"/>
  <c r="X31" i="79"/>
  <c r="V31" i="79"/>
  <c r="N31" i="79"/>
  <c r="L31" i="79"/>
  <c r="B31" i="79"/>
  <c r="Z30" i="79"/>
  <c r="X30" i="79"/>
  <c r="N30" i="79"/>
  <c r="L30" i="79"/>
  <c r="F30" i="79"/>
  <c r="B30" i="79"/>
  <c r="Z29" i="79"/>
  <c r="X29" i="79"/>
  <c r="N29" i="79"/>
  <c r="L29" i="79"/>
  <c r="J29" i="79"/>
  <c r="B29" i="79"/>
  <c r="X28" i="79"/>
  <c r="Z28" i="79" s="1"/>
  <c r="N28" i="79"/>
  <c r="L28" i="79"/>
  <c r="B28" i="79"/>
  <c r="Z27" i="79"/>
  <c r="X27" i="79"/>
  <c r="V27" i="79"/>
  <c r="N27" i="79"/>
  <c r="L27" i="79"/>
  <c r="B27" i="79"/>
  <c r="X26" i="79"/>
  <c r="Z26" i="79" s="1"/>
  <c r="L26" i="79"/>
  <c r="N26" i="79" s="1"/>
  <c r="B26" i="79"/>
  <c r="X25" i="79"/>
  <c r="Z25" i="79" s="1"/>
  <c r="N25" i="79"/>
  <c r="L25" i="79"/>
  <c r="J25" i="79"/>
  <c r="B25" i="79"/>
  <c r="X24" i="79"/>
  <c r="Z24" i="79" s="1"/>
  <c r="T24" i="79"/>
  <c r="P24" i="79"/>
  <c r="H24" i="79"/>
  <c r="D24" i="79"/>
  <c r="L24" i="79" s="1"/>
  <c r="B24" i="79"/>
  <c r="Z23" i="79"/>
  <c r="T23" i="79"/>
  <c r="P23" i="79"/>
  <c r="X23" i="79" s="1"/>
  <c r="N23" i="79"/>
  <c r="L23" i="79"/>
  <c r="J23" i="79"/>
  <c r="H23" i="79"/>
  <c r="D23" i="79"/>
  <c r="F21" i="79"/>
  <c r="Z19" i="79"/>
  <c r="X19" i="79"/>
  <c r="N19" i="79"/>
  <c r="L19" i="79"/>
  <c r="J19" i="79"/>
  <c r="B19" i="79"/>
  <c r="X18" i="79"/>
  <c r="Z18" i="79" s="1"/>
  <c r="N18" i="79"/>
  <c r="L18" i="79"/>
  <c r="B18" i="79"/>
  <c r="Z17" i="79"/>
  <c r="X17" i="79"/>
  <c r="V17" i="79"/>
  <c r="T17" i="79"/>
  <c r="P17" i="79"/>
  <c r="N17" i="79"/>
  <c r="H17" i="79"/>
  <c r="D17" i="79"/>
  <c r="L17" i="79" s="1"/>
  <c r="Z15" i="79"/>
  <c r="P15" i="79"/>
  <c r="X15" i="79" s="1"/>
  <c r="N15" i="79"/>
  <c r="L15" i="79"/>
  <c r="D15" i="79"/>
  <c r="B15" i="79"/>
  <c r="P14" i="79"/>
  <c r="X14" i="79" s="1"/>
  <c r="Z14" i="79" s="1"/>
  <c r="D14" i="79"/>
  <c r="L14" i="79" s="1"/>
  <c r="N14" i="79" s="1"/>
  <c r="B14" i="79"/>
  <c r="Z13" i="79"/>
  <c r="P13" i="79"/>
  <c r="N13" i="79"/>
  <c r="L13" i="79"/>
  <c r="D13" i="79"/>
  <c r="B13" i="79"/>
  <c r="T12" i="79"/>
  <c r="V72" i="79" s="1"/>
  <c r="H12" i="79"/>
  <c r="D12" i="79"/>
  <c r="F60" i="79" s="1"/>
  <c r="D6" i="79"/>
  <c r="D4" i="79"/>
  <c r="X103" i="76"/>
  <c r="Z103" i="76" s="1"/>
  <c r="L103" i="76"/>
  <c r="N103" i="76" s="1"/>
  <c r="X99" i="76"/>
  <c r="Z99" i="76" s="1"/>
  <c r="P99" i="76"/>
  <c r="D99" i="76"/>
  <c r="L99" i="76" s="1"/>
  <c r="N99" i="76" s="1"/>
  <c r="B99" i="76"/>
  <c r="Z98" i="76"/>
  <c r="P98" i="76"/>
  <c r="X98" i="76" s="1"/>
  <c r="N98" i="76"/>
  <c r="L98" i="76"/>
  <c r="D98" i="76"/>
  <c r="B98" i="76"/>
  <c r="T97" i="76"/>
  <c r="H97" i="76"/>
  <c r="D97" i="76"/>
  <c r="L97" i="76" s="1"/>
  <c r="Z95" i="76"/>
  <c r="X95" i="76"/>
  <c r="N95" i="76"/>
  <c r="L95" i="76"/>
  <c r="B95" i="76"/>
  <c r="T94" i="76"/>
  <c r="Z94" i="76" s="1"/>
  <c r="P94" i="76"/>
  <c r="X94" i="76" s="1"/>
  <c r="N94" i="76"/>
  <c r="J94" i="76"/>
  <c r="H94" i="76"/>
  <c r="D94" i="76"/>
  <c r="L94" i="76" s="1"/>
  <c r="B94" i="76"/>
  <c r="X93" i="76"/>
  <c r="Z93" i="76" s="1"/>
  <c r="L93" i="76"/>
  <c r="N93" i="76" s="1"/>
  <c r="B93" i="76"/>
  <c r="X92" i="76"/>
  <c r="T92" i="76"/>
  <c r="Z92" i="76" s="1"/>
  <c r="P92" i="76"/>
  <c r="J92" i="76"/>
  <c r="H92" i="76"/>
  <c r="D92" i="76"/>
  <c r="L92" i="76" s="1"/>
  <c r="N92" i="76" s="1"/>
  <c r="B92" i="76"/>
  <c r="Z91" i="76"/>
  <c r="X91" i="76"/>
  <c r="L91" i="76"/>
  <c r="N91" i="76" s="1"/>
  <c r="F91" i="76"/>
  <c r="B91" i="76"/>
  <c r="Z90" i="76"/>
  <c r="X90" i="76"/>
  <c r="N90" i="76"/>
  <c r="L90" i="76"/>
  <c r="B90" i="76"/>
  <c r="Z89" i="76"/>
  <c r="X89" i="76"/>
  <c r="N89" i="76"/>
  <c r="L89" i="76"/>
  <c r="B89" i="76"/>
  <c r="T88" i="76"/>
  <c r="P88" i="76"/>
  <c r="X88" i="76" s="1"/>
  <c r="Z88" i="76" s="1"/>
  <c r="N88" i="76"/>
  <c r="H88" i="76"/>
  <c r="D88" i="76"/>
  <c r="L88" i="76" s="1"/>
  <c r="B88" i="76"/>
  <c r="X87" i="76"/>
  <c r="Z87" i="76" s="1"/>
  <c r="L87" i="76"/>
  <c r="N87" i="76" s="1"/>
  <c r="B87" i="76"/>
  <c r="X86" i="76"/>
  <c r="T86" i="76"/>
  <c r="Z86" i="76" s="1"/>
  <c r="P86" i="76"/>
  <c r="N86" i="76"/>
  <c r="J86" i="76"/>
  <c r="H86" i="76"/>
  <c r="D86" i="76"/>
  <c r="L86" i="76" s="1"/>
  <c r="B86" i="76"/>
  <c r="X85" i="76"/>
  <c r="Z85" i="76" s="1"/>
  <c r="L85" i="76"/>
  <c r="N85" i="76" s="1"/>
  <c r="B85" i="76"/>
  <c r="X84" i="76"/>
  <c r="T84" i="76"/>
  <c r="Z84" i="76" s="1"/>
  <c r="P84" i="76"/>
  <c r="J84" i="76"/>
  <c r="H84" i="76"/>
  <c r="D84" i="76"/>
  <c r="L84" i="76" s="1"/>
  <c r="N84" i="76" s="1"/>
  <c r="B84" i="76"/>
  <c r="Z83" i="76"/>
  <c r="X83" i="76"/>
  <c r="L83" i="76"/>
  <c r="N83" i="76" s="1"/>
  <c r="B83" i="76"/>
  <c r="Z82" i="76"/>
  <c r="T82" i="76"/>
  <c r="P82" i="76"/>
  <c r="X82" i="76" s="1"/>
  <c r="J82" i="76"/>
  <c r="H82" i="76"/>
  <c r="D82" i="76"/>
  <c r="L82" i="76" s="1"/>
  <c r="N82" i="76" s="1"/>
  <c r="B82" i="76"/>
  <c r="Z81" i="76"/>
  <c r="X81" i="76"/>
  <c r="N81" i="76"/>
  <c r="L81" i="76"/>
  <c r="B81" i="76"/>
  <c r="Z80" i="76"/>
  <c r="X80" i="76"/>
  <c r="L80" i="76"/>
  <c r="N80" i="76" s="1"/>
  <c r="B80" i="76"/>
  <c r="T79" i="76"/>
  <c r="P79" i="76"/>
  <c r="X79" i="76" s="1"/>
  <c r="H79" i="76"/>
  <c r="N79" i="76" s="1"/>
  <c r="D79" i="76"/>
  <c r="L79" i="76" s="1"/>
  <c r="B79" i="76"/>
  <c r="Z78" i="76"/>
  <c r="X78" i="76"/>
  <c r="V78" i="76"/>
  <c r="N78" i="76"/>
  <c r="L78" i="76"/>
  <c r="B78" i="76"/>
  <c r="T77" i="76"/>
  <c r="P77" i="76"/>
  <c r="X77" i="76" s="1"/>
  <c r="L77" i="76"/>
  <c r="H77" i="76"/>
  <c r="N77" i="76" s="1"/>
  <c r="D77" i="76"/>
  <c r="B77" i="76"/>
  <c r="Z76" i="76"/>
  <c r="X76" i="76"/>
  <c r="N76" i="76"/>
  <c r="L76" i="76"/>
  <c r="J76" i="76"/>
  <c r="B76" i="76"/>
  <c r="T75" i="76"/>
  <c r="P75" i="76"/>
  <c r="X75" i="76" s="1"/>
  <c r="H75" i="76"/>
  <c r="D75" i="76"/>
  <c r="B75" i="76"/>
  <c r="X74" i="76"/>
  <c r="Z74" i="76" s="1"/>
  <c r="N74" i="76"/>
  <c r="L74" i="76"/>
  <c r="J74" i="76"/>
  <c r="B74" i="76"/>
  <c r="T73" i="76"/>
  <c r="P73" i="76"/>
  <c r="X73" i="76" s="1"/>
  <c r="H73" i="76"/>
  <c r="D73" i="76"/>
  <c r="L73" i="76" s="1"/>
  <c r="B73" i="76"/>
  <c r="X72" i="76"/>
  <c r="Z72" i="76" s="1"/>
  <c r="N72" i="76"/>
  <c r="L72" i="76"/>
  <c r="J72" i="76"/>
  <c r="B72" i="76"/>
  <c r="X71" i="76"/>
  <c r="T71" i="76"/>
  <c r="Z71" i="76" s="1"/>
  <c r="P71" i="76"/>
  <c r="H71" i="76"/>
  <c r="D71" i="76"/>
  <c r="L71" i="76" s="1"/>
  <c r="B71" i="76"/>
  <c r="Z70" i="76"/>
  <c r="X70" i="76"/>
  <c r="N70" i="76"/>
  <c r="L70" i="76"/>
  <c r="B70" i="76"/>
  <c r="Z69" i="76"/>
  <c r="X69" i="76"/>
  <c r="N69" i="76"/>
  <c r="L69" i="76"/>
  <c r="B69" i="76"/>
  <c r="Z68" i="76"/>
  <c r="X68" i="76"/>
  <c r="N68" i="76"/>
  <c r="L68" i="76"/>
  <c r="J68" i="76"/>
  <c r="B68" i="76"/>
  <c r="X67" i="76"/>
  <c r="Z67" i="76" s="1"/>
  <c r="N67" i="76"/>
  <c r="L67" i="76"/>
  <c r="B67" i="76"/>
  <c r="Z66" i="76"/>
  <c r="X66" i="76"/>
  <c r="N66" i="76"/>
  <c r="L66" i="76"/>
  <c r="B66" i="76"/>
  <c r="Z65" i="76"/>
  <c r="X65" i="76"/>
  <c r="N65" i="76"/>
  <c r="L65" i="76"/>
  <c r="B65" i="76"/>
  <c r="Z64" i="76"/>
  <c r="X64" i="76"/>
  <c r="N64" i="76"/>
  <c r="L64" i="76"/>
  <c r="J64" i="76"/>
  <c r="B64" i="76"/>
  <c r="Z63" i="76"/>
  <c r="X63" i="76"/>
  <c r="N63" i="76"/>
  <c r="L63" i="76"/>
  <c r="B63" i="76"/>
  <c r="Z62" i="76"/>
  <c r="X62" i="76"/>
  <c r="L62" i="76"/>
  <c r="N62" i="76" s="1"/>
  <c r="B62" i="76"/>
  <c r="Z61" i="76"/>
  <c r="X61" i="76"/>
  <c r="N61" i="76"/>
  <c r="L61" i="76"/>
  <c r="B61" i="76"/>
  <c r="T60" i="76"/>
  <c r="P60" i="76"/>
  <c r="X60" i="76" s="1"/>
  <c r="Z60" i="76" s="1"/>
  <c r="H60" i="76"/>
  <c r="D60" i="76"/>
  <c r="L60" i="76" s="1"/>
  <c r="N60" i="76" s="1"/>
  <c r="B60" i="76"/>
  <c r="X59" i="76"/>
  <c r="Z59" i="76" s="1"/>
  <c r="L59" i="76"/>
  <c r="N59" i="76" s="1"/>
  <c r="B59" i="76"/>
  <c r="X58" i="76"/>
  <c r="Z58" i="76" s="1"/>
  <c r="N58" i="76"/>
  <c r="L58" i="76"/>
  <c r="J58" i="76"/>
  <c r="B58" i="76"/>
  <c r="X57" i="76"/>
  <c r="Z57" i="76" s="1"/>
  <c r="L57" i="76"/>
  <c r="N57" i="76" s="1"/>
  <c r="B57" i="76"/>
  <c r="Z56" i="76"/>
  <c r="X56" i="76"/>
  <c r="N56" i="76"/>
  <c r="L56" i="76"/>
  <c r="B56" i="76"/>
  <c r="Z55" i="76"/>
  <c r="X55" i="76"/>
  <c r="N55" i="76"/>
  <c r="L55" i="76"/>
  <c r="B55" i="76"/>
  <c r="X54" i="76"/>
  <c r="Z54" i="76" s="1"/>
  <c r="N54" i="76"/>
  <c r="L54" i="76"/>
  <c r="J54" i="76"/>
  <c r="B54" i="76"/>
  <c r="X53" i="76"/>
  <c r="Z53" i="76" s="1"/>
  <c r="L53" i="76"/>
  <c r="N53" i="76" s="1"/>
  <c r="B53" i="76"/>
  <c r="Z52" i="76"/>
  <c r="X52" i="76"/>
  <c r="V52" i="76"/>
  <c r="L52" i="76"/>
  <c r="N52" i="76" s="1"/>
  <c r="B52" i="76"/>
  <c r="X51" i="76"/>
  <c r="Z51" i="76" s="1"/>
  <c r="L51" i="76"/>
  <c r="N51" i="76" s="1"/>
  <c r="B51" i="76"/>
  <c r="X50" i="76"/>
  <c r="Z50" i="76" s="1"/>
  <c r="N50" i="76"/>
  <c r="L50" i="76"/>
  <c r="J50" i="76"/>
  <c r="B50" i="76"/>
  <c r="T49" i="76"/>
  <c r="Z49" i="76" s="1"/>
  <c r="P49" i="76"/>
  <c r="X49" i="76" s="1"/>
  <c r="H49" i="76"/>
  <c r="D49" i="76"/>
  <c r="L49" i="76" s="1"/>
  <c r="B49" i="76"/>
  <c r="T48" i="76"/>
  <c r="Z48" i="76" s="1"/>
  <c r="P48" i="76"/>
  <c r="X48" i="76" s="1"/>
  <c r="J48" i="76"/>
  <c r="H48" i="76"/>
  <c r="D48" i="76"/>
  <c r="L48" i="76" s="1"/>
  <c r="N48" i="76" s="1"/>
  <c r="Z44" i="76"/>
  <c r="X44" i="76"/>
  <c r="N44" i="76"/>
  <c r="L44" i="76"/>
  <c r="J44" i="76"/>
  <c r="B44" i="76"/>
  <c r="Z43" i="76"/>
  <c r="X43" i="76"/>
  <c r="N43" i="76"/>
  <c r="L43" i="76"/>
  <c r="B43" i="76"/>
  <c r="Z42" i="76"/>
  <c r="X42" i="76"/>
  <c r="N42" i="76"/>
  <c r="L42" i="76"/>
  <c r="B42" i="76"/>
  <c r="Z41" i="76"/>
  <c r="X41" i="76"/>
  <c r="N41" i="76"/>
  <c r="L41" i="76"/>
  <c r="B41" i="76"/>
  <c r="Z40" i="76"/>
  <c r="X40" i="76"/>
  <c r="N40" i="76"/>
  <c r="L40" i="76"/>
  <c r="J40" i="76"/>
  <c r="B40" i="76"/>
  <c r="Z39" i="76"/>
  <c r="X39" i="76"/>
  <c r="N39" i="76"/>
  <c r="L39" i="76"/>
  <c r="B39" i="76"/>
  <c r="Z38" i="76"/>
  <c r="X38" i="76"/>
  <c r="N38" i="76"/>
  <c r="L38" i="76"/>
  <c r="B38" i="76"/>
  <c r="Z37" i="76"/>
  <c r="X37" i="76"/>
  <c r="N37" i="76"/>
  <c r="L37" i="76"/>
  <c r="B37" i="76"/>
  <c r="Z36" i="76"/>
  <c r="X36" i="76"/>
  <c r="N36" i="76"/>
  <c r="L36" i="76"/>
  <c r="J36" i="76"/>
  <c r="B36" i="76"/>
  <c r="Z35" i="76"/>
  <c r="X35" i="76"/>
  <c r="N35" i="76"/>
  <c r="L35" i="76"/>
  <c r="B35" i="76"/>
  <c r="Z34" i="76"/>
  <c r="X34" i="76"/>
  <c r="V34" i="76"/>
  <c r="N34" i="76"/>
  <c r="L34" i="76"/>
  <c r="B34" i="76"/>
  <c r="X33" i="76"/>
  <c r="Z33" i="76" s="1"/>
  <c r="L33" i="76"/>
  <c r="N33" i="76" s="1"/>
  <c r="B33" i="76"/>
  <c r="T32" i="76"/>
  <c r="P32" i="76"/>
  <c r="X32" i="76" s="1"/>
  <c r="J32" i="76"/>
  <c r="H32" i="76"/>
  <c r="F32" i="76"/>
  <c r="D32" i="76"/>
  <c r="L32" i="76" s="1"/>
  <c r="N32" i="76" s="1"/>
  <c r="Z30" i="76"/>
  <c r="P30" i="76"/>
  <c r="X30" i="76" s="1"/>
  <c r="N30" i="76"/>
  <c r="L30" i="76"/>
  <c r="D30" i="76"/>
  <c r="B30" i="76"/>
  <c r="Z29" i="76"/>
  <c r="X29" i="76"/>
  <c r="P29" i="76"/>
  <c r="N29" i="76"/>
  <c r="L29" i="76"/>
  <c r="D29" i="76"/>
  <c r="B29" i="76"/>
  <c r="Z28" i="76"/>
  <c r="P28" i="76"/>
  <c r="X28" i="76" s="1"/>
  <c r="N28" i="76"/>
  <c r="L28" i="76"/>
  <c r="D28" i="76"/>
  <c r="B28" i="76"/>
  <c r="Z27" i="76"/>
  <c r="X27" i="76"/>
  <c r="P27" i="76"/>
  <c r="N27" i="76"/>
  <c r="D27" i="76"/>
  <c r="L27" i="76" s="1"/>
  <c r="B27" i="76"/>
  <c r="Z26" i="76"/>
  <c r="P26" i="76"/>
  <c r="X26" i="76" s="1"/>
  <c r="N26" i="76"/>
  <c r="L26" i="76"/>
  <c r="D26" i="76"/>
  <c r="B26" i="76"/>
  <c r="Z25" i="76"/>
  <c r="P25" i="76"/>
  <c r="X25" i="76" s="1"/>
  <c r="N25" i="76"/>
  <c r="D25" i="76"/>
  <c r="L25" i="76" s="1"/>
  <c r="B25" i="76"/>
  <c r="Z24" i="76"/>
  <c r="P24" i="76"/>
  <c r="X24" i="76" s="1"/>
  <c r="N24" i="76"/>
  <c r="L24" i="76"/>
  <c r="D24" i="76"/>
  <c r="B24" i="76"/>
  <c r="Z23" i="76"/>
  <c r="P23" i="76"/>
  <c r="X23" i="76" s="1"/>
  <c r="N23" i="76"/>
  <c r="D23" i="76"/>
  <c r="L23" i="76" s="1"/>
  <c r="B23" i="76"/>
  <c r="Z22" i="76"/>
  <c r="P22" i="76"/>
  <c r="X22" i="76" s="1"/>
  <c r="N22" i="76"/>
  <c r="D22" i="76"/>
  <c r="L22" i="76" s="1"/>
  <c r="B22" i="76"/>
  <c r="Z21" i="76"/>
  <c r="X21" i="76"/>
  <c r="P21" i="76"/>
  <c r="N21" i="76"/>
  <c r="D21" i="76"/>
  <c r="L21" i="76" s="1"/>
  <c r="B21" i="76"/>
  <c r="Z20" i="76"/>
  <c r="X20" i="76"/>
  <c r="P20" i="76"/>
  <c r="N20" i="76"/>
  <c r="D20" i="76"/>
  <c r="L20" i="76" s="1"/>
  <c r="B20" i="76"/>
  <c r="X19" i="76"/>
  <c r="Z19" i="76" s="1"/>
  <c r="P19" i="76"/>
  <c r="D19" i="76"/>
  <c r="L19" i="76" s="1"/>
  <c r="N19" i="76" s="1"/>
  <c r="B19" i="76"/>
  <c r="Z18" i="76"/>
  <c r="P18" i="76"/>
  <c r="X18" i="76" s="1"/>
  <c r="N18" i="76"/>
  <c r="L18" i="76"/>
  <c r="D18" i="76"/>
  <c r="B18" i="76"/>
  <c r="Z17" i="76"/>
  <c r="X17" i="76"/>
  <c r="P17" i="76"/>
  <c r="N17" i="76"/>
  <c r="L17" i="76"/>
  <c r="D17" i="76"/>
  <c r="B17" i="76"/>
  <c r="Z16" i="76"/>
  <c r="P16" i="76"/>
  <c r="X16" i="76" s="1"/>
  <c r="N16" i="76"/>
  <c r="L16" i="76"/>
  <c r="D16" i="76"/>
  <c r="B16" i="76"/>
  <c r="Z15" i="76"/>
  <c r="X15" i="76"/>
  <c r="P15" i="76"/>
  <c r="N15" i="76"/>
  <c r="D15" i="76"/>
  <c r="L15" i="76" s="1"/>
  <c r="B15" i="76"/>
  <c r="Z14" i="76"/>
  <c r="P14" i="76"/>
  <c r="X14" i="76" s="1"/>
  <c r="N14" i="76"/>
  <c r="L14" i="76"/>
  <c r="D14" i="76"/>
  <c r="B14" i="76"/>
  <c r="P13" i="76"/>
  <c r="X13" i="76" s="1"/>
  <c r="Z13" i="76" s="1"/>
  <c r="D13" i="76"/>
  <c r="D12" i="76" s="1"/>
  <c r="F84" i="76" s="1"/>
  <c r="B13" i="76"/>
  <c r="T12" i="76"/>
  <c r="V98" i="76" s="1"/>
  <c r="H12" i="76"/>
  <c r="J95" i="76" s="1"/>
  <c r="D6" i="76"/>
  <c r="D4" i="76"/>
  <c r="Z82" i="75"/>
  <c r="X82" i="75"/>
  <c r="V82" i="75"/>
  <c r="N82" i="75"/>
  <c r="L82" i="75"/>
  <c r="J82" i="75"/>
  <c r="P78" i="75"/>
  <c r="X78" i="75" s="1"/>
  <c r="Z78" i="75" s="1"/>
  <c r="L78" i="75"/>
  <c r="N78" i="75" s="1"/>
  <c r="D78" i="75"/>
  <c r="B78" i="75"/>
  <c r="T77" i="75"/>
  <c r="P77" i="75"/>
  <c r="X77" i="75" s="1"/>
  <c r="Z77" i="75" s="1"/>
  <c r="H77" i="75"/>
  <c r="D77" i="75"/>
  <c r="L77" i="75" s="1"/>
  <c r="Z75" i="75"/>
  <c r="X75" i="75"/>
  <c r="N75" i="75"/>
  <c r="L75" i="75"/>
  <c r="B75" i="75"/>
  <c r="Z74" i="75"/>
  <c r="V74" i="75"/>
  <c r="T74" i="75"/>
  <c r="X74" i="75" s="1"/>
  <c r="P74" i="75"/>
  <c r="L74" i="75"/>
  <c r="H74" i="75"/>
  <c r="N74" i="75" s="1"/>
  <c r="D74" i="75"/>
  <c r="B74" i="75"/>
  <c r="X73" i="75"/>
  <c r="Z73" i="75" s="1"/>
  <c r="L73" i="75"/>
  <c r="N73" i="75" s="1"/>
  <c r="B73" i="75"/>
  <c r="V72" i="75"/>
  <c r="T72" i="75"/>
  <c r="R72" i="75"/>
  <c r="P72" i="75"/>
  <c r="X72" i="75" s="1"/>
  <c r="Z72" i="75" s="1"/>
  <c r="H72" i="75"/>
  <c r="N72" i="75" s="1"/>
  <c r="D72" i="75"/>
  <c r="L72" i="75" s="1"/>
  <c r="B72" i="75"/>
  <c r="X71" i="75"/>
  <c r="Z71" i="75" s="1"/>
  <c r="N71" i="75"/>
  <c r="L71" i="75"/>
  <c r="B71" i="75"/>
  <c r="Z70" i="75"/>
  <c r="X70" i="75"/>
  <c r="V70" i="75"/>
  <c r="N70" i="75"/>
  <c r="L70" i="75"/>
  <c r="B70" i="75"/>
  <c r="X69" i="75"/>
  <c r="Z69" i="75" s="1"/>
  <c r="L69" i="75"/>
  <c r="N69" i="75" s="1"/>
  <c r="B69" i="75"/>
  <c r="Z68" i="75"/>
  <c r="X68" i="75"/>
  <c r="N68" i="75"/>
  <c r="L68" i="75"/>
  <c r="B68" i="75"/>
  <c r="Z67" i="75"/>
  <c r="X67" i="75"/>
  <c r="N67" i="75"/>
  <c r="L67" i="75"/>
  <c r="B67" i="75"/>
  <c r="Z66" i="75"/>
  <c r="X66" i="75"/>
  <c r="V66" i="75"/>
  <c r="T66" i="75"/>
  <c r="R66" i="75"/>
  <c r="P66" i="75"/>
  <c r="N66" i="75"/>
  <c r="H66" i="75"/>
  <c r="D66" i="75"/>
  <c r="L66" i="75" s="1"/>
  <c r="B66" i="75"/>
  <c r="X65" i="75"/>
  <c r="Z65" i="75" s="1"/>
  <c r="L65" i="75"/>
  <c r="N65" i="75" s="1"/>
  <c r="B65" i="75"/>
  <c r="X64" i="75"/>
  <c r="T64" i="75"/>
  <c r="Z64" i="75" s="1"/>
  <c r="P64" i="75"/>
  <c r="N64" i="75"/>
  <c r="L64" i="75"/>
  <c r="H64" i="75"/>
  <c r="D64" i="75"/>
  <c r="B64" i="75"/>
  <c r="X63" i="75"/>
  <c r="Z63" i="75" s="1"/>
  <c r="L63" i="75"/>
  <c r="N63" i="75" s="1"/>
  <c r="B63" i="75"/>
  <c r="Z62" i="75"/>
  <c r="X62" i="75"/>
  <c r="N62" i="75"/>
  <c r="L62" i="75"/>
  <c r="B62" i="75"/>
  <c r="X61" i="75"/>
  <c r="Z61" i="75" s="1"/>
  <c r="T61" i="75"/>
  <c r="P61" i="75"/>
  <c r="H61" i="75"/>
  <c r="N61" i="75" s="1"/>
  <c r="D61" i="75"/>
  <c r="L61" i="75" s="1"/>
  <c r="B61" i="75"/>
  <c r="Z60" i="75"/>
  <c r="X60" i="75"/>
  <c r="L60" i="75"/>
  <c r="N60" i="75" s="1"/>
  <c r="B60" i="75"/>
  <c r="X59" i="75"/>
  <c r="Z59" i="75" s="1"/>
  <c r="N59" i="75"/>
  <c r="L59" i="75"/>
  <c r="B59" i="75"/>
  <c r="V58" i="75"/>
  <c r="T58" i="75"/>
  <c r="P58" i="75"/>
  <c r="X58" i="75" s="1"/>
  <c r="Z58" i="75" s="1"/>
  <c r="H58" i="75"/>
  <c r="D58" i="75"/>
  <c r="L58" i="75" s="1"/>
  <c r="N58" i="75" s="1"/>
  <c r="B58" i="75"/>
  <c r="X57" i="75"/>
  <c r="Z57" i="75" s="1"/>
  <c r="L57" i="75"/>
  <c r="N57" i="75" s="1"/>
  <c r="B57" i="75"/>
  <c r="X56" i="75"/>
  <c r="T56" i="75"/>
  <c r="Z56" i="75" s="1"/>
  <c r="P56" i="75"/>
  <c r="N56" i="75"/>
  <c r="L56" i="75"/>
  <c r="J56" i="75"/>
  <c r="H56" i="75"/>
  <c r="D56" i="75"/>
  <c r="B56" i="75"/>
  <c r="X55" i="75"/>
  <c r="Z55" i="75" s="1"/>
  <c r="L55" i="75"/>
  <c r="N55" i="75" s="1"/>
  <c r="B55" i="75"/>
  <c r="T54" i="75"/>
  <c r="Z54" i="75" s="1"/>
  <c r="P54" i="75"/>
  <c r="X54" i="75" s="1"/>
  <c r="J54" i="75"/>
  <c r="H54" i="75"/>
  <c r="D54" i="75"/>
  <c r="L54" i="75" s="1"/>
  <c r="N54" i="75" s="1"/>
  <c r="B54" i="75"/>
  <c r="Z53" i="75"/>
  <c r="X53" i="75"/>
  <c r="L53" i="75"/>
  <c r="N53" i="75" s="1"/>
  <c r="B53" i="75"/>
  <c r="T52" i="75"/>
  <c r="P52" i="75"/>
  <c r="X52" i="75" s="1"/>
  <c r="Z52" i="75" s="1"/>
  <c r="H52" i="75"/>
  <c r="D52" i="75"/>
  <c r="L52" i="75" s="1"/>
  <c r="N52" i="75" s="1"/>
  <c r="B52" i="75"/>
  <c r="Z51" i="75"/>
  <c r="X51" i="75"/>
  <c r="L51" i="75"/>
  <c r="N51" i="75" s="1"/>
  <c r="B51" i="75"/>
  <c r="Z50" i="75"/>
  <c r="X50" i="75"/>
  <c r="V50" i="75"/>
  <c r="T50" i="75"/>
  <c r="P50" i="75"/>
  <c r="L50" i="75"/>
  <c r="H50" i="75"/>
  <c r="N50" i="75" s="1"/>
  <c r="D50" i="75"/>
  <c r="B50" i="75"/>
  <c r="Z49" i="75"/>
  <c r="X49" i="75"/>
  <c r="N49" i="75"/>
  <c r="L49" i="75"/>
  <c r="B49" i="75"/>
  <c r="Z48" i="75"/>
  <c r="X48" i="75"/>
  <c r="V48" i="75"/>
  <c r="N48" i="75"/>
  <c r="L48" i="75"/>
  <c r="B48" i="75"/>
  <c r="Z47" i="75"/>
  <c r="X47" i="75"/>
  <c r="N47" i="75"/>
  <c r="L47" i="75"/>
  <c r="B47" i="75"/>
  <c r="Z46" i="75"/>
  <c r="X46" i="75"/>
  <c r="N46" i="75"/>
  <c r="L46" i="75"/>
  <c r="B46" i="75"/>
  <c r="Z45" i="75"/>
  <c r="X45" i="75"/>
  <c r="N45" i="75"/>
  <c r="L45" i="75"/>
  <c r="B45" i="75"/>
  <c r="Z44" i="75"/>
  <c r="X44" i="75"/>
  <c r="V44" i="75"/>
  <c r="N44" i="75"/>
  <c r="L44" i="75"/>
  <c r="B44" i="75"/>
  <c r="Z43" i="75"/>
  <c r="X43" i="75"/>
  <c r="N43" i="75"/>
  <c r="L43" i="75"/>
  <c r="B43" i="75"/>
  <c r="Z42" i="75"/>
  <c r="X42" i="75"/>
  <c r="N42" i="75"/>
  <c r="L42" i="75"/>
  <c r="B42" i="75"/>
  <c r="X41" i="75"/>
  <c r="Z41" i="75" s="1"/>
  <c r="L41" i="75"/>
  <c r="N41" i="75" s="1"/>
  <c r="B41" i="75"/>
  <c r="Z40" i="75"/>
  <c r="X40" i="75"/>
  <c r="V40" i="75"/>
  <c r="N40" i="75"/>
  <c r="L40" i="75"/>
  <c r="B40" i="75"/>
  <c r="T39" i="75"/>
  <c r="P39" i="75"/>
  <c r="X39" i="75" s="1"/>
  <c r="L39" i="75"/>
  <c r="N39" i="75" s="1"/>
  <c r="H39" i="75"/>
  <c r="D39" i="75"/>
  <c r="B39" i="75"/>
  <c r="Z38" i="75"/>
  <c r="X38" i="75"/>
  <c r="V38" i="75"/>
  <c r="N38" i="75"/>
  <c r="L38" i="75"/>
  <c r="B38" i="75"/>
  <c r="X37" i="75"/>
  <c r="Z37" i="75" s="1"/>
  <c r="L37" i="75"/>
  <c r="N37" i="75" s="1"/>
  <c r="B37" i="75"/>
  <c r="Z36" i="75"/>
  <c r="X36" i="75"/>
  <c r="L36" i="75"/>
  <c r="N36" i="75" s="1"/>
  <c r="B36" i="75"/>
  <c r="Z35" i="75"/>
  <c r="X35" i="75"/>
  <c r="N35" i="75"/>
  <c r="L35" i="75"/>
  <c r="B35" i="75"/>
  <c r="Z34" i="75"/>
  <c r="X34" i="75"/>
  <c r="V34" i="75"/>
  <c r="N34" i="75"/>
  <c r="L34" i="75"/>
  <c r="J34" i="75"/>
  <c r="B34" i="75"/>
  <c r="X33" i="75"/>
  <c r="Z33" i="75" s="1"/>
  <c r="L33" i="75"/>
  <c r="N33" i="75" s="1"/>
  <c r="B33" i="75"/>
  <c r="Z32" i="75"/>
  <c r="X32" i="75"/>
  <c r="L32" i="75"/>
  <c r="N32" i="75" s="1"/>
  <c r="B32" i="75"/>
  <c r="X31" i="75"/>
  <c r="Z31" i="75" s="1"/>
  <c r="L31" i="75"/>
  <c r="N31" i="75" s="1"/>
  <c r="B31" i="75"/>
  <c r="Z30" i="75"/>
  <c r="X30" i="75"/>
  <c r="V30" i="75"/>
  <c r="N30" i="75"/>
  <c r="L30" i="75"/>
  <c r="J30" i="75"/>
  <c r="B30" i="75"/>
  <c r="T29" i="75"/>
  <c r="Z29" i="75" s="1"/>
  <c r="P29" i="75"/>
  <c r="X29" i="75" s="1"/>
  <c r="H29" i="75"/>
  <c r="D29" i="75"/>
  <c r="B29" i="75"/>
  <c r="V28" i="75"/>
  <c r="T28" i="75"/>
  <c r="R28" i="75"/>
  <c r="P28" i="75"/>
  <c r="N28" i="75"/>
  <c r="H28" i="75"/>
  <c r="D28" i="75"/>
  <c r="L28" i="75" s="1"/>
  <c r="V24" i="75"/>
  <c r="T24" i="75"/>
  <c r="Z24" i="75" s="1"/>
  <c r="P24" i="75"/>
  <c r="N24" i="75"/>
  <c r="J24" i="75"/>
  <c r="H24" i="75"/>
  <c r="D24" i="75"/>
  <c r="L24" i="75" s="1"/>
  <c r="Z22" i="75"/>
  <c r="P22" i="75"/>
  <c r="X22" i="75" s="1"/>
  <c r="N22" i="75"/>
  <c r="L22" i="75"/>
  <c r="D22" i="75"/>
  <c r="B22" i="75"/>
  <c r="Z21" i="75"/>
  <c r="X21" i="75"/>
  <c r="P21" i="75"/>
  <c r="N21" i="75"/>
  <c r="L21" i="75"/>
  <c r="D21" i="75"/>
  <c r="B21" i="75"/>
  <c r="Z20" i="75"/>
  <c r="P20" i="75"/>
  <c r="X20" i="75" s="1"/>
  <c r="N20" i="75"/>
  <c r="L20" i="75"/>
  <c r="D20" i="75"/>
  <c r="B20" i="75"/>
  <c r="Z19" i="75"/>
  <c r="P19" i="75"/>
  <c r="X19" i="75" s="1"/>
  <c r="N19" i="75"/>
  <c r="D19" i="75"/>
  <c r="L19" i="75" s="1"/>
  <c r="B19" i="75"/>
  <c r="Z18" i="75"/>
  <c r="P18" i="75"/>
  <c r="X18" i="75" s="1"/>
  <c r="N18" i="75"/>
  <c r="L18" i="75"/>
  <c r="D18" i="75"/>
  <c r="B18" i="75"/>
  <c r="P17" i="75"/>
  <c r="X17" i="75" s="1"/>
  <c r="Z17" i="75" s="1"/>
  <c r="D17" i="75"/>
  <c r="L17" i="75" s="1"/>
  <c r="N17" i="75" s="1"/>
  <c r="B17" i="75"/>
  <c r="Z16" i="75"/>
  <c r="P16" i="75"/>
  <c r="X16" i="75" s="1"/>
  <c r="N16" i="75"/>
  <c r="D16" i="75"/>
  <c r="L16" i="75" s="1"/>
  <c r="B16" i="75"/>
  <c r="Z15" i="75"/>
  <c r="X15" i="75"/>
  <c r="P15" i="75"/>
  <c r="P12" i="75" s="1"/>
  <c r="R35" i="75" s="1"/>
  <c r="N15" i="75"/>
  <c r="D15" i="75"/>
  <c r="L15" i="75" s="1"/>
  <c r="B15" i="75"/>
  <c r="Z14" i="75"/>
  <c r="X14" i="75"/>
  <c r="P14" i="75"/>
  <c r="N14" i="75"/>
  <c r="D14" i="75"/>
  <c r="L14" i="75" s="1"/>
  <c r="B14" i="75"/>
  <c r="X13" i="75"/>
  <c r="Z13" i="75" s="1"/>
  <c r="P13" i="75"/>
  <c r="D13" i="75"/>
  <c r="B13" i="75"/>
  <c r="T12" i="75"/>
  <c r="V73" i="75" s="1"/>
  <c r="H12" i="75"/>
  <c r="D6" i="75"/>
  <c r="D4" i="75"/>
  <c r="Z151" i="74"/>
  <c r="X151" i="74"/>
  <c r="L151" i="74"/>
  <c r="N151" i="74" s="1"/>
  <c r="Z147" i="74"/>
  <c r="P147" i="74"/>
  <c r="X147" i="74" s="1"/>
  <c r="N147" i="74"/>
  <c r="D147" i="74"/>
  <c r="L147" i="74" s="1"/>
  <c r="B147" i="74"/>
  <c r="X146" i="74"/>
  <c r="Z146" i="74" s="1"/>
  <c r="P146" i="74"/>
  <c r="N146" i="74"/>
  <c r="L146" i="74"/>
  <c r="D146" i="74"/>
  <c r="B146" i="74"/>
  <c r="P145" i="74"/>
  <c r="X145" i="74" s="1"/>
  <c r="Z145" i="74" s="1"/>
  <c r="L145" i="74"/>
  <c r="N145" i="74" s="1"/>
  <c r="D145" i="74"/>
  <c r="B145" i="74"/>
  <c r="T144" i="74"/>
  <c r="L144" i="74"/>
  <c r="N144" i="74" s="1"/>
  <c r="H144" i="74"/>
  <c r="D144" i="74"/>
  <c r="Z142" i="74"/>
  <c r="X142" i="74"/>
  <c r="N142" i="74"/>
  <c r="L142" i="74"/>
  <c r="B142" i="74"/>
  <c r="Z141" i="74"/>
  <c r="X141" i="74"/>
  <c r="N141" i="74"/>
  <c r="L141" i="74"/>
  <c r="B141" i="74"/>
  <c r="X140" i="74"/>
  <c r="T140" i="74"/>
  <c r="P140" i="74"/>
  <c r="H140" i="74"/>
  <c r="D140" i="74"/>
  <c r="L140" i="74" s="1"/>
  <c r="B140" i="74"/>
  <c r="Z139" i="74"/>
  <c r="X139" i="74"/>
  <c r="L139" i="74"/>
  <c r="N139" i="74" s="1"/>
  <c r="B139" i="74"/>
  <c r="X138" i="74"/>
  <c r="T138" i="74"/>
  <c r="P138" i="74"/>
  <c r="H138" i="74"/>
  <c r="D138" i="74"/>
  <c r="L138" i="74" s="1"/>
  <c r="B138" i="74"/>
  <c r="Z137" i="74"/>
  <c r="X137" i="74"/>
  <c r="N137" i="74"/>
  <c r="L137" i="74"/>
  <c r="B137" i="74"/>
  <c r="X136" i="74"/>
  <c r="T136" i="74"/>
  <c r="P136" i="74"/>
  <c r="H136" i="74"/>
  <c r="D136" i="74"/>
  <c r="L136" i="74" s="1"/>
  <c r="B136" i="74"/>
  <c r="Z135" i="74"/>
  <c r="X135" i="74"/>
  <c r="N135" i="74"/>
  <c r="L135" i="74"/>
  <c r="B135" i="74"/>
  <c r="X134" i="74"/>
  <c r="Z134" i="74" s="1"/>
  <c r="L134" i="74"/>
  <c r="N134" i="74" s="1"/>
  <c r="B134" i="74"/>
  <c r="Z133" i="74"/>
  <c r="X133" i="74"/>
  <c r="N133" i="74"/>
  <c r="L133" i="74"/>
  <c r="B133" i="74"/>
  <c r="X132" i="74"/>
  <c r="Z132" i="74" s="1"/>
  <c r="L132" i="74"/>
  <c r="N132" i="74" s="1"/>
  <c r="B132" i="74"/>
  <c r="Z131" i="74"/>
  <c r="X131" i="74"/>
  <c r="N131" i="74"/>
  <c r="L131" i="74"/>
  <c r="B131" i="74"/>
  <c r="X130" i="74"/>
  <c r="Z130" i="74" s="1"/>
  <c r="L130" i="74"/>
  <c r="N130" i="74" s="1"/>
  <c r="B130" i="74"/>
  <c r="X129" i="74"/>
  <c r="Z129" i="74" s="1"/>
  <c r="N129" i="74"/>
  <c r="L129" i="74"/>
  <c r="B129" i="74"/>
  <c r="X128" i="74"/>
  <c r="T128" i="74"/>
  <c r="Z128" i="74" s="1"/>
  <c r="P128" i="74"/>
  <c r="H128" i="74"/>
  <c r="D128" i="74"/>
  <c r="L128" i="74" s="1"/>
  <c r="B128" i="74"/>
  <c r="Z127" i="74"/>
  <c r="X127" i="74"/>
  <c r="N127" i="74"/>
  <c r="L127" i="74"/>
  <c r="B127" i="74"/>
  <c r="X126" i="74"/>
  <c r="Z126" i="74" s="1"/>
  <c r="N126" i="74"/>
  <c r="L126" i="74"/>
  <c r="B126" i="74"/>
  <c r="Z125" i="74"/>
  <c r="X125" i="74"/>
  <c r="T125" i="74"/>
  <c r="P125" i="74"/>
  <c r="N125" i="74"/>
  <c r="L125" i="74"/>
  <c r="H125" i="74"/>
  <c r="D125" i="74"/>
  <c r="B125" i="74"/>
  <c r="X124" i="74"/>
  <c r="Z124" i="74" s="1"/>
  <c r="L124" i="74"/>
  <c r="N124" i="74" s="1"/>
  <c r="B124" i="74"/>
  <c r="Z123" i="74"/>
  <c r="X123" i="74"/>
  <c r="N123" i="74"/>
  <c r="L123" i="74"/>
  <c r="B123" i="74"/>
  <c r="Z122" i="74"/>
  <c r="X122" i="74"/>
  <c r="L122" i="74"/>
  <c r="N122" i="74" s="1"/>
  <c r="B122" i="74"/>
  <c r="T121" i="74"/>
  <c r="P121" i="74"/>
  <c r="X121" i="74" s="1"/>
  <c r="Z121" i="74" s="1"/>
  <c r="H121" i="74"/>
  <c r="N121" i="74" s="1"/>
  <c r="D121" i="74"/>
  <c r="L121" i="74" s="1"/>
  <c r="B121" i="74"/>
  <c r="X120" i="74"/>
  <c r="Z120" i="74" s="1"/>
  <c r="L120" i="74"/>
  <c r="N120" i="74" s="1"/>
  <c r="B120" i="74"/>
  <c r="T119" i="74"/>
  <c r="P119" i="74"/>
  <c r="X119" i="74" s="1"/>
  <c r="Z119" i="74" s="1"/>
  <c r="H119" i="74"/>
  <c r="N119" i="74" s="1"/>
  <c r="D119" i="74"/>
  <c r="L119" i="74" s="1"/>
  <c r="B119" i="74"/>
  <c r="X118" i="74"/>
  <c r="Z118" i="74" s="1"/>
  <c r="N118" i="74"/>
  <c r="L118" i="74"/>
  <c r="B118" i="74"/>
  <c r="Z117" i="74"/>
  <c r="X117" i="74"/>
  <c r="T117" i="74"/>
  <c r="P117" i="74"/>
  <c r="N117" i="74"/>
  <c r="H117" i="74"/>
  <c r="D117" i="74"/>
  <c r="L117" i="74" s="1"/>
  <c r="B117" i="74"/>
  <c r="X116" i="74"/>
  <c r="Z116" i="74" s="1"/>
  <c r="L116" i="74"/>
  <c r="N116" i="74" s="1"/>
  <c r="B116" i="74"/>
  <c r="X115" i="74"/>
  <c r="T115" i="74"/>
  <c r="Z115" i="74" s="1"/>
  <c r="P115" i="74"/>
  <c r="H115" i="74"/>
  <c r="D115" i="74"/>
  <c r="L115" i="74" s="1"/>
  <c r="N115" i="74" s="1"/>
  <c r="B115" i="74"/>
  <c r="Z114" i="74"/>
  <c r="X114" i="74"/>
  <c r="N114" i="74"/>
  <c r="L114" i="74"/>
  <c r="B114" i="74"/>
  <c r="T113" i="74"/>
  <c r="Z113" i="74" s="1"/>
  <c r="P113" i="74"/>
  <c r="N113" i="74"/>
  <c r="H113" i="74"/>
  <c r="D113" i="74"/>
  <c r="L113" i="74" s="1"/>
  <c r="B113" i="74"/>
  <c r="Z112" i="74"/>
  <c r="X112" i="74"/>
  <c r="L112" i="74"/>
  <c r="N112" i="74" s="1"/>
  <c r="B112" i="74"/>
  <c r="Z111" i="74"/>
  <c r="X111" i="74"/>
  <c r="N111" i="74"/>
  <c r="L111" i="74"/>
  <c r="B111" i="74"/>
  <c r="X110" i="74"/>
  <c r="T110" i="74"/>
  <c r="P110" i="74"/>
  <c r="H110" i="74"/>
  <c r="D110" i="74"/>
  <c r="L110" i="74" s="1"/>
  <c r="B110" i="74"/>
  <c r="Z109" i="74"/>
  <c r="X109" i="74"/>
  <c r="L109" i="74"/>
  <c r="N109" i="74" s="1"/>
  <c r="B109" i="74"/>
  <c r="X108" i="74"/>
  <c r="T108" i="74"/>
  <c r="P108" i="74"/>
  <c r="H108" i="74"/>
  <c r="D108" i="74"/>
  <c r="L108" i="74" s="1"/>
  <c r="N108" i="74" s="1"/>
  <c r="B108" i="74"/>
  <c r="Z107" i="74"/>
  <c r="X107" i="74"/>
  <c r="N107" i="74"/>
  <c r="L107" i="74"/>
  <c r="B107" i="74"/>
  <c r="X106" i="74"/>
  <c r="T106" i="74"/>
  <c r="P106" i="74"/>
  <c r="L106" i="74"/>
  <c r="N106" i="74" s="1"/>
  <c r="H106" i="74"/>
  <c r="D106" i="74"/>
  <c r="B106" i="74"/>
  <c r="Z105" i="74"/>
  <c r="X105" i="74"/>
  <c r="N105" i="74"/>
  <c r="L105" i="74"/>
  <c r="B105" i="74"/>
  <c r="T104" i="74"/>
  <c r="Z104" i="74" s="1"/>
  <c r="P104" i="74"/>
  <c r="X104" i="74" s="1"/>
  <c r="H104" i="74"/>
  <c r="D104" i="74"/>
  <c r="B104" i="74"/>
  <c r="Z103" i="74"/>
  <c r="X103" i="74"/>
  <c r="N103" i="74"/>
  <c r="L103" i="74"/>
  <c r="B103" i="74"/>
  <c r="T102" i="74"/>
  <c r="Z102" i="74" s="1"/>
  <c r="P102" i="74"/>
  <c r="X102" i="74" s="1"/>
  <c r="L102" i="74"/>
  <c r="H102" i="74"/>
  <c r="N102" i="74" s="1"/>
  <c r="D102" i="74"/>
  <c r="B102" i="74"/>
  <c r="Z101" i="74"/>
  <c r="X101" i="74"/>
  <c r="N101" i="74"/>
  <c r="L101" i="74"/>
  <c r="B101" i="74"/>
  <c r="X100" i="74"/>
  <c r="T100" i="74"/>
  <c r="P100" i="74"/>
  <c r="H100" i="74"/>
  <c r="D100" i="74"/>
  <c r="B100" i="74"/>
  <c r="Z99" i="74"/>
  <c r="X99" i="74"/>
  <c r="N99" i="74"/>
  <c r="L99" i="74"/>
  <c r="B99" i="74"/>
  <c r="Z98" i="74"/>
  <c r="X98" i="74"/>
  <c r="N98" i="74"/>
  <c r="L98" i="74"/>
  <c r="B98" i="74"/>
  <c r="Z97" i="74"/>
  <c r="X97" i="74"/>
  <c r="N97" i="74"/>
  <c r="L97" i="74"/>
  <c r="B97" i="74"/>
  <c r="X96" i="74"/>
  <c r="Z96" i="74" s="1"/>
  <c r="N96" i="74"/>
  <c r="L96" i="74"/>
  <c r="B96" i="74"/>
  <c r="Z95" i="74"/>
  <c r="X95" i="74"/>
  <c r="N95" i="74"/>
  <c r="L95" i="74"/>
  <c r="B95" i="74"/>
  <c r="Z94" i="74"/>
  <c r="X94" i="74"/>
  <c r="N94" i="74"/>
  <c r="L94" i="74"/>
  <c r="B94" i="74"/>
  <c r="Z93" i="74"/>
  <c r="X93" i="74"/>
  <c r="L93" i="74"/>
  <c r="N93" i="74" s="1"/>
  <c r="B93" i="74"/>
  <c r="Z92" i="74"/>
  <c r="X92" i="74"/>
  <c r="N92" i="74"/>
  <c r="L92" i="74"/>
  <c r="B92" i="74"/>
  <c r="Z91" i="74"/>
  <c r="X91" i="74"/>
  <c r="L91" i="74"/>
  <c r="N91" i="74" s="1"/>
  <c r="B91" i="74"/>
  <c r="Z90" i="74"/>
  <c r="X90" i="74"/>
  <c r="N90" i="74"/>
  <c r="L90" i="74"/>
  <c r="B90" i="74"/>
  <c r="X89" i="74"/>
  <c r="Z89" i="74" s="1"/>
  <c r="T89" i="74"/>
  <c r="P89" i="74"/>
  <c r="H89" i="74"/>
  <c r="D89" i="74"/>
  <c r="L89" i="74" s="1"/>
  <c r="N89" i="74" s="1"/>
  <c r="B89" i="74"/>
  <c r="Z88" i="74"/>
  <c r="X88" i="74"/>
  <c r="L88" i="74"/>
  <c r="N88" i="74" s="1"/>
  <c r="B88" i="74"/>
  <c r="X87" i="74"/>
  <c r="Z87" i="74" s="1"/>
  <c r="L87" i="74"/>
  <c r="N87" i="74" s="1"/>
  <c r="B87" i="74"/>
  <c r="X86" i="74"/>
  <c r="Z86" i="74" s="1"/>
  <c r="L86" i="74"/>
  <c r="N86" i="74" s="1"/>
  <c r="B86" i="74"/>
  <c r="Z85" i="74"/>
  <c r="X85" i="74"/>
  <c r="N85" i="74"/>
  <c r="L85" i="74"/>
  <c r="B85" i="74"/>
  <c r="Z84" i="74"/>
  <c r="X84" i="74"/>
  <c r="L84" i="74"/>
  <c r="N84" i="74" s="1"/>
  <c r="B84" i="74"/>
  <c r="X83" i="74"/>
  <c r="Z83" i="74" s="1"/>
  <c r="L83" i="74"/>
  <c r="N83" i="74" s="1"/>
  <c r="B83" i="74"/>
  <c r="X82" i="74"/>
  <c r="Z82" i="74" s="1"/>
  <c r="L82" i="74"/>
  <c r="N82" i="74" s="1"/>
  <c r="B82" i="74"/>
  <c r="Z81" i="74"/>
  <c r="X81" i="74"/>
  <c r="N81" i="74"/>
  <c r="L81" i="74"/>
  <c r="B81" i="74"/>
  <c r="Z80" i="74"/>
  <c r="X80" i="74"/>
  <c r="L80" i="74"/>
  <c r="N80" i="74" s="1"/>
  <c r="B80" i="74"/>
  <c r="T79" i="74"/>
  <c r="P79" i="74"/>
  <c r="H79" i="74"/>
  <c r="L79" i="74" s="1"/>
  <c r="N79" i="74" s="1"/>
  <c r="D79" i="74"/>
  <c r="B79" i="74"/>
  <c r="T78" i="74"/>
  <c r="Z78" i="74" s="1"/>
  <c r="P78" i="74"/>
  <c r="X78" i="74" s="1"/>
  <c r="L78" i="74"/>
  <c r="H78" i="74"/>
  <c r="N78" i="74" s="1"/>
  <c r="D78" i="74"/>
  <c r="Z74" i="74"/>
  <c r="X74" i="74"/>
  <c r="N74" i="74"/>
  <c r="L74" i="74"/>
  <c r="B74" i="74"/>
  <c r="Z73" i="74"/>
  <c r="X73" i="74"/>
  <c r="N73" i="74"/>
  <c r="L73" i="74"/>
  <c r="B73" i="74"/>
  <c r="Z72" i="74"/>
  <c r="X72" i="74"/>
  <c r="N72" i="74"/>
  <c r="L72" i="74"/>
  <c r="B72" i="74"/>
  <c r="Z71" i="74"/>
  <c r="X71" i="74"/>
  <c r="N71" i="74"/>
  <c r="L71" i="74"/>
  <c r="B71" i="74"/>
  <c r="Z70" i="74"/>
  <c r="X70" i="74"/>
  <c r="N70" i="74"/>
  <c r="L70" i="74"/>
  <c r="B70" i="74"/>
  <c r="Z69" i="74"/>
  <c r="X69" i="74"/>
  <c r="N69" i="74"/>
  <c r="L69" i="74"/>
  <c r="B69" i="74"/>
  <c r="Z68" i="74"/>
  <c r="X68" i="74"/>
  <c r="N68" i="74"/>
  <c r="L68" i="74"/>
  <c r="B68" i="74"/>
  <c r="Z67" i="74"/>
  <c r="X67" i="74"/>
  <c r="N67" i="74"/>
  <c r="L67" i="74"/>
  <c r="B67" i="74"/>
  <c r="Z66" i="74"/>
  <c r="X66" i="74"/>
  <c r="N66" i="74"/>
  <c r="L66" i="74"/>
  <c r="B66" i="74"/>
  <c r="Z65" i="74"/>
  <c r="X65" i="74"/>
  <c r="N65" i="74"/>
  <c r="L65" i="74"/>
  <c r="B65" i="74"/>
  <c r="Z64" i="74"/>
  <c r="X64" i="74"/>
  <c r="N64" i="74"/>
  <c r="L64" i="74"/>
  <c r="B64" i="74"/>
  <c r="Z63" i="74"/>
  <c r="X63" i="74"/>
  <c r="N63" i="74"/>
  <c r="L63" i="74"/>
  <c r="B63" i="74"/>
  <c r="Z62" i="74"/>
  <c r="X62" i="74"/>
  <c r="N62" i="74"/>
  <c r="L62" i="74"/>
  <c r="B62" i="74"/>
  <c r="Z61" i="74"/>
  <c r="X61" i="74"/>
  <c r="N61" i="74"/>
  <c r="L61" i="74"/>
  <c r="B61" i="74"/>
  <c r="Z60" i="74"/>
  <c r="X60" i="74"/>
  <c r="N60" i="74"/>
  <c r="L60" i="74"/>
  <c r="B60" i="74"/>
  <c r="Z59" i="74"/>
  <c r="X59" i="74"/>
  <c r="N59" i="74"/>
  <c r="L59" i="74"/>
  <c r="B59" i="74"/>
  <c r="Z58" i="74"/>
  <c r="X58" i="74"/>
  <c r="N58" i="74"/>
  <c r="L58" i="74"/>
  <c r="B58" i="74"/>
  <c r="Z57" i="74"/>
  <c r="X57" i="74"/>
  <c r="N57" i="74"/>
  <c r="L57" i="74"/>
  <c r="B57" i="74"/>
  <c r="Z56" i="74"/>
  <c r="X56" i="74"/>
  <c r="N56" i="74"/>
  <c r="L56" i="74"/>
  <c r="B56" i="74"/>
  <c r="Z55" i="74"/>
  <c r="X55" i="74"/>
  <c r="N55" i="74"/>
  <c r="L55" i="74"/>
  <c r="B55" i="74"/>
  <c r="Z54" i="74"/>
  <c r="X54" i="74"/>
  <c r="N54" i="74"/>
  <c r="L54" i="74"/>
  <c r="B54" i="74"/>
  <c r="Z53" i="74"/>
  <c r="X53" i="74"/>
  <c r="L53" i="74"/>
  <c r="N53" i="74" s="1"/>
  <c r="B53" i="74"/>
  <c r="X52" i="74"/>
  <c r="T52" i="74"/>
  <c r="Z52" i="74" s="1"/>
  <c r="P52" i="74"/>
  <c r="H52" i="74"/>
  <c r="D52" i="74"/>
  <c r="L52" i="74" s="1"/>
  <c r="Z50" i="74"/>
  <c r="X50" i="74"/>
  <c r="P50" i="74"/>
  <c r="N50" i="74"/>
  <c r="D50" i="74"/>
  <c r="L50" i="74" s="1"/>
  <c r="B50" i="74"/>
  <c r="Z49" i="74"/>
  <c r="X49" i="74"/>
  <c r="P49" i="74"/>
  <c r="N49" i="74"/>
  <c r="L49" i="74"/>
  <c r="D49" i="74"/>
  <c r="B49" i="74"/>
  <c r="Z48" i="74"/>
  <c r="X48" i="74"/>
  <c r="P48" i="74"/>
  <c r="N48" i="74"/>
  <c r="D48" i="74"/>
  <c r="L48" i="74" s="1"/>
  <c r="B48" i="74"/>
  <c r="Z47" i="74"/>
  <c r="P47" i="74"/>
  <c r="X47" i="74" s="1"/>
  <c r="N47" i="74"/>
  <c r="L47" i="74"/>
  <c r="D47" i="74"/>
  <c r="B47" i="74"/>
  <c r="Z46" i="74"/>
  <c r="X46" i="74"/>
  <c r="P46" i="74"/>
  <c r="N46" i="74"/>
  <c r="L46" i="74"/>
  <c r="D46" i="74"/>
  <c r="B46" i="74"/>
  <c r="Z45" i="74"/>
  <c r="P45" i="74"/>
  <c r="X45" i="74" s="1"/>
  <c r="N45" i="74"/>
  <c r="L45" i="74"/>
  <c r="D45" i="74"/>
  <c r="B45" i="74"/>
  <c r="Z44" i="74"/>
  <c r="P44" i="74"/>
  <c r="X44" i="74" s="1"/>
  <c r="N44" i="74"/>
  <c r="D44" i="74"/>
  <c r="L44" i="74" s="1"/>
  <c r="B44" i="74"/>
  <c r="Z43" i="74"/>
  <c r="P43" i="74"/>
  <c r="X43" i="74" s="1"/>
  <c r="N43" i="74"/>
  <c r="L43" i="74"/>
  <c r="D43" i="74"/>
  <c r="B43" i="74"/>
  <c r="Z42" i="74"/>
  <c r="X42" i="74"/>
  <c r="P42" i="74"/>
  <c r="N42" i="74"/>
  <c r="D42" i="74"/>
  <c r="L42" i="74" s="1"/>
  <c r="B42" i="74"/>
  <c r="Z41" i="74"/>
  <c r="P41" i="74"/>
  <c r="X41" i="74" s="1"/>
  <c r="N41" i="74"/>
  <c r="D41" i="74"/>
  <c r="L41" i="74" s="1"/>
  <c r="B41" i="74"/>
  <c r="Z40" i="74"/>
  <c r="X40" i="74"/>
  <c r="P40" i="74"/>
  <c r="N40" i="74"/>
  <c r="D40" i="74"/>
  <c r="L40" i="74" s="1"/>
  <c r="B40" i="74"/>
  <c r="Z39" i="74"/>
  <c r="P39" i="74"/>
  <c r="X39" i="74" s="1"/>
  <c r="N39" i="74"/>
  <c r="L39" i="74"/>
  <c r="D39" i="74"/>
  <c r="B39" i="74"/>
  <c r="Z38" i="74"/>
  <c r="X38" i="74"/>
  <c r="P38" i="74"/>
  <c r="N38" i="74"/>
  <c r="D38" i="74"/>
  <c r="L38" i="74" s="1"/>
  <c r="B38" i="74"/>
  <c r="Z37" i="74"/>
  <c r="X37" i="74"/>
  <c r="P37" i="74"/>
  <c r="N37" i="74"/>
  <c r="L37" i="74"/>
  <c r="D37" i="74"/>
  <c r="B37" i="74"/>
  <c r="Z36" i="74"/>
  <c r="X36" i="74"/>
  <c r="P36" i="74"/>
  <c r="N36" i="74"/>
  <c r="D36" i="74"/>
  <c r="L36" i="74" s="1"/>
  <c r="B36" i="74"/>
  <c r="Z35" i="74"/>
  <c r="P35" i="74"/>
  <c r="X35" i="74" s="1"/>
  <c r="N35" i="74"/>
  <c r="L35" i="74"/>
  <c r="D35" i="74"/>
  <c r="B35" i="74"/>
  <c r="Z34" i="74"/>
  <c r="X34" i="74"/>
  <c r="P34" i="74"/>
  <c r="N34" i="74"/>
  <c r="L34" i="74"/>
  <c r="D34" i="74"/>
  <c r="B34" i="74"/>
  <c r="Z33" i="74"/>
  <c r="P33" i="74"/>
  <c r="X33" i="74" s="1"/>
  <c r="N33" i="74"/>
  <c r="L33" i="74"/>
  <c r="D33" i="74"/>
  <c r="B33" i="74"/>
  <c r="Z32" i="74"/>
  <c r="P32" i="74"/>
  <c r="X32" i="74" s="1"/>
  <c r="N32" i="74"/>
  <c r="D32" i="74"/>
  <c r="L32" i="74" s="1"/>
  <c r="B32" i="74"/>
  <c r="Z31" i="74"/>
  <c r="P31" i="74"/>
  <c r="X31" i="74" s="1"/>
  <c r="N31" i="74"/>
  <c r="L31" i="74"/>
  <c r="D31" i="74"/>
  <c r="B31" i="74"/>
  <c r="Z30" i="74"/>
  <c r="P30" i="74"/>
  <c r="X30" i="74" s="1"/>
  <c r="N30" i="74"/>
  <c r="D30" i="74"/>
  <c r="L30" i="74" s="1"/>
  <c r="B30" i="74"/>
  <c r="Z29" i="74"/>
  <c r="P29" i="74"/>
  <c r="X29" i="74" s="1"/>
  <c r="N29" i="74"/>
  <c r="D29" i="74"/>
  <c r="L29" i="74" s="1"/>
  <c r="B29" i="74"/>
  <c r="Z28" i="74"/>
  <c r="X28" i="74"/>
  <c r="P28" i="74"/>
  <c r="N28" i="74"/>
  <c r="L28" i="74"/>
  <c r="D28" i="74"/>
  <c r="B28" i="74"/>
  <c r="Z27" i="74"/>
  <c r="P27" i="74"/>
  <c r="X27" i="74" s="1"/>
  <c r="N27" i="74"/>
  <c r="D27" i="74"/>
  <c r="L27" i="74" s="1"/>
  <c r="B27" i="74"/>
  <c r="Z26" i="74"/>
  <c r="X26" i="74"/>
  <c r="P26" i="74"/>
  <c r="N26" i="74"/>
  <c r="D26" i="74"/>
  <c r="L26" i="74" s="1"/>
  <c r="B26" i="74"/>
  <c r="Z25" i="74"/>
  <c r="X25" i="74"/>
  <c r="P25" i="74"/>
  <c r="N25" i="74"/>
  <c r="L25" i="74"/>
  <c r="D25" i="74"/>
  <c r="B25" i="74"/>
  <c r="Z24" i="74"/>
  <c r="X24" i="74"/>
  <c r="P24" i="74"/>
  <c r="N24" i="74"/>
  <c r="D24" i="74"/>
  <c r="L24" i="74" s="1"/>
  <c r="B24" i="74"/>
  <c r="Z23" i="74"/>
  <c r="P23" i="74"/>
  <c r="X23" i="74" s="1"/>
  <c r="N23" i="74"/>
  <c r="L23" i="74"/>
  <c r="D23" i="74"/>
  <c r="B23" i="74"/>
  <c r="Z22" i="74"/>
  <c r="X22" i="74"/>
  <c r="P22" i="74"/>
  <c r="N22" i="74"/>
  <c r="L22" i="74"/>
  <c r="D22" i="74"/>
  <c r="B22" i="74"/>
  <c r="Z21" i="74"/>
  <c r="P21" i="74"/>
  <c r="X21" i="74" s="1"/>
  <c r="N21" i="74"/>
  <c r="L21" i="74"/>
  <c r="D21" i="74"/>
  <c r="B21" i="74"/>
  <c r="Z20" i="74"/>
  <c r="P20" i="74"/>
  <c r="X20" i="74" s="1"/>
  <c r="N20" i="74"/>
  <c r="D20" i="74"/>
  <c r="L20" i="74" s="1"/>
  <c r="B20" i="74"/>
  <c r="Z19" i="74"/>
  <c r="X19" i="74"/>
  <c r="P19" i="74"/>
  <c r="N19" i="74"/>
  <c r="L19" i="74"/>
  <c r="D19" i="74"/>
  <c r="B19" i="74"/>
  <c r="Z18" i="74"/>
  <c r="P18" i="74"/>
  <c r="X18" i="74" s="1"/>
  <c r="N18" i="74"/>
  <c r="D18" i="74"/>
  <c r="L18" i="74" s="1"/>
  <c r="B18" i="74"/>
  <c r="Z17" i="74"/>
  <c r="P17" i="74"/>
  <c r="X17" i="74" s="1"/>
  <c r="N17" i="74"/>
  <c r="D17" i="74"/>
  <c r="L17" i="74" s="1"/>
  <c r="B17" i="74"/>
  <c r="Z16" i="74"/>
  <c r="X16" i="74"/>
  <c r="P16" i="74"/>
  <c r="N16" i="74"/>
  <c r="L16" i="74"/>
  <c r="D16" i="74"/>
  <c r="B16" i="74"/>
  <c r="Z15" i="74"/>
  <c r="P15" i="74"/>
  <c r="N15" i="74"/>
  <c r="L15" i="74"/>
  <c r="D15" i="74"/>
  <c r="B15" i="74"/>
  <c r="Z14" i="74"/>
  <c r="X14" i="74"/>
  <c r="P14" i="74"/>
  <c r="N14" i="74"/>
  <c r="D14" i="74"/>
  <c r="L14" i="74" s="1"/>
  <c r="B14" i="74"/>
  <c r="X13" i="74"/>
  <c r="Z13" i="74" s="1"/>
  <c r="P13" i="74"/>
  <c r="L13" i="74"/>
  <c r="N13" i="74" s="1"/>
  <c r="D13" i="74"/>
  <c r="B13" i="74"/>
  <c r="T12" i="74"/>
  <c r="V131" i="74" s="1"/>
  <c r="H12" i="74"/>
  <c r="J103" i="74" s="1"/>
  <c r="D6" i="74"/>
  <c r="D4" i="74"/>
  <c r="X72" i="72"/>
  <c r="Z72" i="72" s="1"/>
  <c r="L72" i="72"/>
  <c r="N72" i="72" s="1"/>
  <c r="F72" i="72"/>
  <c r="H70" i="72"/>
  <c r="T68" i="72"/>
  <c r="Z68" i="72" s="1"/>
  <c r="P68" i="72"/>
  <c r="X68" i="72" s="1"/>
  <c r="H68" i="72"/>
  <c r="N68" i="72" s="1"/>
  <c r="D68" i="72"/>
  <c r="L68" i="72" s="1"/>
  <c r="Z66" i="72"/>
  <c r="X66" i="72"/>
  <c r="N66" i="72"/>
  <c r="L66" i="72"/>
  <c r="J66" i="72"/>
  <c r="B66" i="72"/>
  <c r="Z65" i="72"/>
  <c r="V65" i="72"/>
  <c r="T65" i="72"/>
  <c r="P65" i="72"/>
  <c r="X65" i="72" s="1"/>
  <c r="H65" i="72"/>
  <c r="N65" i="72" s="1"/>
  <c r="D65" i="72"/>
  <c r="L65" i="72" s="1"/>
  <c r="B65" i="72"/>
  <c r="X64" i="72"/>
  <c r="Z64" i="72" s="1"/>
  <c r="N64" i="72"/>
  <c r="L64" i="72"/>
  <c r="B64" i="72"/>
  <c r="V63" i="72"/>
  <c r="T63" i="72"/>
  <c r="P63" i="72"/>
  <c r="X63" i="72" s="1"/>
  <c r="H63" i="72"/>
  <c r="N63" i="72" s="1"/>
  <c r="D63" i="72"/>
  <c r="L63" i="72" s="1"/>
  <c r="B63" i="72"/>
  <c r="Z62" i="72"/>
  <c r="X62" i="72"/>
  <c r="R62" i="72"/>
  <c r="N62" i="72"/>
  <c r="L62" i="72"/>
  <c r="B62" i="72"/>
  <c r="X61" i="72"/>
  <c r="Z61" i="72" s="1"/>
  <c r="N61" i="72"/>
  <c r="L61" i="72"/>
  <c r="J61" i="72"/>
  <c r="B61" i="72"/>
  <c r="T60" i="72"/>
  <c r="P60" i="72"/>
  <c r="H60" i="72"/>
  <c r="D60" i="72"/>
  <c r="B60" i="72"/>
  <c r="Z59" i="72"/>
  <c r="X59" i="72"/>
  <c r="N59" i="72"/>
  <c r="L59" i="72"/>
  <c r="J59" i="72"/>
  <c r="B59" i="72"/>
  <c r="X58" i="72"/>
  <c r="Z58" i="72" s="1"/>
  <c r="L58" i="72"/>
  <c r="N58" i="72" s="1"/>
  <c r="J58" i="72"/>
  <c r="B58" i="72"/>
  <c r="Z57" i="72"/>
  <c r="X57" i="72"/>
  <c r="V57" i="72"/>
  <c r="N57" i="72"/>
  <c r="L57" i="72"/>
  <c r="B57" i="72"/>
  <c r="T56" i="72"/>
  <c r="P56" i="72"/>
  <c r="H56" i="72"/>
  <c r="D56" i="72"/>
  <c r="L56" i="72" s="1"/>
  <c r="B56" i="72"/>
  <c r="Z55" i="72"/>
  <c r="X55" i="72"/>
  <c r="V55" i="72"/>
  <c r="N55" i="72"/>
  <c r="L55" i="72"/>
  <c r="B55" i="72"/>
  <c r="V54" i="72"/>
  <c r="T54" i="72"/>
  <c r="Z54" i="72" s="1"/>
  <c r="P54" i="72"/>
  <c r="X54" i="72" s="1"/>
  <c r="L54" i="72"/>
  <c r="H54" i="72"/>
  <c r="N54" i="72" s="1"/>
  <c r="D54" i="72"/>
  <c r="B54" i="72"/>
  <c r="X53" i="72"/>
  <c r="Z53" i="72" s="1"/>
  <c r="N53" i="72"/>
  <c r="L53" i="72"/>
  <c r="J53" i="72"/>
  <c r="B53" i="72"/>
  <c r="Z52" i="72"/>
  <c r="X52" i="72"/>
  <c r="N52" i="72"/>
  <c r="L52" i="72"/>
  <c r="F52" i="72"/>
  <c r="B52" i="72"/>
  <c r="Z51" i="72"/>
  <c r="T51" i="72"/>
  <c r="P51" i="72"/>
  <c r="X51" i="72" s="1"/>
  <c r="L51" i="72"/>
  <c r="N51" i="72" s="1"/>
  <c r="H51" i="72"/>
  <c r="F51" i="72"/>
  <c r="D51" i="72"/>
  <c r="B51" i="72"/>
  <c r="X50" i="72"/>
  <c r="Z50" i="72" s="1"/>
  <c r="N50" i="72"/>
  <c r="L50" i="72"/>
  <c r="J50" i="72"/>
  <c r="B50" i="72"/>
  <c r="Z49" i="72"/>
  <c r="X49" i="72"/>
  <c r="V49" i="72"/>
  <c r="T49" i="72"/>
  <c r="P49" i="72"/>
  <c r="H49" i="72"/>
  <c r="N49" i="72" s="1"/>
  <c r="D49" i="72"/>
  <c r="B49" i="72"/>
  <c r="Z48" i="72"/>
  <c r="X48" i="72"/>
  <c r="N48" i="72"/>
  <c r="L48" i="72"/>
  <c r="B48" i="72"/>
  <c r="V47" i="72"/>
  <c r="T47" i="72"/>
  <c r="Z47" i="72" s="1"/>
  <c r="R47" i="72"/>
  <c r="P47" i="72"/>
  <c r="H47" i="72"/>
  <c r="N47" i="72" s="1"/>
  <c r="D47" i="72"/>
  <c r="L47" i="72" s="1"/>
  <c r="B47" i="72"/>
  <c r="X46" i="72"/>
  <c r="Z46" i="72" s="1"/>
  <c r="R46" i="72"/>
  <c r="L46" i="72"/>
  <c r="N46" i="72" s="1"/>
  <c r="B46" i="72"/>
  <c r="X45" i="72"/>
  <c r="Z45" i="72" s="1"/>
  <c r="T45" i="72"/>
  <c r="R45" i="72"/>
  <c r="P45" i="72"/>
  <c r="H45" i="72"/>
  <c r="D45" i="72"/>
  <c r="L45" i="72" s="1"/>
  <c r="N45" i="72" s="1"/>
  <c r="B45" i="72"/>
  <c r="Z44" i="72"/>
  <c r="X44" i="72"/>
  <c r="L44" i="72"/>
  <c r="N44" i="72" s="1"/>
  <c r="B44" i="72"/>
  <c r="T43" i="72"/>
  <c r="P43" i="72"/>
  <c r="N43" i="72"/>
  <c r="L43" i="72"/>
  <c r="J43" i="72"/>
  <c r="H43" i="72"/>
  <c r="D43" i="72"/>
  <c r="B43" i="72"/>
  <c r="Z42" i="72"/>
  <c r="X42" i="72"/>
  <c r="V42" i="72"/>
  <c r="N42" i="72"/>
  <c r="L42" i="72"/>
  <c r="F42" i="72"/>
  <c r="B42" i="72"/>
  <c r="Z41" i="72"/>
  <c r="X41" i="72"/>
  <c r="N41" i="72"/>
  <c r="L41" i="72"/>
  <c r="B41" i="72"/>
  <c r="Z40" i="72"/>
  <c r="X40" i="72"/>
  <c r="N40" i="72"/>
  <c r="L40" i="72"/>
  <c r="B40" i="72"/>
  <c r="Z39" i="72"/>
  <c r="X39" i="72"/>
  <c r="V39" i="72"/>
  <c r="N39" i="72"/>
  <c r="L39" i="72"/>
  <c r="B39" i="72"/>
  <c r="Z38" i="72"/>
  <c r="X38" i="72"/>
  <c r="V38" i="72"/>
  <c r="N38" i="72"/>
  <c r="L38" i="72"/>
  <c r="F38" i="72"/>
  <c r="B38" i="72"/>
  <c r="X37" i="72"/>
  <c r="Z37" i="72" s="1"/>
  <c r="L37" i="72"/>
  <c r="N37" i="72" s="1"/>
  <c r="B37" i="72"/>
  <c r="X36" i="72"/>
  <c r="Z36" i="72" s="1"/>
  <c r="L36" i="72"/>
  <c r="N36" i="72" s="1"/>
  <c r="B36" i="72"/>
  <c r="Z35" i="72"/>
  <c r="X35" i="72"/>
  <c r="V35" i="72"/>
  <c r="N35" i="72"/>
  <c r="L35" i="72"/>
  <c r="B35" i="72"/>
  <c r="Z34" i="72"/>
  <c r="X34" i="72"/>
  <c r="V34" i="72"/>
  <c r="N34" i="72"/>
  <c r="L34" i="72"/>
  <c r="F34" i="72"/>
  <c r="B34" i="72"/>
  <c r="X33" i="72"/>
  <c r="Z33" i="72" s="1"/>
  <c r="L33" i="72"/>
  <c r="N33" i="72" s="1"/>
  <c r="B33" i="72"/>
  <c r="X32" i="72"/>
  <c r="Z32" i="72" s="1"/>
  <c r="T32" i="72"/>
  <c r="P32" i="72"/>
  <c r="J32" i="72"/>
  <c r="H32" i="72"/>
  <c r="D32" i="72"/>
  <c r="L32" i="72" s="1"/>
  <c r="N32" i="72" s="1"/>
  <c r="B32" i="72"/>
  <c r="Z31" i="72"/>
  <c r="X31" i="72"/>
  <c r="N31" i="72"/>
  <c r="L31" i="72"/>
  <c r="F31" i="72"/>
  <c r="B31" i="72"/>
  <c r="X30" i="72"/>
  <c r="Z30" i="72" s="1"/>
  <c r="R30" i="72"/>
  <c r="N30" i="72"/>
  <c r="L30" i="72"/>
  <c r="B30" i="72"/>
  <c r="X29" i="72"/>
  <c r="Z29" i="72" s="1"/>
  <c r="N29" i="72"/>
  <c r="L29" i="72"/>
  <c r="J29" i="72"/>
  <c r="B29" i="72"/>
  <c r="Z28" i="72"/>
  <c r="X28" i="72"/>
  <c r="N28" i="72"/>
  <c r="L28" i="72"/>
  <c r="F28" i="72"/>
  <c r="B28" i="72"/>
  <c r="Z27" i="72"/>
  <c r="X27" i="72"/>
  <c r="N27" i="72"/>
  <c r="L27" i="72"/>
  <c r="F27" i="72"/>
  <c r="B27" i="72"/>
  <c r="X26" i="72"/>
  <c r="Z26" i="72" s="1"/>
  <c r="R26" i="72"/>
  <c r="N26" i="72"/>
  <c r="L26" i="72"/>
  <c r="B26" i="72"/>
  <c r="X25" i="72"/>
  <c r="Z25" i="72" s="1"/>
  <c r="N25" i="72"/>
  <c r="L25" i="72"/>
  <c r="J25" i="72"/>
  <c r="B25" i="72"/>
  <c r="X24" i="72"/>
  <c r="Z24" i="72" s="1"/>
  <c r="N24" i="72"/>
  <c r="L24" i="72"/>
  <c r="F24" i="72"/>
  <c r="B24" i="72"/>
  <c r="Z23" i="72"/>
  <c r="X23" i="72"/>
  <c r="N23" i="72"/>
  <c r="L23" i="72"/>
  <c r="J23" i="72"/>
  <c r="F23" i="72"/>
  <c r="B23" i="72"/>
  <c r="T22" i="72"/>
  <c r="P22" i="72"/>
  <c r="L22" i="72"/>
  <c r="H22" i="72"/>
  <c r="N22" i="72" s="1"/>
  <c r="F22" i="72"/>
  <c r="D22" i="72"/>
  <c r="B22" i="72"/>
  <c r="V21" i="72"/>
  <c r="T21" i="72"/>
  <c r="P21" i="72"/>
  <c r="X21" i="72" s="1"/>
  <c r="Z21" i="72" s="1"/>
  <c r="H21" i="72"/>
  <c r="D21" i="72"/>
  <c r="L21" i="72" s="1"/>
  <c r="H19" i="72"/>
  <c r="Z17" i="72"/>
  <c r="X17" i="72"/>
  <c r="V17" i="72"/>
  <c r="N17" i="72"/>
  <c r="L17" i="72"/>
  <c r="J17" i="72"/>
  <c r="B17" i="72"/>
  <c r="Z16" i="72"/>
  <c r="X16" i="72"/>
  <c r="R16" i="72"/>
  <c r="L16" i="72"/>
  <c r="N16" i="72" s="1"/>
  <c r="J16" i="72"/>
  <c r="B16" i="72"/>
  <c r="T15" i="72"/>
  <c r="P15" i="72"/>
  <c r="X15" i="72" s="1"/>
  <c r="J15" i="72"/>
  <c r="H15" i="72"/>
  <c r="D15" i="72"/>
  <c r="L15" i="72" s="1"/>
  <c r="N15" i="72" s="1"/>
  <c r="P13" i="72"/>
  <c r="P12" i="72" s="1"/>
  <c r="D13" i="72"/>
  <c r="L13" i="72" s="1"/>
  <c r="N13" i="72" s="1"/>
  <c r="B13" i="72"/>
  <c r="X12" i="72"/>
  <c r="T12" i="72"/>
  <c r="V64" i="72" s="1"/>
  <c r="H12" i="72"/>
  <c r="D12" i="72"/>
  <c r="F61" i="72" s="1"/>
  <c r="D6" i="72"/>
  <c r="D4" i="72"/>
  <c r="X114" i="70"/>
  <c r="Z114" i="70" s="1"/>
  <c r="N114" i="70"/>
  <c r="L114" i="70"/>
  <c r="Z110" i="70"/>
  <c r="X110" i="70"/>
  <c r="P110" i="70"/>
  <c r="N110" i="70"/>
  <c r="D110" i="70"/>
  <c r="L110" i="70" s="1"/>
  <c r="B110" i="70"/>
  <c r="P109" i="70"/>
  <c r="X109" i="70" s="1"/>
  <c r="Z109" i="70" s="1"/>
  <c r="N109" i="70"/>
  <c r="D109" i="70"/>
  <c r="L109" i="70" s="1"/>
  <c r="B109" i="70"/>
  <c r="X108" i="70"/>
  <c r="Z108" i="70" s="1"/>
  <c r="P108" i="70"/>
  <c r="D108" i="70"/>
  <c r="L108" i="70" s="1"/>
  <c r="N108" i="70" s="1"/>
  <c r="B108" i="70"/>
  <c r="T107" i="70"/>
  <c r="P107" i="70"/>
  <c r="X107" i="70" s="1"/>
  <c r="Z107" i="70" s="1"/>
  <c r="H107" i="70"/>
  <c r="D107" i="70"/>
  <c r="L107" i="70" s="1"/>
  <c r="N107" i="70" s="1"/>
  <c r="Z105" i="70"/>
  <c r="X105" i="70"/>
  <c r="N105" i="70"/>
  <c r="L105" i="70"/>
  <c r="B105" i="70"/>
  <c r="T104" i="70"/>
  <c r="Z104" i="70" s="1"/>
  <c r="P104" i="70"/>
  <c r="X104" i="70" s="1"/>
  <c r="L104" i="70"/>
  <c r="H104" i="70"/>
  <c r="N104" i="70" s="1"/>
  <c r="D104" i="70"/>
  <c r="B104" i="70"/>
  <c r="X103" i="70"/>
  <c r="Z103" i="70" s="1"/>
  <c r="N103" i="70"/>
  <c r="L103" i="70"/>
  <c r="B103" i="70"/>
  <c r="X102" i="70"/>
  <c r="Z102" i="70" s="1"/>
  <c r="N102" i="70"/>
  <c r="L102" i="70"/>
  <c r="B102" i="70"/>
  <c r="Z101" i="70"/>
  <c r="X101" i="70"/>
  <c r="T101" i="70"/>
  <c r="P101" i="70"/>
  <c r="L101" i="70"/>
  <c r="N101" i="70" s="1"/>
  <c r="H101" i="70"/>
  <c r="D101" i="70"/>
  <c r="B101" i="70"/>
  <c r="Z100" i="70"/>
  <c r="X100" i="70"/>
  <c r="L100" i="70"/>
  <c r="N100" i="70" s="1"/>
  <c r="B100" i="70"/>
  <c r="Z99" i="70"/>
  <c r="X99" i="70"/>
  <c r="N99" i="70"/>
  <c r="L99" i="70"/>
  <c r="B99" i="70"/>
  <c r="Z98" i="70"/>
  <c r="X98" i="70"/>
  <c r="L98" i="70"/>
  <c r="N98" i="70" s="1"/>
  <c r="B98" i="70"/>
  <c r="T97" i="70"/>
  <c r="Z97" i="70" s="1"/>
  <c r="P97" i="70"/>
  <c r="X97" i="70" s="1"/>
  <c r="H97" i="70"/>
  <c r="D97" i="70"/>
  <c r="L97" i="70" s="1"/>
  <c r="N97" i="70" s="1"/>
  <c r="B97" i="70"/>
  <c r="X96" i="70"/>
  <c r="Z96" i="70" s="1"/>
  <c r="L96" i="70"/>
  <c r="N96" i="70" s="1"/>
  <c r="B96" i="70"/>
  <c r="T95" i="70"/>
  <c r="Z95" i="70" s="1"/>
  <c r="P95" i="70"/>
  <c r="X95" i="70" s="1"/>
  <c r="H95" i="70"/>
  <c r="D95" i="70"/>
  <c r="L95" i="70" s="1"/>
  <c r="B95" i="70"/>
  <c r="X94" i="70"/>
  <c r="Z94" i="70" s="1"/>
  <c r="N94" i="70"/>
  <c r="L94" i="70"/>
  <c r="B94" i="70"/>
  <c r="Z93" i="70"/>
  <c r="X93" i="70"/>
  <c r="N93" i="70"/>
  <c r="L93" i="70"/>
  <c r="B93" i="70"/>
  <c r="T92" i="70"/>
  <c r="P92" i="70"/>
  <c r="H92" i="70"/>
  <c r="D92" i="70"/>
  <c r="L92" i="70" s="1"/>
  <c r="B92" i="70"/>
  <c r="Z91" i="70"/>
  <c r="X91" i="70"/>
  <c r="N91" i="70"/>
  <c r="L91" i="70"/>
  <c r="B91" i="70"/>
  <c r="T90" i="70"/>
  <c r="P90" i="70"/>
  <c r="X90" i="70" s="1"/>
  <c r="H90" i="70"/>
  <c r="D90" i="70"/>
  <c r="L90" i="70" s="1"/>
  <c r="N90" i="70" s="1"/>
  <c r="B90" i="70"/>
  <c r="Z89" i="70"/>
  <c r="X89" i="70"/>
  <c r="N89" i="70"/>
  <c r="L89" i="70"/>
  <c r="B89" i="70"/>
  <c r="X88" i="70"/>
  <c r="Z88" i="70" s="1"/>
  <c r="N88" i="70"/>
  <c r="L88" i="70"/>
  <c r="B88" i="70"/>
  <c r="T87" i="70"/>
  <c r="P87" i="70"/>
  <c r="X87" i="70" s="1"/>
  <c r="Z87" i="70" s="1"/>
  <c r="N87" i="70"/>
  <c r="H87" i="70"/>
  <c r="D87" i="70"/>
  <c r="L87" i="70" s="1"/>
  <c r="B87" i="70"/>
  <c r="Z86" i="70"/>
  <c r="X86" i="70"/>
  <c r="N86" i="70"/>
  <c r="L86" i="70"/>
  <c r="B86" i="70"/>
  <c r="Z85" i="70"/>
  <c r="X85" i="70"/>
  <c r="N85" i="70"/>
  <c r="L85" i="70"/>
  <c r="B85" i="70"/>
  <c r="T84" i="70"/>
  <c r="P84" i="70"/>
  <c r="H84" i="70"/>
  <c r="D84" i="70"/>
  <c r="L84" i="70" s="1"/>
  <c r="B84" i="70"/>
  <c r="Z83" i="70"/>
  <c r="X83" i="70"/>
  <c r="N83" i="70"/>
  <c r="L83" i="70"/>
  <c r="B83" i="70"/>
  <c r="T82" i="70"/>
  <c r="P82" i="70"/>
  <c r="X82" i="70" s="1"/>
  <c r="H82" i="70"/>
  <c r="D82" i="70"/>
  <c r="L82" i="70" s="1"/>
  <c r="N82" i="70" s="1"/>
  <c r="B82" i="70"/>
  <c r="Z81" i="70"/>
  <c r="X81" i="70"/>
  <c r="N81" i="70"/>
  <c r="L81" i="70"/>
  <c r="B81" i="70"/>
  <c r="T80" i="70"/>
  <c r="P80" i="70"/>
  <c r="X80" i="70" s="1"/>
  <c r="L80" i="70"/>
  <c r="H80" i="70"/>
  <c r="N80" i="70" s="1"/>
  <c r="D80" i="70"/>
  <c r="B80" i="70"/>
  <c r="X79" i="70"/>
  <c r="Z79" i="70" s="1"/>
  <c r="N79" i="70"/>
  <c r="L79" i="70"/>
  <c r="B79" i="70"/>
  <c r="T78" i="70"/>
  <c r="P78" i="70"/>
  <c r="L78" i="70"/>
  <c r="H78" i="70"/>
  <c r="D78" i="70"/>
  <c r="B78" i="70"/>
  <c r="Z77" i="70"/>
  <c r="X77" i="70"/>
  <c r="N77" i="70"/>
  <c r="L77" i="70"/>
  <c r="B77" i="70"/>
  <c r="T76" i="70"/>
  <c r="P76" i="70"/>
  <c r="X76" i="70" s="1"/>
  <c r="H76" i="70"/>
  <c r="D76" i="70"/>
  <c r="B76" i="70"/>
  <c r="Z75" i="70"/>
  <c r="X75" i="70"/>
  <c r="N75" i="70"/>
  <c r="L75" i="70"/>
  <c r="B75" i="70"/>
  <c r="Z74" i="70"/>
  <c r="X74" i="70"/>
  <c r="N74" i="70"/>
  <c r="L74" i="70"/>
  <c r="B74" i="70"/>
  <c r="Z73" i="70"/>
  <c r="X73" i="70"/>
  <c r="N73" i="70"/>
  <c r="L73" i="70"/>
  <c r="B73" i="70"/>
  <c r="X72" i="70"/>
  <c r="Z72" i="70" s="1"/>
  <c r="L72" i="70"/>
  <c r="N72" i="70" s="1"/>
  <c r="B72" i="70"/>
  <c r="Z71" i="70"/>
  <c r="X71" i="70"/>
  <c r="N71" i="70"/>
  <c r="L71" i="70"/>
  <c r="B71" i="70"/>
  <c r="X70" i="70"/>
  <c r="Z70" i="70" s="1"/>
  <c r="L70" i="70"/>
  <c r="N70" i="70" s="1"/>
  <c r="B70" i="70"/>
  <c r="Z69" i="70"/>
  <c r="X69" i="70"/>
  <c r="N69" i="70"/>
  <c r="L69" i="70"/>
  <c r="B69" i="70"/>
  <c r="Z68" i="70"/>
  <c r="X68" i="70"/>
  <c r="N68" i="70"/>
  <c r="L68" i="70"/>
  <c r="B68" i="70"/>
  <c r="Z67" i="70"/>
  <c r="X67" i="70"/>
  <c r="L67" i="70"/>
  <c r="N67" i="70" s="1"/>
  <c r="B67" i="70"/>
  <c r="Z66" i="70"/>
  <c r="X66" i="70"/>
  <c r="N66" i="70"/>
  <c r="L66" i="70"/>
  <c r="B66" i="70"/>
  <c r="T65" i="70"/>
  <c r="P65" i="70"/>
  <c r="X65" i="70" s="1"/>
  <c r="Z65" i="70" s="1"/>
  <c r="H65" i="70"/>
  <c r="D65" i="70"/>
  <c r="L65" i="70" s="1"/>
  <c r="N65" i="70" s="1"/>
  <c r="B65" i="70"/>
  <c r="X64" i="70"/>
  <c r="Z64" i="70" s="1"/>
  <c r="N64" i="70"/>
  <c r="L64" i="70"/>
  <c r="B64" i="70"/>
  <c r="X63" i="70"/>
  <c r="Z63" i="70" s="1"/>
  <c r="N63" i="70"/>
  <c r="L63" i="70"/>
  <c r="B63" i="70"/>
  <c r="X62" i="70"/>
  <c r="Z62" i="70" s="1"/>
  <c r="N62" i="70"/>
  <c r="L62" i="70"/>
  <c r="B62" i="70"/>
  <c r="Z61" i="70"/>
  <c r="X61" i="70"/>
  <c r="N61" i="70"/>
  <c r="L61" i="70"/>
  <c r="B61" i="70"/>
  <c r="Z60" i="70"/>
  <c r="X60" i="70"/>
  <c r="N60" i="70"/>
  <c r="L60" i="70"/>
  <c r="B60" i="70"/>
  <c r="X59" i="70"/>
  <c r="Z59" i="70" s="1"/>
  <c r="N59" i="70"/>
  <c r="L59" i="70"/>
  <c r="B59" i="70"/>
  <c r="X58" i="70"/>
  <c r="Z58" i="70" s="1"/>
  <c r="N58" i="70"/>
  <c r="L58" i="70"/>
  <c r="B58" i="70"/>
  <c r="Z57" i="70"/>
  <c r="X57" i="70"/>
  <c r="N57" i="70"/>
  <c r="L57" i="70"/>
  <c r="B57" i="70"/>
  <c r="X56" i="70"/>
  <c r="Z56" i="70" s="1"/>
  <c r="N56" i="70"/>
  <c r="L56" i="70"/>
  <c r="B56" i="70"/>
  <c r="X55" i="70"/>
  <c r="Z55" i="70" s="1"/>
  <c r="N55" i="70"/>
  <c r="L55" i="70"/>
  <c r="B55" i="70"/>
  <c r="X54" i="70"/>
  <c r="T54" i="70"/>
  <c r="Z54" i="70" s="1"/>
  <c r="P54" i="70"/>
  <c r="H54" i="70"/>
  <c r="D54" i="70"/>
  <c r="B54" i="70"/>
  <c r="T53" i="70"/>
  <c r="P53" i="70"/>
  <c r="X53" i="70" s="1"/>
  <c r="H53" i="70"/>
  <c r="D53" i="70"/>
  <c r="L53" i="70" s="1"/>
  <c r="N53" i="70" s="1"/>
  <c r="Z49" i="70"/>
  <c r="X49" i="70"/>
  <c r="N49" i="70"/>
  <c r="L49" i="70"/>
  <c r="B49" i="70"/>
  <c r="Z48" i="70"/>
  <c r="X48" i="70"/>
  <c r="N48" i="70"/>
  <c r="L48" i="70"/>
  <c r="B48" i="70"/>
  <c r="Z47" i="70"/>
  <c r="X47" i="70"/>
  <c r="N47" i="70"/>
  <c r="L47" i="70"/>
  <c r="B47" i="70"/>
  <c r="Z46" i="70"/>
  <c r="X46" i="70"/>
  <c r="N46" i="70"/>
  <c r="L46" i="70"/>
  <c r="B46" i="70"/>
  <c r="Z45" i="70"/>
  <c r="X45" i="70"/>
  <c r="N45" i="70"/>
  <c r="L45" i="70"/>
  <c r="B45" i="70"/>
  <c r="Z44" i="70"/>
  <c r="X44" i="70"/>
  <c r="N44" i="70"/>
  <c r="L44" i="70"/>
  <c r="B44" i="70"/>
  <c r="Z43" i="70"/>
  <c r="X43" i="70"/>
  <c r="N43" i="70"/>
  <c r="L43" i="70"/>
  <c r="B43" i="70"/>
  <c r="Z42" i="70"/>
  <c r="X42" i="70"/>
  <c r="N42" i="70"/>
  <c r="L42" i="70"/>
  <c r="B42" i="70"/>
  <c r="Z41" i="70"/>
  <c r="X41" i="70"/>
  <c r="N41" i="70"/>
  <c r="L41" i="70"/>
  <c r="B41" i="70"/>
  <c r="Z40" i="70"/>
  <c r="X40" i="70"/>
  <c r="N40" i="70"/>
  <c r="L40" i="70"/>
  <c r="B40" i="70"/>
  <c r="Z39" i="70"/>
  <c r="X39" i="70"/>
  <c r="N39" i="70"/>
  <c r="L39" i="70"/>
  <c r="B39" i="70"/>
  <c r="Z38" i="70"/>
  <c r="X38" i="70"/>
  <c r="N38" i="70"/>
  <c r="L38" i="70"/>
  <c r="B38" i="70"/>
  <c r="Z37" i="70"/>
  <c r="X37" i="70"/>
  <c r="N37" i="70"/>
  <c r="L37" i="70"/>
  <c r="B37" i="70"/>
  <c r="Z36" i="70"/>
  <c r="X36" i="70"/>
  <c r="N36" i="70"/>
  <c r="L36" i="70"/>
  <c r="B36" i="70"/>
  <c r="Z35" i="70"/>
  <c r="X35" i="70"/>
  <c r="L35" i="70"/>
  <c r="N35" i="70" s="1"/>
  <c r="B35" i="70"/>
  <c r="T34" i="70"/>
  <c r="P34" i="70"/>
  <c r="X34" i="70" s="1"/>
  <c r="Z34" i="70" s="1"/>
  <c r="H34" i="70"/>
  <c r="D34" i="70"/>
  <c r="L34" i="70" s="1"/>
  <c r="N34" i="70" s="1"/>
  <c r="Z32" i="70"/>
  <c r="P32" i="70"/>
  <c r="X32" i="70" s="1"/>
  <c r="N32" i="70"/>
  <c r="D32" i="70"/>
  <c r="L32" i="70" s="1"/>
  <c r="B32" i="70"/>
  <c r="Z31" i="70"/>
  <c r="X31" i="70"/>
  <c r="P31" i="70"/>
  <c r="N31" i="70"/>
  <c r="D31" i="70"/>
  <c r="L31" i="70" s="1"/>
  <c r="B31" i="70"/>
  <c r="Z30" i="70"/>
  <c r="X30" i="70"/>
  <c r="P30" i="70"/>
  <c r="N30" i="70"/>
  <c r="L30" i="70"/>
  <c r="D30" i="70"/>
  <c r="B30" i="70"/>
  <c r="Z29" i="70"/>
  <c r="P29" i="70"/>
  <c r="X29" i="70" s="1"/>
  <c r="N29" i="70"/>
  <c r="L29" i="70"/>
  <c r="D29" i="70"/>
  <c r="B29" i="70"/>
  <c r="Z28" i="70"/>
  <c r="X28" i="70"/>
  <c r="P28" i="70"/>
  <c r="N28" i="70"/>
  <c r="L28" i="70"/>
  <c r="D28" i="70"/>
  <c r="B28" i="70"/>
  <c r="Z27" i="70"/>
  <c r="X27" i="70"/>
  <c r="P27" i="70"/>
  <c r="N27" i="70"/>
  <c r="L27" i="70"/>
  <c r="D27" i="70"/>
  <c r="B27" i="70"/>
  <c r="Z26" i="70"/>
  <c r="P26" i="70"/>
  <c r="X26" i="70" s="1"/>
  <c r="N26" i="70"/>
  <c r="D26" i="70"/>
  <c r="L26" i="70" s="1"/>
  <c r="B26" i="70"/>
  <c r="Z25" i="70"/>
  <c r="P25" i="70"/>
  <c r="X25" i="70" s="1"/>
  <c r="N25" i="70"/>
  <c r="L25" i="70"/>
  <c r="D25" i="70"/>
  <c r="B25" i="70"/>
  <c r="Z24" i="70"/>
  <c r="P24" i="70"/>
  <c r="X24" i="70" s="1"/>
  <c r="N24" i="70"/>
  <c r="L24" i="70"/>
  <c r="D24" i="70"/>
  <c r="B24" i="70"/>
  <c r="Z23" i="70"/>
  <c r="P23" i="70"/>
  <c r="X23" i="70" s="1"/>
  <c r="N23" i="70"/>
  <c r="D23" i="70"/>
  <c r="L23" i="70" s="1"/>
  <c r="B23" i="70"/>
  <c r="Z22" i="70"/>
  <c r="P22" i="70"/>
  <c r="X22" i="70" s="1"/>
  <c r="N22" i="70"/>
  <c r="D22" i="70"/>
  <c r="L22" i="70" s="1"/>
  <c r="B22" i="70"/>
  <c r="Z21" i="70"/>
  <c r="X21" i="70"/>
  <c r="P21" i="70"/>
  <c r="N21" i="70"/>
  <c r="L21" i="70"/>
  <c r="D21" i="70"/>
  <c r="B21" i="70"/>
  <c r="Z20" i="70"/>
  <c r="X20" i="70"/>
  <c r="P20" i="70"/>
  <c r="N20" i="70"/>
  <c r="D20" i="70"/>
  <c r="L20" i="70" s="1"/>
  <c r="B20" i="70"/>
  <c r="Z19" i="70"/>
  <c r="X19" i="70"/>
  <c r="P19" i="70"/>
  <c r="N19" i="70"/>
  <c r="D19" i="70"/>
  <c r="L19" i="70" s="1"/>
  <c r="B19" i="70"/>
  <c r="Z18" i="70"/>
  <c r="X18" i="70"/>
  <c r="P18" i="70"/>
  <c r="N18" i="70"/>
  <c r="L18" i="70"/>
  <c r="D18" i="70"/>
  <c r="B18" i="70"/>
  <c r="Z17" i="70"/>
  <c r="P17" i="70"/>
  <c r="X17" i="70" s="1"/>
  <c r="N17" i="70"/>
  <c r="L17" i="70"/>
  <c r="D17" i="70"/>
  <c r="B17" i="70"/>
  <c r="Z16" i="70"/>
  <c r="X16" i="70"/>
  <c r="P16" i="70"/>
  <c r="N16" i="70"/>
  <c r="L16" i="70"/>
  <c r="D16" i="70"/>
  <c r="B16" i="70"/>
  <c r="Z15" i="70"/>
  <c r="X15" i="70"/>
  <c r="P15" i="70"/>
  <c r="N15" i="70"/>
  <c r="L15" i="70"/>
  <c r="D15" i="70"/>
  <c r="B15" i="70"/>
  <c r="Z14" i="70"/>
  <c r="P14" i="70"/>
  <c r="X14" i="70" s="1"/>
  <c r="N14" i="70"/>
  <c r="D14" i="70"/>
  <c r="L14" i="70" s="1"/>
  <c r="B14" i="70"/>
  <c r="P13" i="70"/>
  <c r="L13" i="70"/>
  <c r="N13" i="70" s="1"/>
  <c r="D13" i="70"/>
  <c r="B13" i="70"/>
  <c r="T12" i="70"/>
  <c r="V99" i="70" s="1"/>
  <c r="H12" i="70"/>
  <c r="J104" i="70" s="1"/>
  <c r="D6" i="70"/>
  <c r="D4" i="70"/>
  <c r="Z67" i="69"/>
  <c r="X67" i="69"/>
  <c r="N67" i="69"/>
  <c r="L67" i="69"/>
  <c r="T63" i="69"/>
  <c r="Z63" i="69" s="1"/>
  <c r="P63" i="69"/>
  <c r="N63" i="69"/>
  <c r="H63" i="69"/>
  <c r="D63" i="69"/>
  <c r="L63" i="69" s="1"/>
  <c r="Z61" i="69"/>
  <c r="X61" i="69"/>
  <c r="N61" i="69"/>
  <c r="L61" i="69"/>
  <c r="B61" i="69"/>
  <c r="Z60" i="69"/>
  <c r="X60" i="69"/>
  <c r="T60" i="69"/>
  <c r="R60" i="69"/>
  <c r="P60" i="69"/>
  <c r="N60" i="69"/>
  <c r="H60" i="69"/>
  <c r="L60" i="69" s="1"/>
  <c r="D60" i="69"/>
  <c r="B60" i="69"/>
  <c r="Z59" i="69"/>
  <c r="X59" i="69"/>
  <c r="N59" i="69"/>
  <c r="L59" i="69"/>
  <c r="B59" i="69"/>
  <c r="Z58" i="69"/>
  <c r="X58" i="69"/>
  <c r="R58" i="69"/>
  <c r="N58" i="69"/>
  <c r="L58" i="69"/>
  <c r="B58" i="69"/>
  <c r="Z57" i="69"/>
  <c r="T57" i="69"/>
  <c r="P57" i="69"/>
  <c r="X57" i="69" s="1"/>
  <c r="H57" i="69"/>
  <c r="N57" i="69" s="1"/>
  <c r="D57" i="69"/>
  <c r="L57" i="69" s="1"/>
  <c r="B57" i="69"/>
  <c r="Z56" i="69"/>
  <c r="X56" i="69"/>
  <c r="N56" i="69"/>
  <c r="L56" i="69"/>
  <c r="B56" i="69"/>
  <c r="Z55" i="69"/>
  <c r="X55" i="69"/>
  <c r="N55" i="69"/>
  <c r="L55" i="69"/>
  <c r="B55" i="69"/>
  <c r="Z54" i="69"/>
  <c r="T54" i="69"/>
  <c r="P54" i="69"/>
  <c r="X54" i="69" s="1"/>
  <c r="H54" i="69"/>
  <c r="N54" i="69" s="1"/>
  <c r="D54" i="69"/>
  <c r="L54" i="69" s="1"/>
  <c r="B54" i="69"/>
  <c r="Z53" i="69"/>
  <c r="X53" i="69"/>
  <c r="N53" i="69"/>
  <c r="L53" i="69"/>
  <c r="B53" i="69"/>
  <c r="Z52" i="69"/>
  <c r="X52" i="69"/>
  <c r="N52" i="69"/>
  <c r="L52" i="69"/>
  <c r="B52" i="69"/>
  <c r="Z51" i="69"/>
  <c r="T51" i="69"/>
  <c r="P51" i="69"/>
  <c r="X51" i="69" s="1"/>
  <c r="L51" i="69"/>
  <c r="H51" i="69"/>
  <c r="N51" i="69" s="1"/>
  <c r="D51" i="69"/>
  <c r="B51" i="69"/>
  <c r="Z50" i="69"/>
  <c r="X50" i="69"/>
  <c r="N50" i="69"/>
  <c r="L50" i="69"/>
  <c r="J50" i="69"/>
  <c r="B50" i="69"/>
  <c r="Z49" i="69"/>
  <c r="T49" i="69"/>
  <c r="P49" i="69"/>
  <c r="X49" i="69" s="1"/>
  <c r="N49" i="69"/>
  <c r="H49" i="69"/>
  <c r="D49" i="69"/>
  <c r="B49" i="69"/>
  <c r="Z48" i="69"/>
  <c r="X48" i="69"/>
  <c r="N48" i="69"/>
  <c r="L48" i="69"/>
  <c r="B48" i="69"/>
  <c r="X47" i="69"/>
  <c r="T47" i="69"/>
  <c r="Z47" i="69" s="1"/>
  <c r="P47" i="69"/>
  <c r="J47" i="69"/>
  <c r="H47" i="69"/>
  <c r="N47" i="69" s="1"/>
  <c r="D47" i="69"/>
  <c r="L47" i="69" s="1"/>
  <c r="B47" i="69"/>
  <c r="Z46" i="69"/>
  <c r="X46" i="69"/>
  <c r="N46" i="69"/>
  <c r="L46" i="69"/>
  <c r="F46" i="69"/>
  <c r="B46" i="69"/>
  <c r="X45" i="69"/>
  <c r="T45" i="69"/>
  <c r="Z45" i="69" s="1"/>
  <c r="P45" i="69"/>
  <c r="N45" i="69"/>
  <c r="H45" i="69"/>
  <c r="F45" i="69"/>
  <c r="D45" i="69"/>
  <c r="L45" i="69" s="1"/>
  <c r="B45" i="69"/>
  <c r="Z44" i="69"/>
  <c r="X44" i="69"/>
  <c r="N44" i="69"/>
  <c r="L44" i="69"/>
  <c r="B44" i="69"/>
  <c r="Z43" i="69"/>
  <c r="T43" i="69"/>
  <c r="P43" i="69"/>
  <c r="N43" i="69"/>
  <c r="H43" i="69"/>
  <c r="D43" i="69"/>
  <c r="L43" i="69" s="1"/>
  <c r="B43" i="69"/>
  <c r="Z42" i="69"/>
  <c r="X42" i="69"/>
  <c r="V42" i="69"/>
  <c r="N42" i="69"/>
  <c r="L42" i="69"/>
  <c r="B42" i="69"/>
  <c r="T41" i="69"/>
  <c r="Z41" i="69" s="1"/>
  <c r="P41" i="69"/>
  <c r="X41" i="69" s="1"/>
  <c r="L41" i="69"/>
  <c r="H41" i="69"/>
  <c r="N41" i="69" s="1"/>
  <c r="D41" i="69"/>
  <c r="B41" i="69"/>
  <c r="Z40" i="69"/>
  <c r="X40" i="69"/>
  <c r="N40" i="69"/>
  <c r="L40" i="69"/>
  <c r="J40" i="69"/>
  <c r="B40" i="69"/>
  <c r="Z39" i="69"/>
  <c r="X39" i="69"/>
  <c r="N39" i="69"/>
  <c r="L39" i="69"/>
  <c r="F39" i="69"/>
  <c r="B39" i="69"/>
  <c r="Z38" i="69"/>
  <c r="X38" i="69"/>
  <c r="N38" i="69"/>
  <c r="L38" i="69"/>
  <c r="F38" i="69"/>
  <c r="B38" i="69"/>
  <c r="Z37" i="69"/>
  <c r="X37" i="69"/>
  <c r="N37" i="69"/>
  <c r="L37" i="69"/>
  <c r="B37" i="69"/>
  <c r="Z36" i="69"/>
  <c r="X36" i="69"/>
  <c r="N36" i="69"/>
  <c r="L36" i="69"/>
  <c r="J36" i="69"/>
  <c r="B36" i="69"/>
  <c r="Z35" i="69"/>
  <c r="X35" i="69"/>
  <c r="N35" i="69"/>
  <c r="L35" i="69"/>
  <c r="F35" i="69"/>
  <c r="B35" i="69"/>
  <c r="Z34" i="69"/>
  <c r="X34" i="69"/>
  <c r="N34" i="69"/>
  <c r="L34" i="69"/>
  <c r="F34" i="69"/>
  <c r="B34" i="69"/>
  <c r="Z33" i="69"/>
  <c r="X33" i="69"/>
  <c r="N33" i="69"/>
  <c r="L33" i="69"/>
  <c r="J33" i="69"/>
  <c r="B33" i="69"/>
  <c r="Z32" i="69"/>
  <c r="X32" i="69"/>
  <c r="N32" i="69"/>
  <c r="L32" i="69"/>
  <c r="B32" i="69"/>
  <c r="Z31" i="69"/>
  <c r="X31" i="69"/>
  <c r="N31" i="69"/>
  <c r="L31" i="69"/>
  <c r="F31" i="69"/>
  <c r="B31" i="69"/>
  <c r="T30" i="69"/>
  <c r="P30" i="69"/>
  <c r="N30" i="69"/>
  <c r="L30" i="69"/>
  <c r="H30" i="69"/>
  <c r="F30" i="69"/>
  <c r="D30" i="69"/>
  <c r="B30" i="69"/>
  <c r="Z29" i="69"/>
  <c r="X29" i="69"/>
  <c r="N29" i="69"/>
  <c r="L29" i="69"/>
  <c r="B29" i="69"/>
  <c r="Z28" i="69"/>
  <c r="X28" i="69"/>
  <c r="V28" i="69"/>
  <c r="N28" i="69"/>
  <c r="L28" i="69"/>
  <c r="B28" i="69"/>
  <c r="Z27" i="69"/>
  <c r="X27" i="69"/>
  <c r="R27" i="69"/>
  <c r="N27" i="69"/>
  <c r="L27" i="69"/>
  <c r="B27" i="69"/>
  <c r="Z26" i="69"/>
  <c r="X26" i="69"/>
  <c r="N26" i="69"/>
  <c r="L26" i="69"/>
  <c r="J26" i="69"/>
  <c r="B26" i="69"/>
  <c r="Z25" i="69"/>
  <c r="X25" i="69"/>
  <c r="V25" i="69"/>
  <c r="N25" i="69"/>
  <c r="L25" i="69"/>
  <c r="F25" i="69"/>
  <c r="B25" i="69"/>
  <c r="Z24" i="69"/>
  <c r="X24" i="69"/>
  <c r="V24" i="69"/>
  <c r="N24" i="69"/>
  <c r="L24" i="69"/>
  <c r="B24" i="69"/>
  <c r="Z23" i="69"/>
  <c r="X23" i="69"/>
  <c r="R23" i="69"/>
  <c r="N23" i="69"/>
  <c r="L23" i="69"/>
  <c r="B23" i="69"/>
  <c r="Z22" i="69"/>
  <c r="X22" i="69"/>
  <c r="N22" i="69"/>
  <c r="L22" i="69"/>
  <c r="J22" i="69"/>
  <c r="B22" i="69"/>
  <c r="Z21" i="69"/>
  <c r="V21" i="69"/>
  <c r="T21" i="69"/>
  <c r="P21" i="69"/>
  <c r="X21" i="69" s="1"/>
  <c r="N21" i="69"/>
  <c r="H21" i="69"/>
  <c r="D21" i="69"/>
  <c r="L21" i="69" s="1"/>
  <c r="B21" i="69"/>
  <c r="T20" i="69"/>
  <c r="Z20" i="69" s="1"/>
  <c r="P20" i="69"/>
  <c r="X20" i="69" s="1"/>
  <c r="N20" i="69"/>
  <c r="J20" i="69"/>
  <c r="H20" i="69"/>
  <c r="F20" i="69"/>
  <c r="D20" i="69"/>
  <c r="L20" i="69" s="1"/>
  <c r="H18" i="69"/>
  <c r="H65" i="69" s="1"/>
  <c r="N65" i="69" s="1"/>
  <c r="F18" i="69"/>
  <c r="Z16" i="69"/>
  <c r="X16" i="69"/>
  <c r="N16" i="69"/>
  <c r="L16" i="69"/>
  <c r="B16" i="69"/>
  <c r="Z15" i="69"/>
  <c r="X15" i="69"/>
  <c r="V15" i="69"/>
  <c r="T15" i="69"/>
  <c r="P15" i="69"/>
  <c r="H15" i="69"/>
  <c r="N15" i="69" s="1"/>
  <c r="D15" i="69"/>
  <c r="D18" i="69" s="1"/>
  <c r="P13" i="69"/>
  <c r="P12" i="69" s="1"/>
  <c r="R53" i="69" s="1"/>
  <c r="N13" i="69"/>
  <c r="L13" i="69"/>
  <c r="D13" i="69"/>
  <c r="B13" i="69"/>
  <c r="X12" i="69"/>
  <c r="T12" i="69"/>
  <c r="T18" i="69" s="1"/>
  <c r="L12" i="69"/>
  <c r="H12" i="69"/>
  <c r="J16" i="69" s="1"/>
  <c r="D12" i="69"/>
  <c r="F63" i="69" s="1"/>
  <c r="D6" i="69"/>
  <c r="D4" i="69"/>
  <c r="X94" i="68"/>
  <c r="Z94" i="68" s="1"/>
  <c r="N94" i="68"/>
  <c r="L94" i="68"/>
  <c r="T90" i="68"/>
  <c r="Z90" i="68" s="1"/>
  <c r="P90" i="68"/>
  <c r="X90" i="68" s="1"/>
  <c r="N90" i="68"/>
  <c r="L90" i="68"/>
  <c r="H90" i="68"/>
  <c r="D90" i="68"/>
  <c r="Z88" i="68"/>
  <c r="X88" i="68"/>
  <c r="N88" i="68"/>
  <c r="L88" i="68"/>
  <c r="B88" i="68"/>
  <c r="X87" i="68"/>
  <c r="T87" i="68"/>
  <c r="P87" i="68"/>
  <c r="H87" i="68"/>
  <c r="N87" i="68" s="1"/>
  <c r="D87" i="68"/>
  <c r="L87" i="68" s="1"/>
  <c r="B87" i="68"/>
  <c r="Z86" i="68"/>
  <c r="X86" i="68"/>
  <c r="N86" i="68"/>
  <c r="L86" i="68"/>
  <c r="B86" i="68"/>
  <c r="X85" i="68"/>
  <c r="Z85" i="68" s="1"/>
  <c r="N85" i="68"/>
  <c r="L85" i="68"/>
  <c r="B85" i="68"/>
  <c r="T84" i="68"/>
  <c r="P84" i="68"/>
  <c r="N84" i="68"/>
  <c r="H84" i="68"/>
  <c r="L84" i="68" s="1"/>
  <c r="D84" i="68"/>
  <c r="B84" i="68"/>
  <c r="Z83" i="68"/>
  <c r="X83" i="68"/>
  <c r="N83" i="68"/>
  <c r="L83" i="68"/>
  <c r="B83" i="68"/>
  <c r="Z82" i="68"/>
  <c r="X82" i="68"/>
  <c r="L82" i="68"/>
  <c r="N82" i="68" s="1"/>
  <c r="J82" i="68"/>
  <c r="B82" i="68"/>
  <c r="Z81" i="68"/>
  <c r="X81" i="68"/>
  <c r="N81" i="68"/>
  <c r="L81" i="68"/>
  <c r="B81" i="68"/>
  <c r="Z80" i="68"/>
  <c r="X80" i="68"/>
  <c r="V80" i="68"/>
  <c r="L80" i="68"/>
  <c r="N80" i="68" s="1"/>
  <c r="B80" i="68"/>
  <c r="T79" i="68"/>
  <c r="P79" i="68"/>
  <c r="H79" i="68"/>
  <c r="D79" i="68"/>
  <c r="L79" i="68" s="1"/>
  <c r="B79" i="68"/>
  <c r="X78" i="68"/>
  <c r="Z78" i="68" s="1"/>
  <c r="V78" i="68"/>
  <c r="N78" i="68"/>
  <c r="L78" i="68"/>
  <c r="B78" i="68"/>
  <c r="Z77" i="68"/>
  <c r="X77" i="68"/>
  <c r="N77" i="68"/>
  <c r="L77" i="68"/>
  <c r="B77" i="68"/>
  <c r="T76" i="68"/>
  <c r="P76" i="68"/>
  <c r="X76" i="68" s="1"/>
  <c r="Z76" i="68" s="1"/>
  <c r="L76" i="68"/>
  <c r="J76" i="68"/>
  <c r="H76" i="68"/>
  <c r="N76" i="68" s="1"/>
  <c r="D76" i="68"/>
  <c r="B76" i="68"/>
  <c r="Z75" i="68"/>
  <c r="X75" i="68"/>
  <c r="N75" i="68"/>
  <c r="L75" i="68"/>
  <c r="B75" i="68"/>
  <c r="Z74" i="68"/>
  <c r="X74" i="68"/>
  <c r="N74" i="68"/>
  <c r="L74" i="68"/>
  <c r="B74" i="68"/>
  <c r="X73" i="68"/>
  <c r="T73" i="68"/>
  <c r="P73" i="68"/>
  <c r="H73" i="68"/>
  <c r="D73" i="68"/>
  <c r="B73" i="68"/>
  <c r="Z72" i="68"/>
  <c r="X72" i="68"/>
  <c r="V72" i="68"/>
  <c r="N72" i="68"/>
  <c r="L72" i="68"/>
  <c r="B72" i="68"/>
  <c r="T71" i="68"/>
  <c r="P71" i="68"/>
  <c r="H71" i="68"/>
  <c r="N71" i="68" s="1"/>
  <c r="D71" i="68"/>
  <c r="L71" i="68" s="1"/>
  <c r="B71" i="68"/>
  <c r="X70" i="68"/>
  <c r="Z70" i="68" s="1"/>
  <c r="V70" i="68"/>
  <c r="N70" i="68"/>
  <c r="L70" i="68"/>
  <c r="B70" i="68"/>
  <c r="T69" i="68"/>
  <c r="Z69" i="68" s="1"/>
  <c r="P69" i="68"/>
  <c r="X69" i="68" s="1"/>
  <c r="L69" i="68"/>
  <c r="H69" i="68"/>
  <c r="N69" i="68" s="1"/>
  <c r="D69" i="68"/>
  <c r="B69" i="68"/>
  <c r="X68" i="68"/>
  <c r="Z68" i="68" s="1"/>
  <c r="N68" i="68"/>
  <c r="L68" i="68"/>
  <c r="B68" i="68"/>
  <c r="T67" i="68"/>
  <c r="P67" i="68"/>
  <c r="H67" i="68"/>
  <c r="D67" i="68"/>
  <c r="B67" i="68"/>
  <c r="Z66" i="68"/>
  <c r="X66" i="68"/>
  <c r="N66" i="68"/>
  <c r="L66" i="68"/>
  <c r="B66" i="68"/>
  <c r="X65" i="68"/>
  <c r="Z65" i="68" s="1"/>
  <c r="L65" i="68"/>
  <c r="N65" i="68" s="1"/>
  <c r="B65" i="68"/>
  <c r="Z64" i="68"/>
  <c r="V64" i="68"/>
  <c r="T64" i="68"/>
  <c r="P64" i="68"/>
  <c r="X64" i="68" s="1"/>
  <c r="H64" i="68"/>
  <c r="N64" i="68" s="1"/>
  <c r="D64" i="68"/>
  <c r="L64" i="68" s="1"/>
  <c r="B64" i="68"/>
  <c r="X63" i="68"/>
  <c r="Z63" i="68" s="1"/>
  <c r="N63" i="68"/>
  <c r="L63" i="68"/>
  <c r="B63" i="68"/>
  <c r="X62" i="68"/>
  <c r="Z62" i="68" s="1"/>
  <c r="V62" i="68"/>
  <c r="T62" i="68"/>
  <c r="P62" i="68"/>
  <c r="N62" i="68"/>
  <c r="H62" i="68"/>
  <c r="D62" i="68"/>
  <c r="L62" i="68" s="1"/>
  <c r="B62" i="68"/>
  <c r="Z61" i="68"/>
  <c r="X61" i="68"/>
  <c r="N61" i="68"/>
  <c r="L61" i="68"/>
  <c r="B61" i="68"/>
  <c r="T60" i="68"/>
  <c r="Z60" i="68" s="1"/>
  <c r="P60" i="68"/>
  <c r="N60" i="68"/>
  <c r="H60" i="68"/>
  <c r="L60" i="68" s="1"/>
  <c r="D60" i="68"/>
  <c r="B60" i="68"/>
  <c r="Z59" i="68"/>
  <c r="X59" i="68"/>
  <c r="L59" i="68"/>
  <c r="N59" i="68" s="1"/>
  <c r="B59" i="68"/>
  <c r="T58" i="68"/>
  <c r="P58" i="68"/>
  <c r="X58" i="68" s="1"/>
  <c r="N58" i="68"/>
  <c r="H58" i="68"/>
  <c r="D58" i="68"/>
  <c r="L58" i="68" s="1"/>
  <c r="B58" i="68"/>
  <c r="Z57" i="68"/>
  <c r="X57" i="68"/>
  <c r="N57" i="68"/>
  <c r="L57" i="68"/>
  <c r="B57" i="68"/>
  <c r="Z56" i="68"/>
  <c r="X56" i="68"/>
  <c r="N56" i="68"/>
  <c r="L56" i="68"/>
  <c r="B56" i="68"/>
  <c r="X55" i="68"/>
  <c r="Z55" i="68" s="1"/>
  <c r="N55" i="68"/>
  <c r="L55" i="68"/>
  <c r="B55" i="68"/>
  <c r="Z54" i="68"/>
  <c r="X54" i="68"/>
  <c r="V54" i="68"/>
  <c r="N54" i="68"/>
  <c r="L54" i="68"/>
  <c r="B54" i="68"/>
  <c r="Z53" i="68"/>
  <c r="X53" i="68"/>
  <c r="N53" i="68"/>
  <c r="L53" i="68"/>
  <c r="B53" i="68"/>
  <c r="Z52" i="68"/>
  <c r="X52" i="68"/>
  <c r="N52" i="68"/>
  <c r="L52" i="68"/>
  <c r="B52" i="68"/>
  <c r="X51" i="68"/>
  <c r="Z51" i="68" s="1"/>
  <c r="N51" i="68"/>
  <c r="L51" i="68"/>
  <c r="B51" i="68"/>
  <c r="Z50" i="68"/>
  <c r="X50" i="68"/>
  <c r="V50" i="68"/>
  <c r="N50" i="68"/>
  <c r="L50" i="68"/>
  <c r="B50" i="68"/>
  <c r="Z49" i="68"/>
  <c r="X49" i="68"/>
  <c r="N49" i="68"/>
  <c r="L49" i="68"/>
  <c r="B49" i="68"/>
  <c r="X48" i="68"/>
  <c r="Z48" i="68" s="1"/>
  <c r="L48" i="68"/>
  <c r="N48" i="68" s="1"/>
  <c r="B48" i="68"/>
  <c r="X47" i="68"/>
  <c r="T47" i="68"/>
  <c r="P47" i="68"/>
  <c r="H47" i="68"/>
  <c r="D47" i="68"/>
  <c r="L47" i="68" s="1"/>
  <c r="B47" i="68"/>
  <c r="Z46" i="68"/>
  <c r="X46" i="68"/>
  <c r="N46" i="68"/>
  <c r="L46" i="68"/>
  <c r="B46" i="68"/>
  <c r="X45" i="68"/>
  <c r="Z45" i="68" s="1"/>
  <c r="N45" i="68"/>
  <c r="L45" i="68"/>
  <c r="B45" i="68"/>
  <c r="Z44" i="68"/>
  <c r="X44" i="68"/>
  <c r="N44" i="68"/>
  <c r="L44" i="68"/>
  <c r="J44" i="68"/>
  <c r="B44" i="68"/>
  <c r="Z43" i="68"/>
  <c r="X43" i="68"/>
  <c r="L43" i="68"/>
  <c r="N43" i="68" s="1"/>
  <c r="B43" i="68"/>
  <c r="Z42" i="68"/>
  <c r="X42" i="68"/>
  <c r="N42" i="68"/>
  <c r="L42" i="68"/>
  <c r="B42" i="68"/>
  <c r="X41" i="68"/>
  <c r="Z41" i="68" s="1"/>
  <c r="N41" i="68"/>
  <c r="L41" i="68"/>
  <c r="B41" i="68"/>
  <c r="X40" i="68"/>
  <c r="Z40" i="68" s="1"/>
  <c r="N40" i="68"/>
  <c r="L40" i="68"/>
  <c r="J40" i="68"/>
  <c r="B40" i="68"/>
  <c r="Z39" i="68"/>
  <c r="X39" i="68"/>
  <c r="L39" i="68"/>
  <c r="N39" i="68" s="1"/>
  <c r="B39" i="68"/>
  <c r="T38" i="68"/>
  <c r="X38" i="68" s="1"/>
  <c r="Z38" i="68" s="1"/>
  <c r="P38" i="68"/>
  <c r="H38" i="68"/>
  <c r="D38" i="68"/>
  <c r="B38" i="68"/>
  <c r="T37" i="68"/>
  <c r="Z37" i="68" s="1"/>
  <c r="P37" i="68"/>
  <c r="X37" i="68" s="1"/>
  <c r="H37" i="68"/>
  <c r="D37" i="68"/>
  <c r="H35" i="68"/>
  <c r="Z33" i="68"/>
  <c r="X33" i="68"/>
  <c r="N33" i="68"/>
  <c r="L33" i="68"/>
  <c r="B33" i="68"/>
  <c r="Z32" i="68"/>
  <c r="X32" i="68"/>
  <c r="V32" i="68"/>
  <c r="N32" i="68"/>
  <c r="L32" i="68"/>
  <c r="B32" i="68"/>
  <c r="Z31" i="68"/>
  <c r="X31" i="68"/>
  <c r="N31" i="68"/>
  <c r="L31" i="68"/>
  <c r="B31" i="68"/>
  <c r="Z30" i="68"/>
  <c r="X30" i="68"/>
  <c r="N30" i="68"/>
  <c r="L30" i="68"/>
  <c r="B30" i="68"/>
  <c r="Z29" i="68"/>
  <c r="X29" i="68"/>
  <c r="N29" i="68"/>
  <c r="L29" i="68"/>
  <c r="B29" i="68"/>
  <c r="Z28" i="68"/>
  <c r="X28" i="68"/>
  <c r="V28" i="68"/>
  <c r="N28" i="68"/>
  <c r="L28" i="68"/>
  <c r="B28" i="68"/>
  <c r="Z27" i="68"/>
  <c r="X27" i="68"/>
  <c r="N27" i="68"/>
  <c r="L27" i="68"/>
  <c r="B27" i="68"/>
  <c r="Z26" i="68"/>
  <c r="X26" i="68"/>
  <c r="N26" i="68"/>
  <c r="L26" i="68"/>
  <c r="J26" i="68"/>
  <c r="B26" i="68"/>
  <c r="T25" i="68"/>
  <c r="Z25" i="68" s="1"/>
  <c r="P25" i="68"/>
  <c r="X25" i="68" s="1"/>
  <c r="H25" i="68"/>
  <c r="D25" i="68"/>
  <c r="Z23" i="68"/>
  <c r="P23" i="68"/>
  <c r="X23" i="68" s="1"/>
  <c r="N23" i="68"/>
  <c r="D23" i="68"/>
  <c r="L23" i="68" s="1"/>
  <c r="B23" i="68"/>
  <c r="Z22" i="68"/>
  <c r="P22" i="68"/>
  <c r="X22" i="68" s="1"/>
  <c r="N22" i="68"/>
  <c r="L22" i="68"/>
  <c r="D22" i="68"/>
  <c r="B22" i="68"/>
  <c r="Z21" i="68"/>
  <c r="X21" i="68"/>
  <c r="P21" i="68"/>
  <c r="N21" i="68"/>
  <c r="D21" i="68"/>
  <c r="L21" i="68" s="1"/>
  <c r="B21" i="68"/>
  <c r="P20" i="68"/>
  <c r="D20" i="68"/>
  <c r="L20" i="68" s="1"/>
  <c r="N20" i="68" s="1"/>
  <c r="B20" i="68"/>
  <c r="Z19" i="68"/>
  <c r="P19" i="68"/>
  <c r="X19" i="68" s="1"/>
  <c r="N19" i="68"/>
  <c r="D19" i="68"/>
  <c r="L19" i="68" s="1"/>
  <c r="B19" i="68"/>
  <c r="Z18" i="68"/>
  <c r="X18" i="68"/>
  <c r="P18" i="68"/>
  <c r="N18" i="68"/>
  <c r="L18" i="68"/>
  <c r="D18" i="68"/>
  <c r="B18" i="68"/>
  <c r="Z17" i="68"/>
  <c r="X17" i="68"/>
  <c r="P17" i="68"/>
  <c r="N17" i="68"/>
  <c r="D17" i="68"/>
  <c r="L17" i="68" s="1"/>
  <c r="B17" i="68"/>
  <c r="Z16" i="68"/>
  <c r="X16" i="68"/>
  <c r="P16" i="68"/>
  <c r="N16" i="68"/>
  <c r="D16" i="68"/>
  <c r="L16" i="68" s="1"/>
  <c r="B16" i="68"/>
  <c r="Z15" i="68"/>
  <c r="X15" i="68"/>
  <c r="P15" i="68"/>
  <c r="N15" i="68"/>
  <c r="L15" i="68"/>
  <c r="D15" i="68"/>
  <c r="B15" i="68"/>
  <c r="Z14" i="68"/>
  <c r="P14" i="68"/>
  <c r="X14" i="68" s="1"/>
  <c r="N14" i="68"/>
  <c r="L14" i="68"/>
  <c r="D14" i="68"/>
  <c r="B14" i="68"/>
  <c r="Z13" i="68"/>
  <c r="X13" i="68"/>
  <c r="P13" i="68"/>
  <c r="N13" i="68"/>
  <c r="L13" i="68"/>
  <c r="D13" i="68"/>
  <c r="B13" i="68"/>
  <c r="T12" i="68"/>
  <c r="V83" i="68" s="1"/>
  <c r="H12" i="68"/>
  <c r="D6" i="68"/>
  <c r="D4" i="68"/>
  <c r="J104" i="63"/>
  <c r="Z102" i="63"/>
  <c r="X102" i="63"/>
  <c r="N102" i="63"/>
  <c r="L102" i="63"/>
  <c r="X98" i="63"/>
  <c r="Z98" i="63" s="1"/>
  <c r="P98" i="63"/>
  <c r="D98" i="63"/>
  <c r="L98" i="63" s="1"/>
  <c r="N98" i="63" s="1"/>
  <c r="B98" i="63"/>
  <c r="V97" i="63"/>
  <c r="P97" i="63"/>
  <c r="X97" i="63" s="1"/>
  <c r="Z97" i="63" s="1"/>
  <c r="L97" i="63"/>
  <c r="N97" i="63" s="1"/>
  <c r="D97" i="63"/>
  <c r="B97" i="63"/>
  <c r="V96" i="63"/>
  <c r="T96" i="63"/>
  <c r="P96" i="63"/>
  <c r="X96" i="63" s="1"/>
  <c r="L96" i="63"/>
  <c r="N96" i="63" s="1"/>
  <c r="H96" i="63"/>
  <c r="D96" i="63"/>
  <c r="X94" i="63"/>
  <c r="Z94" i="63" s="1"/>
  <c r="V94" i="63"/>
  <c r="L94" i="63"/>
  <c r="N94" i="63" s="1"/>
  <c r="B94" i="63"/>
  <c r="T93" i="63"/>
  <c r="Z93" i="63" s="1"/>
  <c r="P93" i="63"/>
  <c r="X93" i="63" s="1"/>
  <c r="N93" i="63"/>
  <c r="L93" i="63"/>
  <c r="H93" i="63"/>
  <c r="D93" i="63"/>
  <c r="B93" i="63"/>
  <c r="Z92" i="63"/>
  <c r="X92" i="63"/>
  <c r="N92" i="63"/>
  <c r="L92" i="63"/>
  <c r="B92" i="63"/>
  <c r="Z91" i="63"/>
  <c r="X91" i="63"/>
  <c r="N91" i="63"/>
  <c r="L91" i="63"/>
  <c r="B91" i="63"/>
  <c r="T90" i="63"/>
  <c r="Z90" i="63" s="1"/>
  <c r="P90" i="63"/>
  <c r="H90" i="63"/>
  <c r="N90" i="63" s="1"/>
  <c r="D90" i="63"/>
  <c r="L90" i="63" s="1"/>
  <c r="B90" i="63"/>
  <c r="Z89" i="63"/>
  <c r="X89" i="63"/>
  <c r="V89" i="63"/>
  <c r="N89" i="63"/>
  <c r="L89" i="63"/>
  <c r="B89" i="63"/>
  <c r="T88" i="63"/>
  <c r="P88" i="63"/>
  <c r="H88" i="63"/>
  <c r="N88" i="63" s="1"/>
  <c r="D88" i="63"/>
  <c r="L88" i="63" s="1"/>
  <c r="B88" i="63"/>
  <c r="Z87" i="63"/>
  <c r="X87" i="63"/>
  <c r="V87" i="63"/>
  <c r="N87" i="63"/>
  <c r="L87" i="63"/>
  <c r="B87" i="63"/>
  <c r="V86" i="63"/>
  <c r="T86" i="63"/>
  <c r="P86" i="63"/>
  <c r="L86" i="63"/>
  <c r="N86" i="63" s="1"/>
  <c r="H86" i="63"/>
  <c r="D86" i="63"/>
  <c r="B86" i="63"/>
  <c r="X85" i="63"/>
  <c r="Z85" i="63" s="1"/>
  <c r="V85" i="63"/>
  <c r="N85" i="63"/>
  <c r="L85" i="63"/>
  <c r="B85" i="63"/>
  <c r="X84" i="63"/>
  <c r="Z84" i="63" s="1"/>
  <c r="L84" i="63"/>
  <c r="N84" i="63" s="1"/>
  <c r="B84" i="63"/>
  <c r="Z83" i="63"/>
  <c r="X83" i="63"/>
  <c r="N83" i="63"/>
  <c r="L83" i="63"/>
  <c r="B83" i="63"/>
  <c r="Z82" i="63"/>
  <c r="X82" i="63"/>
  <c r="N82" i="63"/>
  <c r="L82" i="63"/>
  <c r="B82" i="63"/>
  <c r="X81" i="63"/>
  <c r="Z81" i="63" s="1"/>
  <c r="V81" i="63"/>
  <c r="N81" i="63"/>
  <c r="L81" i="63"/>
  <c r="B81" i="63"/>
  <c r="X80" i="63"/>
  <c r="Z80" i="63" s="1"/>
  <c r="N80" i="63"/>
  <c r="L80" i="63"/>
  <c r="F80" i="63"/>
  <c r="B80" i="63"/>
  <c r="Z79" i="63"/>
  <c r="X79" i="63"/>
  <c r="N79" i="63"/>
  <c r="L79" i="63"/>
  <c r="B79" i="63"/>
  <c r="X78" i="63"/>
  <c r="T78" i="63"/>
  <c r="P78" i="63"/>
  <c r="H78" i="63"/>
  <c r="N78" i="63" s="1"/>
  <c r="F78" i="63"/>
  <c r="D78" i="63"/>
  <c r="L78" i="63" s="1"/>
  <c r="B78" i="63"/>
  <c r="Z77" i="63"/>
  <c r="X77" i="63"/>
  <c r="V77" i="63"/>
  <c r="L77" i="63"/>
  <c r="N77" i="63" s="1"/>
  <c r="B77" i="63"/>
  <c r="V76" i="63"/>
  <c r="T76" i="63"/>
  <c r="P76" i="63"/>
  <c r="X76" i="63" s="1"/>
  <c r="Z76" i="63" s="1"/>
  <c r="H76" i="63"/>
  <c r="D76" i="63"/>
  <c r="L76" i="63" s="1"/>
  <c r="B76" i="63"/>
  <c r="Z75" i="63"/>
  <c r="X75" i="63"/>
  <c r="V75" i="63"/>
  <c r="N75" i="63"/>
  <c r="L75" i="63"/>
  <c r="B75" i="63"/>
  <c r="Z74" i="63"/>
  <c r="X74" i="63"/>
  <c r="V74" i="63"/>
  <c r="N74" i="63"/>
  <c r="L74" i="63"/>
  <c r="B74" i="63"/>
  <c r="X73" i="63"/>
  <c r="Z73" i="63" s="1"/>
  <c r="L73" i="63"/>
  <c r="N73" i="63" s="1"/>
  <c r="J73" i="63"/>
  <c r="B73" i="63"/>
  <c r="X72" i="63"/>
  <c r="Z72" i="63" s="1"/>
  <c r="T72" i="63"/>
  <c r="P72" i="63"/>
  <c r="H72" i="63"/>
  <c r="D72" i="63"/>
  <c r="B72" i="63"/>
  <c r="Z71" i="63"/>
  <c r="X71" i="63"/>
  <c r="N71" i="63"/>
  <c r="L71" i="63"/>
  <c r="B71" i="63"/>
  <c r="X70" i="63"/>
  <c r="Z70" i="63" s="1"/>
  <c r="R70" i="63"/>
  <c r="N70" i="63"/>
  <c r="L70" i="63"/>
  <c r="B70" i="63"/>
  <c r="Z69" i="63"/>
  <c r="X69" i="63"/>
  <c r="V69" i="63"/>
  <c r="N69" i="63"/>
  <c r="L69" i="63"/>
  <c r="B69" i="63"/>
  <c r="X68" i="63"/>
  <c r="Z68" i="63" s="1"/>
  <c r="N68" i="63"/>
  <c r="L68" i="63"/>
  <c r="B68" i="63"/>
  <c r="T67" i="63"/>
  <c r="P67" i="63"/>
  <c r="X67" i="63" s="1"/>
  <c r="Z67" i="63" s="1"/>
  <c r="L67" i="63"/>
  <c r="N67" i="63" s="1"/>
  <c r="J67" i="63"/>
  <c r="H67" i="63"/>
  <c r="F67" i="63"/>
  <c r="D67" i="63"/>
  <c r="B67" i="63"/>
  <c r="X66" i="63"/>
  <c r="Z66" i="63" s="1"/>
  <c r="L66" i="63"/>
  <c r="N66" i="63" s="1"/>
  <c r="B66" i="63"/>
  <c r="Z65" i="63"/>
  <c r="V65" i="63"/>
  <c r="T65" i="63"/>
  <c r="P65" i="63"/>
  <c r="X65" i="63" s="1"/>
  <c r="J65" i="63"/>
  <c r="H65" i="63"/>
  <c r="F65" i="63"/>
  <c r="D65" i="63"/>
  <c r="B65" i="63"/>
  <c r="X64" i="63"/>
  <c r="Z64" i="63" s="1"/>
  <c r="L64" i="63"/>
  <c r="N64" i="63" s="1"/>
  <c r="B64" i="63"/>
  <c r="X63" i="63"/>
  <c r="Z63" i="63" s="1"/>
  <c r="V63" i="63"/>
  <c r="T63" i="63"/>
  <c r="P63" i="63"/>
  <c r="H63" i="63"/>
  <c r="D63" i="63"/>
  <c r="L63" i="63" s="1"/>
  <c r="B63" i="63"/>
  <c r="X62" i="63"/>
  <c r="Z62" i="63" s="1"/>
  <c r="L62" i="63"/>
  <c r="N62" i="63" s="1"/>
  <c r="B62" i="63"/>
  <c r="Z61" i="63"/>
  <c r="X61" i="63"/>
  <c r="V61" i="63"/>
  <c r="T61" i="63"/>
  <c r="P61" i="63"/>
  <c r="H61" i="63"/>
  <c r="D61" i="63"/>
  <c r="L61" i="63" s="1"/>
  <c r="N61" i="63" s="1"/>
  <c r="B61" i="63"/>
  <c r="Z60" i="63"/>
  <c r="X60" i="63"/>
  <c r="V60" i="63"/>
  <c r="L60" i="63"/>
  <c r="N60" i="63" s="1"/>
  <c r="B60" i="63"/>
  <c r="V59" i="63"/>
  <c r="T59" i="63"/>
  <c r="P59" i="63"/>
  <c r="X59" i="63" s="1"/>
  <c r="N59" i="63"/>
  <c r="H59" i="63"/>
  <c r="D59" i="63"/>
  <c r="L59" i="63" s="1"/>
  <c r="B59" i="63"/>
  <c r="X58" i="63"/>
  <c r="Z58" i="63" s="1"/>
  <c r="V58" i="63"/>
  <c r="N58" i="63"/>
  <c r="L58" i="63"/>
  <c r="B58" i="63"/>
  <c r="V57" i="63"/>
  <c r="T57" i="63"/>
  <c r="P57" i="63"/>
  <c r="X57" i="63" s="1"/>
  <c r="N57" i="63"/>
  <c r="L57" i="63"/>
  <c r="J57" i="63"/>
  <c r="H57" i="63"/>
  <c r="D57" i="63"/>
  <c r="B57" i="63"/>
  <c r="X56" i="63"/>
  <c r="Z56" i="63" s="1"/>
  <c r="L56" i="63"/>
  <c r="N56" i="63" s="1"/>
  <c r="F56" i="63"/>
  <c r="B56" i="63"/>
  <c r="Z55" i="63"/>
  <c r="T55" i="63"/>
  <c r="X55" i="63" s="1"/>
  <c r="P55" i="63"/>
  <c r="L55" i="63"/>
  <c r="N55" i="63" s="1"/>
  <c r="J55" i="63"/>
  <c r="H55" i="63"/>
  <c r="D55" i="63"/>
  <c r="B55" i="63"/>
  <c r="Z54" i="63"/>
  <c r="X54" i="63"/>
  <c r="L54" i="63"/>
  <c r="N54" i="63" s="1"/>
  <c r="B54" i="63"/>
  <c r="Z53" i="63"/>
  <c r="V53" i="63"/>
  <c r="T53" i="63"/>
  <c r="P53" i="63"/>
  <c r="X53" i="63" s="1"/>
  <c r="H53" i="63"/>
  <c r="D53" i="63"/>
  <c r="B53" i="63"/>
  <c r="X52" i="63"/>
  <c r="Z52" i="63" s="1"/>
  <c r="L52" i="63"/>
  <c r="N52" i="63" s="1"/>
  <c r="B52" i="63"/>
  <c r="Z51" i="63"/>
  <c r="X51" i="63"/>
  <c r="V51" i="63"/>
  <c r="T51" i="63"/>
  <c r="R51" i="63"/>
  <c r="P51" i="63"/>
  <c r="H51" i="63"/>
  <c r="D51" i="63"/>
  <c r="L51" i="63" s="1"/>
  <c r="B51" i="63"/>
  <c r="X50" i="63"/>
  <c r="Z50" i="63" s="1"/>
  <c r="N50" i="63"/>
  <c r="L50" i="63"/>
  <c r="F50" i="63"/>
  <c r="B50" i="63"/>
  <c r="Z49" i="63"/>
  <c r="X49" i="63"/>
  <c r="V49" i="63"/>
  <c r="N49" i="63"/>
  <c r="L49" i="63"/>
  <c r="J49" i="63"/>
  <c r="B49" i="63"/>
  <c r="X48" i="63"/>
  <c r="T48" i="63"/>
  <c r="R48" i="63"/>
  <c r="P48" i="63"/>
  <c r="N48" i="63"/>
  <c r="L48" i="63"/>
  <c r="H48" i="63"/>
  <c r="D48" i="63"/>
  <c r="B48" i="63"/>
  <c r="Z47" i="63"/>
  <c r="X47" i="63"/>
  <c r="V47" i="63"/>
  <c r="R47" i="63"/>
  <c r="L47" i="63"/>
  <c r="N47" i="63" s="1"/>
  <c r="B47" i="63"/>
  <c r="T46" i="63"/>
  <c r="P46" i="63"/>
  <c r="L46" i="63"/>
  <c r="H46" i="63"/>
  <c r="N46" i="63" s="1"/>
  <c r="D46" i="63"/>
  <c r="B46" i="63"/>
  <c r="X45" i="63"/>
  <c r="Z45" i="63" s="1"/>
  <c r="V45" i="63"/>
  <c r="L45" i="63"/>
  <c r="N45" i="63" s="1"/>
  <c r="B45" i="63"/>
  <c r="X44" i="63"/>
  <c r="Z44" i="63" s="1"/>
  <c r="L44" i="63"/>
  <c r="N44" i="63" s="1"/>
  <c r="B44" i="63"/>
  <c r="Z43" i="63"/>
  <c r="X43" i="63"/>
  <c r="V43" i="63"/>
  <c r="T43" i="63"/>
  <c r="P43" i="63"/>
  <c r="H43" i="63"/>
  <c r="N43" i="63" s="1"/>
  <c r="D43" i="63"/>
  <c r="L43" i="63" s="1"/>
  <c r="B43" i="63"/>
  <c r="Z42" i="63"/>
  <c r="X42" i="63"/>
  <c r="N42" i="63"/>
  <c r="L42" i="63"/>
  <c r="B42" i="63"/>
  <c r="Z41" i="63"/>
  <c r="X41" i="63"/>
  <c r="V41" i="63"/>
  <c r="T41" i="63"/>
  <c r="P41" i="63"/>
  <c r="N41" i="63"/>
  <c r="H41" i="63"/>
  <c r="F41" i="63"/>
  <c r="D41" i="63"/>
  <c r="L41" i="63" s="1"/>
  <c r="B41" i="63"/>
  <c r="Z40" i="63"/>
  <c r="X40" i="63"/>
  <c r="V40" i="63"/>
  <c r="N40" i="63"/>
  <c r="L40" i="63"/>
  <c r="B40" i="63"/>
  <c r="Z39" i="63"/>
  <c r="X39" i="63"/>
  <c r="V39" i="63"/>
  <c r="N39" i="63"/>
  <c r="L39" i="63"/>
  <c r="B39" i="63"/>
  <c r="Z38" i="63"/>
  <c r="X38" i="63"/>
  <c r="L38" i="63"/>
  <c r="N38" i="63" s="1"/>
  <c r="J38" i="63"/>
  <c r="B38" i="63"/>
  <c r="Z37" i="63"/>
  <c r="X37" i="63"/>
  <c r="V37" i="63"/>
  <c r="N37" i="63"/>
  <c r="L37" i="63"/>
  <c r="J37" i="63"/>
  <c r="B37" i="63"/>
  <c r="Z36" i="63"/>
  <c r="X36" i="63"/>
  <c r="V36" i="63"/>
  <c r="N36" i="63"/>
  <c r="L36" i="63"/>
  <c r="B36" i="63"/>
  <c r="Z35" i="63"/>
  <c r="X35" i="63"/>
  <c r="V35" i="63"/>
  <c r="N35" i="63"/>
  <c r="L35" i="63"/>
  <c r="B35" i="63"/>
  <c r="Z34" i="63"/>
  <c r="X34" i="63"/>
  <c r="V34" i="63"/>
  <c r="L34" i="63"/>
  <c r="N34" i="63" s="1"/>
  <c r="B34" i="63"/>
  <c r="Z33" i="63"/>
  <c r="X33" i="63"/>
  <c r="V33" i="63"/>
  <c r="N33" i="63"/>
  <c r="L33" i="63"/>
  <c r="J33" i="63"/>
  <c r="B33" i="63"/>
  <c r="Z32" i="63"/>
  <c r="X32" i="63"/>
  <c r="V32" i="63"/>
  <c r="L32" i="63"/>
  <c r="N32" i="63" s="1"/>
  <c r="B32" i="63"/>
  <c r="Z31" i="63"/>
  <c r="X31" i="63"/>
  <c r="V31" i="63"/>
  <c r="N31" i="63"/>
  <c r="L31" i="63"/>
  <c r="J31" i="63"/>
  <c r="B31" i="63"/>
  <c r="V30" i="63"/>
  <c r="T30" i="63"/>
  <c r="P30" i="63"/>
  <c r="X30" i="63" s="1"/>
  <c r="H30" i="63"/>
  <c r="D30" i="63"/>
  <c r="B30" i="63"/>
  <c r="Z29" i="63"/>
  <c r="X29" i="63"/>
  <c r="V29" i="63"/>
  <c r="N29" i="63"/>
  <c r="L29" i="63"/>
  <c r="J29" i="63"/>
  <c r="B29" i="63"/>
  <c r="X28" i="63"/>
  <c r="Z28" i="63" s="1"/>
  <c r="L28" i="63"/>
  <c r="N28" i="63" s="1"/>
  <c r="B28" i="63"/>
  <c r="X27" i="63"/>
  <c r="Z27" i="63" s="1"/>
  <c r="V27" i="63"/>
  <c r="N27" i="63"/>
  <c r="L27" i="63"/>
  <c r="B27" i="63"/>
  <c r="Z26" i="63"/>
  <c r="X26" i="63"/>
  <c r="V26" i="63"/>
  <c r="R26" i="63"/>
  <c r="N26" i="63"/>
  <c r="L26" i="63"/>
  <c r="B26" i="63"/>
  <c r="Z25" i="63"/>
  <c r="X25" i="63"/>
  <c r="V25" i="63"/>
  <c r="N25" i="63"/>
  <c r="L25" i="63"/>
  <c r="J25" i="63"/>
  <c r="B25" i="63"/>
  <c r="X24" i="63"/>
  <c r="Z24" i="63" s="1"/>
  <c r="L24" i="63"/>
  <c r="N24" i="63" s="1"/>
  <c r="B24" i="63"/>
  <c r="Z23" i="63"/>
  <c r="X23" i="63"/>
  <c r="V23" i="63"/>
  <c r="N23" i="63"/>
  <c r="L23" i="63"/>
  <c r="B23" i="63"/>
  <c r="X22" i="63"/>
  <c r="Z22" i="63" s="1"/>
  <c r="V22" i="63"/>
  <c r="N22" i="63"/>
  <c r="L22" i="63"/>
  <c r="B22" i="63"/>
  <c r="X21" i="63"/>
  <c r="Z21" i="63" s="1"/>
  <c r="V21" i="63"/>
  <c r="N21" i="63"/>
  <c r="L21" i="63"/>
  <c r="J21" i="63"/>
  <c r="B21" i="63"/>
  <c r="X20" i="63"/>
  <c r="Z20" i="63" s="1"/>
  <c r="L20" i="63"/>
  <c r="N20" i="63" s="1"/>
  <c r="B20" i="63"/>
  <c r="Z19" i="63"/>
  <c r="X19" i="63"/>
  <c r="V19" i="63"/>
  <c r="T19" i="63"/>
  <c r="P19" i="63"/>
  <c r="J19" i="63"/>
  <c r="H19" i="63"/>
  <c r="N19" i="63" s="1"/>
  <c r="D19" i="63"/>
  <c r="L19" i="63" s="1"/>
  <c r="B19" i="63"/>
  <c r="T18" i="63"/>
  <c r="X18" i="63" s="1"/>
  <c r="Z18" i="63" s="1"/>
  <c r="P18" i="63"/>
  <c r="L18" i="63"/>
  <c r="H18" i="63"/>
  <c r="D18" i="63"/>
  <c r="T16" i="63"/>
  <c r="T100" i="63" s="1"/>
  <c r="Z14" i="63"/>
  <c r="T14" i="63"/>
  <c r="X14" i="63" s="1"/>
  <c r="P14" i="63"/>
  <c r="N14" i="63"/>
  <c r="H14" i="63"/>
  <c r="H16" i="63" s="1"/>
  <c r="D14" i="63"/>
  <c r="Z12" i="63"/>
  <c r="T12" i="63"/>
  <c r="V107" i="63" s="1"/>
  <c r="P12" i="63"/>
  <c r="R62" i="63" s="1"/>
  <c r="H12" i="63"/>
  <c r="J85" i="63" s="1"/>
  <c r="D12" i="63"/>
  <c r="F71" i="63" s="1"/>
  <c r="D6" i="63"/>
  <c r="D4" i="63"/>
  <c r="V64" i="61"/>
  <c r="Z62" i="61"/>
  <c r="X62" i="61"/>
  <c r="V62" i="61"/>
  <c r="N62" i="61"/>
  <c r="L62" i="61"/>
  <c r="J62" i="61"/>
  <c r="Z58" i="61"/>
  <c r="X58" i="61"/>
  <c r="T58" i="61"/>
  <c r="P58" i="61"/>
  <c r="H58" i="61"/>
  <c r="N58" i="61" s="1"/>
  <c r="F58" i="61"/>
  <c r="D58" i="61"/>
  <c r="Z56" i="61"/>
  <c r="X56" i="61"/>
  <c r="N56" i="61"/>
  <c r="L56" i="61"/>
  <c r="B56" i="61"/>
  <c r="X55" i="61"/>
  <c r="Z55" i="61" s="1"/>
  <c r="V55" i="61"/>
  <c r="T55" i="61"/>
  <c r="P55" i="61"/>
  <c r="H55" i="61"/>
  <c r="N55" i="61" s="1"/>
  <c r="D55" i="61"/>
  <c r="B55" i="61"/>
  <c r="Z54" i="61"/>
  <c r="X54" i="61"/>
  <c r="V54" i="61"/>
  <c r="N54" i="61"/>
  <c r="L54" i="61"/>
  <c r="F54" i="61"/>
  <c r="B54" i="61"/>
  <c r="Z53" i="61"/>
  <c r="X53" i="61"/>
  <c r="N53" i="61"/>
  <c r="L53" i="61"/>
  <c r="J53" i="61"/>
  <c r="B53" i="61"/>
  <c r="T52" i="61"/>
  <c r="P52" i="61"/>
  <c r="N52" i="61"/>
  <c r="H52" i="61"/>
  <c r="D52" i="61"/>
  <c r="L52" i="61" s="1"/>
  <c r="B52" i="61"/>
  <c r="Z51" i="61"/>
  <c r="X51" i="61"/>
  <c r="V51" i="61"/>
  <c r="L51" i="61"/>
  <c r="N51" i="61" s="1"/>
  <c r="F51" i="61"/>
  <c r="B51" i="61"/>
  <c r="T50" i="61"/>
  <c r="P50" i="61"/>
  <c r="X50" i="61" s="1"/>
  <c r="H50" i="61"/>
  <c r="D50" i="61"/>
  <c r="L50" i="61" s="1"/>
  <c r="B50" i="61"/>
  <c r="Z49" i="61"/>
  <c r="X49" i="61"/>
  <c r="N49" i="61"/>
  <c r="L49" i="61"/>
  <c r="J49" i="61"/>
  <c r="B49" i="61"/>
  <c r="T48" i="61"/>
  <c r="X48" i="61" s="1"/>
  <c r="P48" i="61"/>
  <c r="J48" i="61"/>
  <c r="H48" i="61"/>
  <c r="N48" i="61" s="1"/>
  <c r="D48" i="61"/>
  <c r="L48" i="61" s="1"/>
  <c r="B48" i="61"/>
  <c r="Z47" i="61"/>
  <c r="X47" i="61"/>
  <c r="V47" i="61"/>
  <c r="N47" i="61"/>
  <c r="L47" i="61"/>
  <c r="J47" i="61"/>
  <c r="B47" i="61"/>
  <c r="T46" i="61"/>
  <c r="P46" i="61"/>
  <c r="H46" i="61"/>
  <c r="D46" i="61"/>
  <c r="L46" i="61" s="1"/>
  <c r="B46" i="61"/>
  <c r="Z45" i="61"/>
  <c r="X45" i="61"/>
  <c r="V45" i="61"/>
  <c r="N45" i="61"/>
  <c r="L45" i="61"/>
  <c r="J45" i="61"/>
  <c r="B45" i="61"/>
  <c r="T44" i="61"/>
  <c r="P44" i="61"/>
  <c r="X44" i="61" s="1"/>
  <c r="L44" i="61"/>
  <c r="H44" i="61"/>
  <c r="N44" i="61" s="1"/>
  <c r="D44" i="61"/>
  <c r="B44" i="61"/>
  <c r="Z43" i="61"/>
  <c r="X43" i="61"/>
  <c r="V43" i="61"/>
  <c r="N43" i="61"/>
  <c r="L43" i="61"/>
  <c r="J43" i="61"/>
  <c r="B43" i="61"/>
  <c r="T42" i="61"/>
  <c r="Z42" i="61" s="1"/>
  <c r="P42" i="61"/>
  <c r="X42" i="61" s="1"/>
  <c r="H42" i="61"/>
  <c r="D42" i="61"/>
  <c r="B42" i="61"/>
  <c r="Z41" i="61"/>
  <c r="X41" i="61"/>
  <c r="V41" i="61"/>
  <c r="N41" i="61"/>
  <c r="L41" i="61"/>
  <c r="J41" i="61"/>
  <c r="B41" i="61"/>
  <c r="T40" i="61"/>
  <c r="P40" i="61"/>
  <c r="X40" i="61" s="1"/>
  <c r="J40" i="61"/>
  <c r="H40" i="61"/>
  <c r="D40" i="61"/>
  <c r="L40" i="61" s="1"/>
  <c r="B40" i="61"/>
  <c r="Z39" i="61"/>
  <c r="X39" i="61"/>
  <c r="N39" i="61"/>
  <c r="L39" i="61"/>
  <c r="J39" i="61"/>
  <c r="B39" i="61"/>
  <c r="Z38" i="61"/>
  <c r="X38" i="61"/>
  <c r="N38" i="61"/>
  <c r="L38" i="61"/>
  <c r="J38" i="61"/>
  <c r="F38" i="61"/>
  <c r="B38" i="61"/>
  <c r="Z37" i="61"/>
  <c r="X37" i="61"/>
  <c r="V37" i="61"/>
  <c r="N37" i="61"/>
  <c r="L37" i="61"/>
  <c r="J37" i="61"/>
  <c r="B37" i="61"/>
  <c r="X36" i="61"/>
  <c r="Z36" i="61" s="1"/>
  <c r="N36" i="61"/>
  <c r="L36" i="61"/>
  <c r="F36" i="61"/>
  <c r="B36" i="61"/>
  <c r="Z35" i="61"/>
  <c r="X35" i="61"/>
  <c r="N35" i="61"/>
  <c r="L35" i="61"/>
  <c r="J35" i="61"/>
  <c r="B35" i="61"/>
  <c r="Z34" i="61"/>
  <c r="X34" i="61"/>
  <c r="N34" i="61"/>
  <c r="L34" i="61"/>
  <c r="J34" i="61"/>
  <c r="F34" i="61"/>
  <c r="B34" i="61"/>
  <c r="Z33" i="61"/>
  <c r="X33" i="61"/>
  <c r="V33" i="61"/>
  <c r="N33" i="61"/>
  <c r="L33" i="61"/>
  <c r="J33" i="61"/>
  <c r="B33" i="61"/>
  <c r="Z32" i="61"/>
  <c r="X32" i="61"/>
  <c r="N32" i="61"/>
  <c r="L32" i="61"/>
  <c r="F32" i="61"/>
  <c r="B32" i="61"/>
  <c r="Z31" i="61"/>
  <c r="X31" i="61"/>
  <c r="N31" i="61"/>
  <c r="L31" i="61"/>
  <c r="J31" i="61"/>
  <c r="B31" i="61"/>
  <c r="Z30" i="61"/>
  <c r="X30" i="61"/>
  <c r="N30" i="61"/>
  <c r="L30" i="61"/>
  <c r="J30" i="61"/>
  <c r="F30" i="61"/>
  <c r="B30" i="61"/>
  <c r="Z29" i="61"/>
  <c r="X29" i="61"/>
  <c r="V29" i="61"/>
  <c r="T29" i="61"/>
  <c r="R29" i="61"/>
  <c r="P29" i="61"/>
  <c r="N29" i="61"/>
  <c r="L29" i="61"/>
  <c r="J29" i="61"/>
  <c r="H29" i="61"/>
  <c r="F29" i="61"/>
  <c r="D29" i="61"/>
  <c r="B29" i="61"/>
  <c r="X28" i="61"/>
  <c r="Z28" i="61" s="1"/>
  <c r="L28" i="61"/>
  <c r="N28" i="61" s="1"/>
  <c r="J28" i="61"/>
  <c r="B28" i="61"/>
  <c r="Z27" i="61"/>
  <c r="X27" i="61"/>
  <c r="V27" i="61"/>
  <c r="N27" i="61"/>
  <c r="L27" i="61"/>
  <c r="J27" i="61"/>
  <c r="B27" i="61"/>
  <c r="X26" i="61"/>
  <c r="Z26" i="61" s="1"/>
  <c r="L26" i="61"/>
  <c r="N26" i="61" s="1"/>
  <c r="J26" i="61"/>
  <c r="F26" i="61"/>
  <c r="B26" i="61"/>
  <c r="Z25" i="61"/>
  <c r="X25" i="61"/>
  <c r="N25" i="61"/>
  <c r="L25" i="61"/>
  <c r="J25" i="61"/>
  <c r="B25" i="61"/>
  <c r="Z24" i="61"/>
  <c r="X24" i="61"/>
  <c r="N24" i="61"/>
  <c r="L24" i="61"/>
  <c r="J24" i="61"/>
  <c r="B24" i="61"/>
  <c r="Z23" i="61"/>
  <c r="X23" i="61"/>
  <c r="V23" i="61"/>
  <c r="N23" i="61"/>
  <c r="L23" i="61"/>
  <c r="J23" i="61"/>
  <c r="B23" i="61"/>
  <c r="X22" i="61"/>
  <c r="Z22" i="61" s="1"/>
  <c r="L22" i="61"/>
  <c r="N22" i="61" s="1"/>
  <c r="J22" i="61"/>
  <c r="F22" i="61"/>
  <c r="B22" i="61"/>
  <c r="Z21" i="61"/>
  <c r="X21" i="61"/>
  <c r="V21" i="61"/>
  <c r="N21" i="61"/>
  <c r="L21" i="61"/>
  <c r="J21" i="61"/>
  <c r="B21" i="61"/>
  <c r="X20" i="61"/>
  <c r="Z20" i="61" s="1"/>
  <c r="L20" i="61"/>
  <c r="N20" i="61" s="1"/>
  <c r="J20" i="61"/>
  <c r="B20" i="61"/>
  <c r="V19" i="61"/>
  <c r="T19" i="61"/>
  <c r="X19" i="61" s="1"/>
  <c r="Z19" i="61" s="1"/>
  <c r="P19" i="61"/>
  <c r="J19" i="61"/>
  <c r="H19" i="61"/>
  <c r="D19" i="61"/>
  <c r="L19" i="61" s="1"/>
  <c r="N19" i="61" s="1"/>
  <c r="B19" i="61"/>
  <c r="T18" i="61"/>
  <c r="P18" i="61"/>
  <c r="J18" i="61"/>
  <c r="H18" i="61"/>
  <c r="N18" i="61" s="1"/>
  <c r="D18" i="61"/>
  <c r="L18" i="61" s="1"/>
  <c r="T16" i="61"/>
  <c r="J16" i="61"/>
  <c r="T14" i="61"/>
  <c r="Z14" i="61" s="1"/>
  <c r="P14" i="61"/>
  <c r="X14" i="61" s="1"/>
  <c r="J14" i="61"/>
  <c r="H14" i="61"/>
  <c r="N14" i="61" s="1"/>
  <c r="D14" i="61"/>
  <c r="L14" i="61" s="1"/>
  <c r="T12" i="61"/>
  <c r="V48" i="61" s="1"/>
  <c r="P12" i="61"/>
  <c r="R19" i="61" s="1"/>
  <c r="N12" i="61"/>
  <c r="L12" i="61"/>
  <c r="H12" i="61"/>
  <c r="J52" i="61" s="1"/>
  <c r="D12" i="61"/>
  <c r="F45" i="61" s="1"/>
  <c r="D6" i="61"/>
  <c r="D4" i="61"/>
  <c r="Z60" i="60"/>
  <c r="X60" i="60"/>
  <c r="N60" i="60"/>
  <c r="L60" i="60"/>
  <c r="F60" i="60"/>
  <c r="T56" i="60"/>
  <c r="Z56" i="60" s="1"/>
  <c r="P56" i="60"/>
  <c r="X56" i="60" s="1"/>
  <c r="H56" i="60"/>
  <c r="N56" i="60" s="1"/>
  <c r="D56" i="60"/>
  <c r="L56" i="60" s="1"/>
  <c r="X54" i="60"/>
  <c r="Z54" i="60" s="1"/>
  <c r="L54" i="60"/>
  <c r="N54" i="60" s="1"/>
  <c r="B54" i="60"/>
  <c r="Z53" i="60"/>
  <c r="V53" i="60"/>
  <c r="T53" i="60"/>
  <c r="P53" i="60"/>
  <c r="X53" i="60" s="1"/>
  <c r="N53" i="60"/>
  <c r="L53" i="60"/>
  <c r="J53" i="60"/>
  <c r="H53" i="60"/>
  <c r="D53" i="60"/>
  <c r="B53" i="60"/>
  <c r="X52" i="60"/>
  <c r="Z52" i="60" s="1"/>
  <c r="N52" i="60"/>
  <c r="L52" i="60"/>
  <c r="F52" i="60"/>
  <c r="B52" i="60"/>
  <c r="Z51" i="60"/>
  <c r="X51" i="60"/>
  <c r="V51" i="60"/>
  <c r="N51" i="60"/>
  <c r="L51" i="60"/>
  <c r="B51" i="60"/>
  <c r="Z50" i="60"/>
  <c r="X50" i="60"/>
  <c r="N50" i="60"/>
  <c r="L50" i="60"/>
  <c r="F50" i="60"/>
  <c r="B50" i="60"/>
  <c r="V49" i="60"/>
  <c r="T49" i="60"/>
  <c r="X49" i="60" s="1"/>
  <c r="Z49" i="60" s="1"/>
  <c r="P49" i="60"/>
  <c r="N49" i="60"/>
  <c r="L49" i="60"/>
  <c r="J49" i="60"/>
  <c r="H49" i="60"/>
  <c r="F49" i="60"/>
  <c r="D49" i="60"/>
  <c r="B49" i="60"/>
  <c r="X48" i="60"/>
  <c r="Z48" i="60" s="1"/>
  <c r="V48" i="60"/>
  <c r="L48" i="60"/>
  <c r="N48" i="60" s="1"/>
  <c r="F48" i="60"/>
  <c r="B48" i="60"/>
  <c r="V47" i="60"/>
  <c r="T47" i="60"/>
  <c r="P47" i="60"/>
  <c r="X47" i="60" s="1"/>
  <c r="Z47" i="60" s="1"/>
  <c r="J47" i="60"/>
  <c r="H47" i="60"/>
  <c r="L47" i="60" s="1"/>
  <c r="N47" i="60" s="1"/>
  <c r="F47" i="60"/>
  <c r="D47" i="60"/>
  <c r="B47" i="60"/>
  <c r="Z46" i="60"/>
  <c r="X46" i="60"/>
  <c r="V46" i="60"/>
  <c r="N46" i="60"/>
  <c r="L46" i="60"/>
  <c r="B46" i="60"/>
  <c r="Z45" i="60"/>
  <c r="X45" i="60"/>
  <c r="V45" i="60"/>
  <c r="N45" i="60"/>
  <c r="L45" i="60"/>
  <c r="B45" i="60"/>
  <c r="V44" i="60"/>
  <c r="T44" i="60"/>
  <c r="P44" i="60"/>
  <c r="X44" i="60" s="1"/>
  <c r="H44" i="60"/>
  <c r="N44" i="60" s="1"/>
  <c r="D44" i="60"/>
  <c r="L44" i="60" s="1"/>
  <c r="B44" i="60"/>
  <c r="Z43" i="60"/>
  <c r="X43" i="60"/>
  <c r="V43" i="60"/>
  <c r="N43" i="60"/>
  <c r="L43" i="60"/>
  <c r="B43" i="60"/>
  <c r="T42" i="60"/>
  <c r="P42" i="60"/>
  <c r="X42" i="60" s="1"/>
  <c r="L42" i="60"/>
  <c r="H42" i="60"/>
  <c r="N42" i="60" s="1"/>
  <c r="D42" i="60"/>
  <c r="B42" i="60"/>
  <c r="Z41" i="60"/>
  <c r="X41" i="60"/>
  <c r="V41" i="60"/>
  <c r="N41" i="60"/>
  <c r="L41" i="60"/>
  <c r="J41" i="60"/>
  <c r="B41" i="60"/>
  <c r="V40" i="60"/>
  <c r="T40" i="60"/>
  <c r="P40" i="60"/>
  <c r="X40" i="60" s="1"/>
  <c r="H40" i="60"/>
  <c r="D40" i="60"/>
  <c r="B40" i="60"/>
  <c r="Z39" i="60"/>
  <c r="X39" i="60"/>
  <c r="V39" i="60"/>
  <c r="N39" i="60"/>
  <c r="L39" i="60"/>
  <c r="J39" i="60"/>
  <c r="B39" i="60"/>
  <c r="Z38" i="60"/>
  <c r="X38" i="60"/>
  <c r="V38" i="60"/>
  <c r="N38" i="60"/>
  <c r="L38" i="60"/>
  <c r="F38" i="60"/>
  <c r="B38" i="60"/>
  <c r="Z37" i="60"/>
  <c r="X37" i="60"/>
  <c r="V37" i="60"/>
  <c r="N37" i="60"/>
  <c r="L37" i="60"/>
  <c r="B37" i="60"/>
  <c r="Z36" i="60"/>
  <c r="X36" i="60"/>
  <c r="V36" i="60"/>
  <c r="N36" i="60"/>
  <c r="L36" i="60"/>
  <c r="B36" i="60"/>
  <c r="Z35" i="60"/>
  <c r="X35" i="60"/>
  <c r="V35" i="60"/>
  <c r="N35" i="60"/>
  <c r="L35" i="60"/>
  <c r="J35" i="60"/>
  <c r="B35" i="60"/>
  <c r="Z34" i="60"/>
  <c r="X34" i="60"/>
  <c r="V34" i="60"/>
  <c r="N34" i="60"/>
  <c r="L34" i="60"/>
  <c r="F34" i="60"/>
  <c r="B34" i="60"/>
  <c r="Z33" i="60"/>
  <c r="X33" i="60"/>
  <c r="V33" i="60"/>
  <c r="N33" i="60"/>
  <c r="L33" i="60"/>
  <c r="B33" i="60"/>
  <c r="Z32" i="60"/>
  <c r="X32" i="60"/>
  <c r="V32" i="60"/>
  <c r="R32" i="60"/>
  <c r="N32" i="60"/>
  <c r="L32" i="60"/>
  <c r="B32" i="60"/>
  <c r="Z31" i="60"/>
  <c r="X31" i="60"/>
  <c r="V31" i="60"/>
  <c r="N31" i="60"/>
  <c r="L31" i="60"/>
  <c r="J31" i="60"/>
  <c r="B31" i="60"/>
  <c r="Z30" i="60"/>
  <c r="X30" i="60"/>
  <c r="V30" i="60"/>
  <c r="N30" i="60"/>
  <c r="L30" i="60"/>
  <c r="F30" i="60"/>
  <c r="B30" i="60"/>
  <c r="V29" i="60"/>
  <c r="T29" i="60"/>
  <c r="P29" i="60"/>
  <c r="X29" i="60" s="1"/>
  <c r="Z29" i="60" s="1"/>
  <c r="J29" i="60"/>
  <c r="H29" i="60"/>
  <c r="F29" i="60"/>
  <c r="D29" i="60"/>
  <c r="L29" i="60" s="1"/>
  <c r="N29" i="60" s="1"/>
  <c r="B29" i="60"/>
  <c r="Z28" i="60"/>
  <c r="X28" i="60"/>
  <c r="N28" i="60"/>
  <c r="L28" i="60"/>
  <c r="F28" i="60"/>
  <c r="B28" i="60"/>
  <c r="Z27" i="60"/>
  <c r="X27" i="60"/>
  <c r="V27" i="60"/>
  <c r="N27" i="60"/>
  <c r="L27" i="60"/>
  <c r="B27" i="60"/>
  <c r="X26" i="60"/>
  <c r="Z26" i="60" s="1"/>
  <c r="L26" i="60"/>
  <c r="N26" i="60" s="1"/>
  <c r="F26" i="60"/>
  <c r="B26" i="60"/>
  <c r="Z25" i="60"/>
  <c r="X25" i="60"/>
  <c r="V25" i="60"/>
  <c r="N25" i="60"/>
  <c r="L25" i="60"/>
  <c r="J25" i="60"/>
  <c r="B25" i="60"/>
  <c r="Z24" i="60"/>
  <c r="X24" i="60"/>
  <c r="N24" i="60"/>
  <c r="L24" i="60"/>
  <c r="F24" i="60"/>
  <c r="B24" i="60"/>
  <c r="Z23" i="60"/>
  <c r="X23" i="60"/>
  <c r="V23" i="60"/>
  <c r="N23" i="60"/>
  <c r="L23" i="60"/>
  <c r="B23" i="60"/>
  <c r="X22" i="60"/>
  <c r="Z22" i="60" s="1"/>
  <c r="L22" i="60"/>
  <c r="N22" i="60" s="1"/>
  <c r="F22" i="60"/>
  <c r="B22" i="60"/>
  <c r="X21" i="60"/>
  <c r="Z21" i="60" s="1"/>
  <c r="V21" i="60"/>
  <c r="N21" i="60"/>
  <c r="L21" i="60"/>
  <c r="J21" i="60"/>
  <c r="B21" i="60"/>
  <c r="X20" i="60"/>
  <c r="Z20" i="60" s="1"/>
  <c r="V20" i="60"/>
  <c r="L20" i="60"/>
  <c r="N20" i="60" s="1"/>
  <c r="F20" i="60"/>
  <c r="B20" i="60"/>
  <c r="Z19" i="60"/>
  <c r="X19" i="60"/>
  <c r="V19" i="60"/>
  <c r="T19" i="60"/>
  <c r="P19" i="60"/>
  <c r="L19" i="60"/>
  <c r="J19" i="60"/>
  <c r="H19" i="60"/>
  <c r="N19" i="60" s="1"/>
  <c r="F19" i="60"/>
  <c r="D19" i="60"/>
  <c r="B19" i="60"/>
  <c r="X18" i="60"/>
  <c r="T18" i="60"/>
  <c r="P18" i="60"/>
  <c r="H18" i="60"/>
  <c r="N18" i="60" s="1"/>
  <c r="D18" i="60"/>
  <c r="L18" i="60" s="1"/>
  <c r="T16" i="60"/>
  <c r="X14" i="60"/>
  <c r="T14" i="60"/>
  <c r="Z14" i="60" s="1"/>
  <c r="P14" i="60"/>
  <c r="H14" i="60"/>
  <c r="N14" i="60" s="1"/>
  <c r="D14" i="60"/>
  <c r="L14" i="60" s="1"/>
  <c r="Z12" i="60"/>
  <c r="T12" i="60"/>
  <c r="V52" i="60" s="1"/>
  <c r="P12" i="60"/>
  <c r="R36" i="60" s="1"/>
  <c r="H12" i="60"/>
  <c r="J65" i="60" s="1"/>
  <c r="D12" i="60"/>
  <c r="F41" i="60" s="1"/>
  <c r="D6" i="60"/>
  <c r="D4" i="60"/>
  <c r="Z73" i="59"/>
  <c r="X73" i="59"/>
  <c r="R73" i="59"/>
  <c r="N73" i="59"/>
  <c r="L73" i="59"/>
  <c r="T69" i="59"/>
  <c r="Z69" i="59" s="1"/>
  <c r="P69" i="59"/>
  <c r="X69" i="59" s="1"/>
  <c r="H69" i="59"/>
  <c r="N69" i="59" s="1"/>
  <c r="D69" i="59"/>
  <c r="X67" i="59"/>
  <c r="Z67" i="59" s="1"/>
  <c r="R67" i="59"/>
  <c r="L67" i="59"/>
  <c r="N67" i="59" s="1"/>
  <c r="F67" i="59"/>
  <c r="B67" i="59"/>
  <c r="T66" i="59"/>
  <c r="P66" i="59"/>
  <c r="X66" i="59" s="1"/>
  <c r="Z66" i="59" s="1"/>
  <c r="H66" i="59"/>
  <c r="F66" i="59"/>
  <c r="D66" i="59"/>
  <c r="L66" i="59" s="1"/>
  <c r="N66" i="59" s="1"/>
  <c r="B66" i="59"/>
  <c r="Z65" i="59"/>
  <c r="X65" i="59"/>
  <c r="N65" i="59"/>
  <c r="L65" i="59"/>
  <c r="F65" i="59"/>
  <c r="B65" i="59"/>
  <c r="Z64" i="59"/>
  <c r="V64" i="59"/>
  <c r="T64" i="59"/>
  <c r="P64" i="59"/>
  <c r="X64" i="59" s="1"/>
  <c r="N64" i="59"/>
  <c r="H64" i="59"/>
  <c r="F64" i="59"/>
  <c r="D64" i="59"/>
  <c r="L64" i="59" s="1"/>
  <c r="B64" i="59"/>
  <c r="X63" i="59"/>
  <c r="Z63" i="59" s="1"/>
  <c r="L63" i="59"/>
  <c r="N63" i="59" s="1"/>
  <c r="F63" i="59"/>
  <c r="B63" i="59"/>
  <c r="Z62" i="59"/>
  <c r="X62" i="59"/>
  <c r="N62" i="59"/>
  <c r="L62" i="59"/>
  <c r="B62" i="59"/>
  <c r="T61" i="59"/>
  <c r="P61" i="59"/>
  <c r="X61" i="59" s="1"/>
  <c r="L61" i="59"/>
  <c r="H61" i="59"/>
  <c r="D61" i="59"/>
  <c r="B61" i="59"/>
  <c r="Z60" i="59"/>
  <c r="X60" i="59"/>
  <c r="N60" i="59"/>
  <c r="L60" i="59"/>
  <c r="J60" i="59"/>
  <c r="B60" i="59"/>
  <c r="T59" i="59"/>
  <c r="P59" i="59"/>
  <c r="X59" i="59" s="1"/>
  <c r="L59" i="59"/>
  <c r="H59" i="59"/>
  <c r="D59" i="59"/>
  <c r="B59" i="59"/>
  <c r="Z58" i="59"/>
  <c r="X58" i="59"/>
  <c r="N58" i="59"/>
  <c r="L58" i="59"/>
  <c r="J58" i="59"/>
  <c r="B58" i="59"/>
  <c r="X57" i="59"/>
  <c r="Z57" i="59" s="1"/>
  <c r="N57" i="59"/>
  <c r="L57" i="59"/>
  <c r="F57" i="59"/>
  <c r="B57" i="59"/>
  <c r="Z56" i="59"/>
  <c r="V56" i="59"/>
  <c r="T56" i="59"/>
  <c r="P56" i="59"/>
  <c r="X56" i="59" s="1"/>
  <c r="H56" i="59"/>
  <c r="F56" i="59"/>
  <c r="D56" i="59"/>
  <c r="L56" i="59" s="1"/>
  <c r="N56" i="59" s="1"/>
  <c r="B56" i="59"/>
  <c r="X55" i="59"/>
  <c r="Z55" i="59" s="1"/>
  <c r="L55" i="59"/>
  <c r="N55" i="59" s="1"/>
  <c r="F55" i="59"/>
  <c r="B55" i="59"/>
  <c r="Z54" i="59"/>
  <c r="X54" i="59"/>
  <c r="N54" i="59"/>
  <c r="L54" i="59"/>
  <c r="B54" i="59"/>
  <c r="X53" i="59"/>
  <c r="Z53" i="59" s="1"/>
  <c r="R53" i="59"/>
  <c r="L53" i="59"/>
  <c r="N53" i="59" s="1"/>
  <c r="F53" i="59"/>
  <c r="B53" i="59"/>
  <c r="T52" i="59"/>
  <c r="X52" i="59" s="1"/>
  <c r="Z52" i="59" s="1"/>
  <c r="R52" i="59"/>
  <c r="P52" i="59"/>
  <c r="N52" i="59"/>
  <c r="L52" i="59"/>
  <c r="H52" i="59"/>
  <c r="F52" i="59"/>
  <c r="D52" i="59"/>
  <c r="B52" i="59"/>
  <c r="X51" i="59"/>
  <c r="Z51" i="59" s="1"/>
  <c r="R51" i="59"/>
  <c r="L51" i="59"/>
  <c r="N51" i="59" s="1"/>
  <c r="F51" i="59"/>
  <c r="B51" i="59"/>
  <c r="T50" i="59"/>
  <c r="R50" i="59"/>
  <c r="P50" i="59"/>
  <c r="X50" i="59" s="1"/>
  <c r="Z50" i="59" s="1"/>
  <c r="H50" i="59"/>
  <c r="F50" i="59"/>
  <c r="D50" i="59"/>
  <c r="L50" i="59" s="1"/>
  <c r="N50" i="59" s="1"/>
  <c r="B50" i="59"/>
  <c r="X49" i="59"/>
  <c r="Z49" i="59" s="1"/>
  <c r="R49" i="59"/>
  <c r="N49" i="59"/>
  <c r="L49" i="59"/>
  <c r="F49" i="59"/>
  <c r="B49" i="59"/>
  <c r="T48" i="59"/>
  <c r="P48" i="59"/>
  <c r="X48" i="59" s="1"/>
  <c r="Z48" i="59" s="1"/>
  <c r="N48" i="59"/>
  <c r="H48" i="59"/>
  <c r="F48" i="59"/>
  <c r="D48" i="59"/>
  <c r="L48" i="59" s="1"/>
  <c r="B48" i="59"/>
  <c r="Z47" i="59"/>
  <c r="X47" i="59"/>
  <c r="N47" i="59"/>
  <c r="L47" i="59"/>
  <c r="F47" i="59"/>
  <c r="B47" i="59"/>
  <c r="Z46" i="59"/>
  <c r="X46" i="59"/>
  <c r="V46" i="59"/>
  <c r="T46" i="59"/>
  <c r="R46" i="59"/>
  <c r="P46" i="59"/>
  <c r="N46" i="59"/>
  <c r="H46" i="59"/>
  <c r="L46" i="59" s="1"/>
  <c r="F46" i="59"/>
  <c r="D46" i="59"/>
  <c r="B46" i="59"/>
  <c r="X45" i="59"/>
  <c r="Z45" i="59" s="1"/>
  <c r="R45" i="59"/>
  <c r="N45" i="59"/>
  <c r="L45" i="59"/>
  <c r="F45" i="59"/>
  <c r="B45" i="59"/>
  <c r="Z44" i="59"/>
  <c r="X44" i="59"/>
  <c r="N44" i="59"/>
  <c r="L44" i="59"/>
  <c r="B44" i="59"/>
  <c r="T43" i="59"/>
  <c r="Z43" i="59" s="1"/>
  <c r="P43" i="59"/>
  <c r="X43" i="59" s="1"/>
  <c r="H43" i="59"/>
  <c r="D43" i="59"/>
  <c r="B43" i="59"/>
  <c r="Z42" i="59"/>
  <c r="X42" i="59"/>
  <c r="N42" i="59"/>
  <c r="L42" i="59"/>
  <c r="B42" i="59"/>
  <c r="T41" i="59"/>
  <c r="Z41" i="59" s="1"/>
  <c r="P41" i="59"/>
  <c r="X41" i="59" s="1"/>
  <c r="H41" i="59"/>
  <c r="N41" i="59" s="1"/>
  <c r="D41" i="59"/>
  <c r="L41" i="59" s="1"/>
  <c r="B41" i="59"/>
  <c r="Z40" i="59"/>
  <c r="X40" i="59"/>
  <c r="R40" i="59"/>
  <c r="N40" i="59"/>
  <c r="L40" i="59"/>
  <c r="F40" i="59"/>
  <c r="B40" i="59"/>
  <c r="Z39" i="59"/>
  <c r="X39" i="59"/>
  <c r="N39" i="59"/>
  <c r="L39" i="59"/>
  <c r="F39" i="59"/>
  <c r="B39" i="59"/>
  <c r="Z38" i="59"/>
  <c r="X38" i="59"/>
  <c r="N38" i="59"/>
  <c r="L38" i="59"/>
  <c r="F38" i="59"/>
  <c r="B38" i="59"/>
  <c r="Z37" i="59"/>
  <c r="X37" i="59"/>
  <c r="R37" i="59"/>
  <c r="N37" i="59"/>
  <c r="L37" i="59"/>
  <c r="F37" i="59"/>
  <c r="B37" i="59"/>
  <c r="Z36" i="59"/>
  <c r="X36" i="59"/>
  <c r="R36" i="59"/>
  <c r="N36" i="59"/>
  <c r="L36" i="59"/>
  <c r="F36" i="59"/>
  <c r="B36" i="59"/>
  <c r="Z35" i="59"/>
  <c r="X35" i="59"/>
  <c r="R35" i="59"/>
  <c r="N35" i="59"/>
  <c r="L35" i="59"/>
  <c r="F35" i="59"/>
  <c r="B35" i="59"/>
  <c r="Z34" i="59"/>
  <c r="X34" i="59"/>
  <c r="N34" i="59"/>
  <c r="L34" i="59"/>
  <c r="F34" i="59"/>
  <c r="B34" i="59"/>
  <c r="Z33" i="59"/>
  <c r="X33" i="59"/>
  <c r="R33" i="59"/>
  <c r="N33" i="59"/>
  <c r="L33" i="59"/>
  <c r="F33" i="59"/>
  <c r="B33" i="59"/>
  <c r="Z32" i="59"/>
  <c r="X32" i="59"/>
  <c r="R32" i="59"/>
  <c r="N32" i="59"/>
  <c r="L32" i="59"/>
  <c r="F32" i="59"/>
  <c r="B32" i="59"/>
  <c r="Z31" i="59"/>
  <c r="X31" i="59"/>
  <c r="R31" i="59"/>
  <c r="N31" i="59"/>
  <c r="L31" i="59"/>
  <c r="F31" i="59"/>
  <c r="B31" i="59"/>
  <c r="Z30" i="59"/>
  <c r="X30" i="59"/>
  <c r="T30" i="59"/>
  <c r="R30" i="59"/>
  <c r="P30" i="59"/>
  <c r="H30" i="59"/>
  <c r="F30" i="59"/>
  <c r="D30" i="59"/>
  <c r="B30" i="59"/>
  <c r="X29" i="59"/>
  <c r="Z29" i="59" s="1"/>
  <c r="R29" i="59"/>
  <c r="L29" i="59"/>
  <c r="N29" i="59" s="1"/>
  <c r="F29" i="59"/>
  <c r="B29" i="59"/>
  <c r="Z28" i="59"/>
  <c r="X28" i="59"/>
  <c r="N28" i="59"/>
  <c r="L28" i="59"/>
  <c r="B28" i="59"/>
  <c r="X27" i="59"/>
  <c r="Z27" i="59" s="1"/>
  <c r="R27" i="59"/>
  <c r="L27" i="59"/>
  <c r="N27" i="59" s="1"/>
  <c r="F27" i="59"/>
  <c r="B27" i="59"/>
  <c r="Z26" i="59"/>
  <c r="X26" i="59"/>
  <c r="R26" i="59"/>
  <c r="N26" i="59"/>
  <c r="L26" i="59"/>
  <c r="B26" i="59"/>
  <c r="X25" i="59"/>
  <c r="Z25" i="59" s="1"/>
  <c r="R25" i="59"/>
  <c r="L25" i="59"/>
  <c r="N25" i="59" s="1"/>
  <c r="F25" i="59"/>
  <c r="B25" i="59"/>
  <c r="Z24" i="59"/>
  <c r="X24" i="59"/>
  <c r="R24" i="59"/>
  <c r="N24" i="59"/>
  <c r="L24" i="59"/>
  <c r="B24" i="59"/>
  <c r="X23" i="59"/>
  <c r="Z23" i="59" s="1"/>
  <c r="R23" i="59"/>
  <c r="L23" i="59"/>
  <c r="N23" i="59" s="1"/>
  <c r="F23" i="59"/>
  <c r="B23" i="59"/>
  <c r="Z22" i="59"/>
  <c r="X22" i="59"/>
  <c r="R22" i="59"/>
  <c r="N22" i="59"/>
  <c r="L22" i="59"/>
  <c r="B22" i="59"/>
  <c r="X21" i="59"/>
  <c r="Z21" i="59" s="1"/>
  <c r="R21" i="59"/>
  <c r="L21" i="59"/>
  <c r="N21" i="59" s="1"/>
  <c r="F21" i="59"/>
  <c r="B21" i="59"/>
  <c r="Z20" i="59"/>
  <c r="X20" i="59"/>
  <c r="R20" i="59"/>
  <c r="N20" i="59"/>
  <c r="L20" i="59"/>
  <c r="B20" i="59"/>
  <c r="T19" i="59"/>
  <c r="P19" i="59"/>
  <c r="H19" i="59"/>
  <c r="D19" i="59"/>
  <c r="B19" i="59"/>
  <c r="Z18" i="59"/>
  <c r="X18" i="59"/>
  <c r="V18" i="59"/>
  <c r="T18" i="59"/>
  <c r="R18" i="59"/>
  <c r="P18" i="59"/>
  <c r="J18" i="59"/>
  <c r="H18" i="59"/>
  <c r="F18" i="59"/>
  <c r="D18" i="59"/>
  <c r="L18" i="59" s="1"/>
  <c r="N18" i="59" s="1"/>
  <c r="R16" i="59"/>
  <c r="J16" i="59"/>
  <c r="F16" i="59"/>
  <c r="Z14" i="59"/>
  <c r="X14" i="59"/>
  <c r="V14" i="59"/>
  <c r="T14" i="59"/>
  <c r="R14" i="59"/>
  <c r="P14" i="59"/>
  <c r="P16" i="59" s="1"/>
  <c r="N14" i="59"/>
  <c r="J14" i="59"/>
  <c r="H14" i="59"/>
  <c r="F14" i="59"/>
  <c r="D14" i="59"/>
  <c r="D16" i="59" s="1"/>
  <c r="T12" i="59"/>
  <c r="V62" i="59" s="1"/>
  <c r="P12" i="59"/>
  <c r="R64" i="59" s="1"/>
  <c r="H12" i="59"/>
  <c r="J28" i="59" s="1"/>
  <c r="D12" i="59"/>
  <c r="F71" i="59" s="1"/>
  <c r="D6" i="59"/>
  <c r="D4" i="59"/>
  <c r="R83" i="58"/>
  <c r="J83" i="58"/>
  <c r="F83" i="58"/>
  <c r="R80" i="58"/>
  <c r="J80" i="58"/>
  <c r="F80" i="58"/>
  <c r="Z78" i="58"/>
  <c r="X78" i="58"/>
  <c r="N78" i="58"/>
  <c r="L78" i="58"/>
  <c r="J76" i="58"/>
  <c r="F76" i="58"/>
  <c r="Z74" i="58"/>
  <c r="T74" i="58"/>
  <c r="P74" i="58"/>
  <c r="X74" i="58" s="1"/>
  <c r="N74" i="58"/>
  <c r="L74" i="58"/>
  <c r="H74" i="58"/>
  <c r="F74" i="58"/>
  <c r="D74" i="58"/>
  <c r="Z72" i="58"/>
  <c r="X72" i="58"/>
  <c r="N72" i="58"/>
  <c r="L72" i="58"/>
  <c r="B72" i="58"/>
  <c r="T71" i="58"/>
  <c r="Z71" i="58" s="1"/>
  <c r="P71" i="58"/>
  <c r="H71" i="58"/>
  <c r="N71" i="58" s="1"/>
  <c r="D71" i="58"/>
  <c r="L71" i="58" s="1"/>
  <c r="B71" i="58"/>
  <c r="Z70" i="58"/>
  <c r="X70" i="58"/>
  <c r="N70" i="58"/>
  <c r="L70" i="58"/>
  <c r="B70" i="58"/>
  <c r="X69" i="58"/>
  <c r="T69" i="58"/>
  <c r="P69" i="58"/>
  <c r="L69" i="58"/>
  <c r="H69" i="58"/>
  <c r="N69" i="58" s="1"/>
  <c r="D69" i="58"/>
  <c r="B69" i="58"/>
  <c r="Z68" i="58"/>
  <c r="X68" i="58"/>
  <c r="N68" i="58"/>
  <c r="L68" i="58"/>
  <c r="J68" i="58"/>
  <c r="B68" i="58"/>
  <c r="T67" i="58"/>
  <c r="P67" i="58"/>
  <c r="H67" i="58"/>
  <c r="D67" i="58"/>
  <c r="B67" i="58"/>
  <c r="Z66" i="58"/>
  <c r="X66" i="58"/>
  <c r="N66" i="58"/>
  <c r="L66" i="58"/>
  <c r="J66" i="58"/>
  <c r="B66" i="58"/>
  <c r="X65" i="58"/>
  <c r="Z65" i="58" s="1"/>
  <c r="L65" i="58"/>
  <c r="N65" i="58" s="1"/>
  <c r="F65" i="58"/>
  <c r="B65" i="58"/>
  <c r="Z64" i="58"/>
  <c r="X64" i="58"/>
  <c r="L64" i="58"/>
  <c r="N64" i="58" s="1"/>
  <c r="B64" i="58"/>
  <c r="T63" i="58"/>
  <c r="P63" i="58"/>
  <c r="H63" i="58"/>
  <c r="N63" i="58" s="1"/>
  <c r="D63" i="58"/>
  <c r="L63" i="58" s="1"/>
  <c r="B63" i="58"/>
  <c r="Z62" i="58"/>
  <c r="X62" i="58"/>
  <c r="N62" i="58"/>
  <c r="L62" i="58"/>
  <c r="B62" i="58"/>
  <c r="T61" i="58"/>
  <c r="P61" i="58"/>
  <c r="X61" i="58" s="1"/>
  <c r="L61" i="58"/>
  <c r="H61" i="58"/>
  <c r="D61" i="58"/>
  <c r="B61" i="58"/>
  <c r="Z60" i="58"/>
  <c r="X60" i="58"/>
  <c r="N60" i="58"/>
  <c r="L60" i="58"/>
  <c r="J60" i="58"/>
  <c r="B60" i="58"/>
  <c r="X59" i="58"/>
  <c r="Z59" i="58" s="1"/>
  <c r="R59" i="58"/>
  <c r="L59" i="58"/>
  <c r="N59" i="58" s="1"/>
  <c r="F59" i="58"/>
  <c r="B59" i="58"/>
  <c r="Z58" i="58"/>
  <c r="T58" i="58"/>
  <c r="P58" i="58"/>
  <c r="X58" i="58" s="1"/>
  <c r="H58" i="58"/>
  <c r="L58" i="58" s="1"/>
  <c r="N58" i="58" s="1"/>
  <c r="F58" i="58"/>
  <c r="D58" i="58"/>
  <c r="B58" i="58"/>
  <c r="X57" i="58"/>
  <c r="Z57" i="58" s="1"/>
  <c r="L57" i="58"/>
  <c r="N57" i="58" s="1"/>
  <c r="F57" i="58"/>
  <c r="B57" i="58"/>
  <c r="Z56" i="58"/>
  <c r="X56" i="58"/>
  <c r="N56" i="58"/>
  <c r="L56" i="58"/>
  <c r="B56" i="58"/>
  <c r="Z55" i="58"/>
  <c r="X55" i="58"/>
  <c r="R55" i="58"/>
  <c r="N55" i="58"/>
  <c r="L55" i="58"/>
  <c r="B55" i="58"/>
  <c r="Z54" i="58"/>
  <c r="X54" i="58"/>
  <c r="T54" i="58"/>
  <c r="R54" i="58"/>
  <c r="P54" i="58"/>
  <c r="J54" i="58"/>
  <c r="H54" i="58"/>
  <c r="D54" i="58"/>
  <c r="L54" i="58" s="1"/>
  <c r="N54" i="58" s="1"/>
  <c r="B54" i="58"/>
  <c r="X53" i="58"/>
  <c r="Z53" i="58" s="1"/>
  <c r="R53" i="58"/>
  <c r="L53" i="58"/>
  <c r="N53" i="58" s="1"/>
  <c r="F53" i="58"/>
  <c r="B53" i="58"/>
  <c r="X52" i="58"/>
  <c r="Z52" i="58" s="1"/>
  <c r="N52" i="58"/>
  <c r="L52" i="58"/>
  <c r="B52" i="58"/>
  <c r="X51" i="58"/>
  <c r="T51" i="58"/>
  <c r="P51" i="58"/>
  <c r="H51" i="58"/>
  <c r="D51" i="58"/>
  <c r="L51" i="58" s="1"/>
  <c r="B51" i="58"/>
  <c r="Z50" i="58"/>
  <c r="X50" i="58"/>
  <c r="N50" i="58"/>
  <c r="L50" i="58"/>
  <c r="J50" i="58"/>
  <c r="B50" i="58"/>
  <c r="X49" i="58"/>
  <c r="T49" i="58"/>
  <c r="P49" i="58"/>
  <c r="H49" i="58"/>
  <c r="D49" i="58"/>
  <c r="B49" i="58"/>
  <c r="Z48" i="58"/>
  <c r="X48" i="58"/>
  <c r="L48" i="58"/>
  <c r="N48" i="58" s="1"/>
  <c r="B48" i="58"/>
  <c r="T47" i="58"/>
  <c r="P47" i="58"/>
  <c r="H47" i="58"/>
  <c r="D47" i="58"/>
  <c r="L47" i="58" s="1"/>
  <c r="B47" i="58"/>
  <c r="Z46" i="58"/>
  <c r="X46" i="58"/>
  <c r="N46" i="58"/>
  <c r="L46" i="58"/>
  <c r="F46" i="58"/>
  <c r="B46" i="58"/>
  <c r="X45" i="58"/>
  <c r="T45" i="58"/>
  <c r="P45" i="58"/>
  <c r="L45" i="58"/>
  <c r="H45" i="58"/>
  <c r="N45" i="58" s="1"/>
  <c r="F45" i="58"/>
  <c r="D45" i="58"/>
  <c r="B45" i="58"/>
  <c r="Z44" i="58"/>
  <c r="X44" i="58"/>
  <c r="N44" i="58"/>
  <c r="L44" i="58"/>
  <c r="J44" i="58"/>
  <c r="B44" i="58"/>
  <c r="T43" i="58"/>
  <c r="P43" i="58"/>
  <c r="X43" i="58" s="1"/>
  <c r="L43" i="58"/>
  <c r="H43" i="58"/>
  <c r="D43" i="58"/>
  <c r="B43" i="58"/>
  <c r="Z42" i="58"/>
  <c r="X42" i="58"/>
  <c r="N42" i="58"/>
  <c r="L42" i="58"/>
  <c r="J42" i="58"/>
  <c r="B42" i="58"/>
  <c r="T41" i="58"/>
  <c r="P41" i="58"/>
  <c r="X41" i="58" s="1"/>
  <c r="L41" i="58"/>
  <c r="H41" i="58"/>
  <c r="D41" i="58"/>
  <c r="B41" i="58"/>
  <c r="Z40" i="58"/>
  <c r="X40" i="58"/>
  <c r="N40" i="58"/>
  <c r="L40" i="58"/>
  <c r="J40" i="58"/>
  <c r="F40" i="58"/>
  <c r="B40" i="58"/>
  <c r="Z39" i="58"/>
  <c r="X39" i="58"/>
  <c r="N39" i="58"/>
  <c r="L39" i="58"/>
  <c r="F39" i="58"/>
  <c r="B39" i="58"/>
  <c r="Z38" i="58"/>
  <c r="X38" i="58"/>
  <c r="N38" i="58"/>
  <c r="L38" i="58"/>
  <c r="F38" i="58"/>
  <c r="B38" i="58"/>
  <c r="Z37" i="58"/>
  <c r="X37" i="58"/>
  <c r="R37" i="58"/>
  <c r="N37" i="58"/>
  <c r="L37" i="58"/>
  <c r="F37" i="58"/>
  <c r="B37" i="58"/>
  <c r="Z36" i="58"/>
  <c r="X36" i="58"/>
  <c r="N36" i="58"/>
  <c r="L36" i="58"/>
  <c r="J36" i="58"/>
  <c r="F36" i="58"/>
  <c r="B36" i="58"/>
  <c r="X35" i="58"/>
  <c r="Z35" i="58" s="1"/>
  <c r="L35" i="58"/>
  <c r="N35" i="58" s="1"/>
  <c r="F35" i="58"/>
  <c r="B35" i="58"/>
  <c r="Z34" i="58"/>
  <c r="X34" i="58"/>
  <c r="N34" i="58"/>
  <c r="L34" i="58"/>
  <c r="F34" i="58"/>
  <c r="B34" i="58"/>
  <c r="Z33" i="58"/>
  <c r="X33" i="58"/>
  <c r="R33" i="58"/>
  <c r="N33" i="58"/>
  <c r="L33" i="58"/>
  <c r="F33" i="58"/>
  <c r="B33" i="58"/>
  <c r="Z32" i="58"/>
  <c r="X32" i="58"/>
  <c r="N32" i="58"/>
  <c r="L32" i="58"/>
  <c r="J32" i="58"/>
  <c r="F32" i="58"/>
  <c r="B32" i="58"/>
  <c r="X31" i="58"/>
  <c r="Z31" i="58" s="1"/>
  <c r="L31" i="58"/>
  <c r="N31" i="58" s="1"/>
  <c r="F31" i="58"/>
  <c r="B31" i="58"/>
  <c r="Z30" i="58"/>
  <c r="X30" i="58"/>
  <c r="T30" i="58"/>
  <c r="R30" i="58"/>
  <c r="P30" i="58"/>
  <c r="L30" i="58"/>
  <c r="N30" i="58" s="1"/>
  <c r="H30" i="58"/>
  <c r="F30" i="58"/>
  <c r="D30" i="58"/>
  <c r="B30" i="58"/>
  <c r="X29" i="58"/>
  <c r="Z29" i="58" s="1"/>
  <c r="R29" i="58"/>
  <c r="L29" i="58"/>
  <c r="N29" i="58" s="1"/>
  <c r="F29" i="58"/>
  <c r="B29" i="58"/>
  <c r="Z28" i="58"/>
  <c r="X28" i="58"/>
  <c r="N28" i="58"/>
  <c r="L28" i="58"/>
  <c r="J28" i="58"/>
  <c r="F28" i="58"/>
  <c r="B28" i="58"/>
  <c r="X27" i="58"/>
  <c r="Z27" i="58" s="1"/>
  <c r="R27" i="58"/>
  <c r="L27" i="58"/>
  <c r="N27" i="58" s="1"/>
  <c r="F27" i="58"/>
  <c r="B27" i="58"/>
  <c r="Z26" i="58"/>
  <c r="X26" i="58"/>
  <c r="N26" i="58"/>
  <c r="L26" i="58"/>
  <c r="J26" i="58"/>
  <c r="F26" i="58"/>
  <c r="B26" i="58"/>
  <c r="Z25" i="58"/>
  <c r="X25" i="58"/>
  <c r="R25" i="58"/>
  <c r="N25" i="58"/>
  <c r="L25" i="58"/>
  <c r="F25" i="58"/>
  <c r="B25" i="58"/>
  <c r="Z24" i="58"/>
  <c r="X24" i="58"/>
  <c r="N24" i="58"/>
  <c r="L24" i="58"/>
  <c r="J24" i="58"/>
  <c r="F24" i="58"/>
  <c r="B24" i="58"/>
  <c r="X23" i="58"/>
  <c r="Z23" i="58" s="1"/>
  <c r="R23" i="58"/>
  <c r="L23" i="58"/>
  <c r="N23" i="58" s="1"/>
  <c r="F23" i="58"/>
  <c r="B23" i="58"/>
  <c r="Z22" i="58"/>
  <c r="X22" i="58"/>
  <c r="N22" i="58"/>
  <c r="L22" i="58"/>
  <c r="J22" i="58"/>
  <c r="F22" i="58"/>
  <c r="B22" i="58"/>
  <c r="X21" i="58"/>
  <c r="Z21" i="58" s="1"/>
  <c r="R21" i="58"/>
  <c r="L21" i="58"/>
  <c r="N21" i="58" s="1"/>
  <c r="F21" i="58"/>
  <c r="B21" i="58"/>
  <c r="Z20" i="58"/>
  <c r="X20" i="58"/>
  <c r="N20" i="58"/>
  <c r="L20" i="58"/>
  <c r="J20" i="58"/>
  <c r="F20" i="58"/>
  <c r="B20" i="58"/>
  <c r="T19" i="58"/>
  <c r="P19" i="58"/>
  <c r="X19" i="58" s="1"/>
  <c r="H19" i="58"/>
  <c r="F19" i="58"/>
  <c r="D19" i="58"/>
  <c r="B19" i="58"/>
  <c r="V18" i="58"/>
  <c r="T18" i="58"/>
  <c r="R18" i="58"/>
  <c r="P18" i="58"/>
  <c r="X18" i="58" s="1"/>
  <c r="Z18" i="58" s="1"/>
  <c r="J18" i="58"/>
  <c r="H18" i="58"/>
  <c r="F18" i="58"/>
  <c r="D18" i="58"/>
  <c r="L18" i="58" s="1"/>
  <c r="N18" i="58" s="1"/>
  <c r="R16" i="58"/>
  <c r="J16" i="58"/>
  <c r="F16" i="58"/>
  <c r="Z14" i="58"/>
  <c r="T14" i="58"/>
  <c r="R14" i="58"/>
  <c r="P14" i="58"/>
  <c r="X14" i="58" s="1"/>
  <c r="N14" i="58"/>
  <c r="J14" i="58"/>
  <c r="H14" i="58"/>
  <c r="F14" i="58"/>
  <c r="D14" i="58"/>
  <c r="D16" i="58" s="1"/>
  <c r="T12" i="58"/>
  <c r="P12" i="58"/>
  <c r="R72" i="58" s="1"/>
  <c r="N12" i="58"/>
  <c r="H12" i="58"/>
  <c r="D12" i="58"/>
  <c r="F68" i="58" s="1"/>
  <c r="D6" i="58"/>
  <c r="D4" i="58"/>
  <c r="J80" i="57"/>
  <c r="J77" i="57"/>
  <c r="Z75" i="57"/>
  <c r="X75" i="57"/>
  <c r="N75" i="57"/>
  <c r="L75" i="57"/>
  <c r="Z71" i="57"/>
  <c r="P71" i="57"/>
  <c r="X71" i="57" s="1"/>
  <c r="N71" i="57"/>
  <c r="L71" i="57"/>
  <c r="D71" i="57"/>
  <c r="B71" i="57"/>
  <c r="Z70" i="57"/>
  <c r="X70" i="57"/>
  <c r="P70" i="57"/>
  <c r="N70" i="57"/>
  <c r="D70" i="57"/>
  <c r="B70" i="57"/>
  <c r="Z69" i="57"/>
  <c r="P69" i="57"/>
  <c r="X69" i="57" s="1"/>
  <c r="N69" i="57"/>
  <c r="L69" i="57"/>
  <c r="D69" i="57"/>
  <c r="B69" i="57"/>
  <c r="T68" i="57"/>
  <c r="Z68" i="57" s="1"/>
  <c r="P68" i="57"/>
  <c r="X68" i="57" s="1"/>
  <c r="H68" i="57"/>
  <c r="N68" i="57" s="1"/>
  <c r="Z66" i="57"/>
  <c r="X66" i="57"/>
  <c r="N66" i="57"/>
  <c r="L66" i="57"/>
  <c r="B66" i="57"/>
  <c r="Z65" i="57"/>
  <c r="T65" i="57"/>
  <c r="R65" i="57"/>
  <c r="P65" i="57"/>
  <c r="X65" i="57" s="1"/>
  <c r="N65" i="57"/>
  <c r="H65" i="57"/>
  <c r="D65" i="57"/>
  <c r="L65" i="57" s="1"/>
  <c r="B65" i="57"/>
  <c r="X64" i="57"/>
  <c r="Z64" i="57" s="1"/>
  <c r="L64" i="57"/>
  <c r="N64" i="57" s="1"/>
  <c r="B64" i="57"/>
  <c r="X63" i="57"/>
  <c r="Z63" i="57" s="1"/>
  <c r="T63" i="57"/>
  <c r="P63" i="57"/>
  <c r="N63" i="57"/>
  <c r="L63" i="57"/>
  <c r="H63" i="57"/>
  <c r="D63" i="57"/>
  <c r="B63" i="57"/>
  <c r="X62" i="57"/>
  <c r="Z62" i="57" s="1"/>
  <c r="R62" i="57"/>
  <c r="L62" i="57"/>
  <c r="N62" i="57" s="1"/>
  <c r="B62" i="57"/>
  <c r="Z61" i="57"/>
  <c r="T61" i="57"/>
  <c r="P61" i="57"/>
  <c r="X61" i="57" s="1"/>
  <c r="N61" i="57"/>
  <c r="H61" i="57"/>
  <c r="L61" i="57" s="1"/>
  <c r="D61" i="57"/>
  <c r="B61" i="57"/>
  <c r="X60" i="57"/>
  <c r="Z60" i="57" s="1"/>
  <c r="L60" i="57"/>
  <c r="N60" i="57" s="1"/>
  <c r="B60" i="57"/>
  <c r="Z59" i="57"/>
  <c r="X59" i="57"/>
  <c r="N59" i="57"/>
  <c r="L59" i="57"/>
  <c r="J59" i="57"/>
  <c r="B59" i="57"/>
  <c r="X58" i="57"/>
  <c r="Z58" i="57" s="1"/>
  <c r="N58" i="57"/>
  <c r="L58" i="57"/>
  <c r="B58" i="57"/>
  <c r="T57" i="57"/>
  <c r="P57" i="57"/>
  <c r="X57" i="57" s="1"/>
  <c r="Z57" i="57" s="1"/>
  <c r="N57" i="57"/>
  <c r="J57" i="57"/>
  <c r="H57" i="57"/>
  <c r="D57" i="57"/>
  <c r="L57" i="57" s="1"/>
  <c r="B57" i="57"/>
  <c r="X56" i="57"/>
  <c r="Z56" i="57" s="1"/>
  <c r="L56" i="57"/>
  <c r="N56" i="57" s="1"/>
  <c r="B56" i="57"/>
  <c r="X55" i="57"/>
  <c r="Z55" i="57" s="1"/>
  <c r="T55" i="57"/>
  <c r="P55" i="57"/>
  <c r="N55" i="57"/>
  <c r="L55" i="57"/>
  <c r="J55" i="57"/>
  <c r="H55" i="57"/>
  <c r="D55" i="57"/>
  <c r="B55" i="57"/>
  <c r="X54" i="57"/>
  <c r="Z54" i="57" s="1"/>
  <c r="L54" i="57"/>
  <c r="N54" i="57" s="1"/>
  <c r="B54" i="57"/>
  <c r="Z53" i="57"/>
  <c r="X53" i="57"/>
  <c r="N53" i="57"/>
  <c r="L53" i="57"/>
  <c r="J53" i="57"/>
  <c r="B53" i="57"/>
  <c r="T52" i="57"/>
  <c r="P52" i="57"/>
  <c r="L52" i="57"/>
  <c r="H52" i="57"/>
  <c r="D52" i="57"/>
  <c r="B52" i="57"/>
  <c r="Z51" i="57"/>
  <c r="X51" i="57"/>
  <c r="L51" i="57"/>
  <c r="N51" i="57" s="1"/>
  <c r="J51" i="57"/>
  <c r="B51" i="57"/>
  <c r="T50" i="57"/>
  <c r="P50" i="57"/>
  <c r="H50" i="57"/>
  <c r="D50" i="57"/>
  <c r="B50" i="57"/>
  <c r="Z49" i="57"/>
  <c r="X49" i="57"/>
  <c r="N49" i="57"/>
  <c r="L49" i="57"/>
  <c r="B49" i="57"/>
  <c r="T48" i="57"/>
  <c r="P48" i="57"/>
  <c r="X48" i="57" s="1"/>
  <c r="L48" i="57"/>
  <c r="H48" i="57"/>
  <c r="D48" i="57"/>
  <c r="B48" i="57"/>
  <c r="Z47" i="57"/>
  <c r="X47" i="57"/>
  <c r="N47" i="57"/>
  <c r="L47" i="57"/>
  <c r="J47" i="57"/>
  <c r="B47" i="57"/>
  <c r="Z46" i="57"/>
  <c r="X46" i="57"/>
  <c r="N46" i="57"/>
  <c r="L46" i="57"/>
  <c r="B46" i="57"/>
  <c r="T45" i="57"/>
  <c r="P45" i="57"/>
  <c r="X45" i="57" s="1"/>
  <c r="Z45" i="57" s="1"/>
  <c r="N45" i="57"/>
  <c r="J45" i="57"/>
  <c r="H45" i="57"/>
  <c r="L45" i="57" s="1"/>
  <c r="D45" i="57"/>
  <c r="B45" i="57"/>
  <c r="X44" i="57"/>
  <c r="Z44" i="57" s="1"/>
  <c r="L44" i="57"/>
  <c r="N44" i="57" s="1"/>
  <c r="B44" i="57"/>
  <c r="Z43" i="57"/>
  <c r="T43" i="57"/>
  <c r="P43" i="57"/>
  <c r="X43" i="57" s="1"/>
  <c r="J43" i="57"/>
  <c r="H43" i="57"/>
  <c r="D43" i="57"/>
  <c r="L43" i="57" s="1"/>
  <c r="N43" i="57" s="1"/>
  <c r="B43" i="57"/>
  <c r="X42" i="57"/>
  <c r="Z42" i="57" s="1"/>
  <c r="L42" i="57"/>
  <c r="N42" i="57" s="1"/>
  <c r="F42" i="57"/>
  <c r="B42" i="57"/>
  <c r="Z41" i="57"/>
  <c r="X41" i="57"/>
  <c r="T41" i="57"/>
  <c r="P41" i="57"/>
  <c r="L41" i="57"/>
  <c r="N41" i="57" s="1"/>
  <c r="H41" i="57"/>
  <c r="F41" i="57"/>
  <c r="D41" i="57"/>
  <c r="B41" i="57"/>
  <c r="Z40" i="57"/>
  <c r="X40" i="57"/>
  <c r="N40" i="57"/>
  <c r="L40" i="57"/>
  <c r="J40" i="57"/>
  <c r="B40" i="57"/>
  <c r="Z39" i="57"/>
  <c r="X39" i="57"/>
  <c r="N39" i="57"/>
  <c r="L39" i="57"/>
  <c r="B39" i="57"/>
  <c r="Z38" i="57"/>
  <c r="X38" i="57"/>
  <c r="L38" i="57"/>
  <c r="N38" i="57" s="1"/>
  <c r="B38" i="57"/>
  <c r="Z37" i="57"/>
  <c r="X37" i="57"/>
  <c r="N37" i="57"/>
  <c r="L37" i="57"/>
  <c r="J37" i="57"/>
  <c r="B37" i="57"/>
  <c r="Z36" i="57"/>
  <c r="X36" i="57"/>
  <c r="N36" i="57"/>
  <c r="L36" i="57"/>
  <c r="J36" i="57"/>
  <c r="B36" i="57"/>
  <c r="Z35" i="57"/>
  <c r="X35" i="57"/>
  <c r="N35" i="57"/>
  <c r="L35" i="57"/>
  <c r="J35" i="57"/>
  <c r="B35" i="57"/>
  <c r="Z34" i="57"/>
  <c r="X34" i="57"/>
  <c r="R34" i="57"/>
  <c r="N34" i="57"/>
  <c r="L34" i="57"/>
  <c r="B34" i="57"/>
  <c r="Z33" i="57"/>
  <c r="X33" i="57"/>
  <c r="N33" i="57"/>
  <c r="L33" i="57"/>
  <c r="J33" i="57"/>
  <c r="B33" i="57"/>
  <c r="X32" i="57"/>
  <c r="Z32" i="57" s="1"/>
  <c r="L32" i="57"/>
  <c r="N32" i="57" s="1"/>
  <c r="B32" i="57"/>
  <c r="Z31" i="57"/>
  <c r="X31" i="57"/>
  <c r="N31" i="57"/>
  <c r="L31" i="57"/>
  <c r="B31" i="57"/>
  <c r="T30" i="57"/>
  <c r="P30" i="57"/>
  <c r="X30" i="57" s="1"/>
  <c r="N30" i="57"/>
  <c r="L30" i="57"/>
  <c r="H30" i="57"/>
  <c r="D30" i="57"/>
  <c r="B30" i="57"/>
  <c r="Z29" i="57"/>
  <c r="X29" i="57"/>
  <c r="N29" i="57"/>
  <c r="L29" i="57"/>
  <c r="J29" i="57"/>
  <c r="B29" i="57"/>
  <c r="X28" i="57"/>
  <c r="Z28" i="57" s="1"/>
  <c r="L28" i="57"/>
  <c r="N28" i="57" s="1"/>
  <c r="J28" i="57"/>
  <c r="B28" i="57"/>
  <c r="Z27" i="57"/>
  <c r="X27" i="57"/>
  <c r="L27" i="57"/>
  <c r="N27" i="57" s="1"/>
  <c r="J27" i="57"/>
  <c r="B27" i="57"/>
  <c r="Z26" i="57"/>
  <c r="X26" i="57"/>
  <c r="N26" i="57"/>
  <c r="L26" i="57"/>
  <c r="B26" i="57"/>
  <c r="Z25" i="57"/>
  <c r="X25" i="57"/>
  <c r="N25" i="57"/>
  <c r="L25" i="57"/>
  <c r="B25" i="57"/>
  <c r="X24" i="57"/>
  <c r="Z24" i="57" s="1"/>
  <c r="L24" i="57"/>
  <c r="N24" i="57" s="1"/>
  <c r="J24" i="57"/>
  <c r="B24" i="57"/>
  <c r="Z23" i="57"/>
  <c r="X23" i="57"/>
  <c r="L23" i="57"/>
  <c r="N23" i="57" s="1"/>
  <c r="B23" i="57"/>
  <c r="Z22" i="57"/>
  <c r="X22" i="57"/>
  <c r="L22" i="57"/>
  <c r="N22" i="57" s="1"/>
  <c r="B22" i="57"/>
  <c r="X21" i="57"/>
  <c r="Z21" i="57" s="1"/>
  <c r="N21" i="57"/>
  <c r="L21" i="57"/>
  <c r="J21" i="57"/>
  <c r="B21" i="57"/>
  <c r="T20" i="57"/>
  <c r="P20" i="57"/>
  <c r="X20" i="57" s="1"/>
  <c r="J20" i="57"/>
  <c r="H20" i="57"/>
  <c r="D20" i="57"/>
  <c r="B20" i="57"/>
  <c r="T19" i="57"/>
  <c r="P19" i="57"/>
  <c r="X19" i="57" s="1"/>
  <c r="J19" i="57"/>
  <c r="H19" i="57"/>
  <c r="F19" i="57"/>
  <c r="D19" i="57"/>
  <c r="L19" i="57" s="1"/>
  <c r="N19" i="57" s="1"/>
  <c r="J17" i="57"/>
  <c r="H17" i="57"/>
  <c r="F17" i="57"/>
  <c r="T15" i="57"/>
  <c r="Z15" i="57" s="1"/>
  <c r="P15" i="57"/>
  <c r="X15" i="57" s="1"/>
  <c r="J15" i="57"/>
  <c r="H15" i="57"/>
  <c r="N15" i="57" s="1"/>
  <c r="D15" i="57"/>
  <c r="L15" i="57" s="1"/>
  <c r="Z13" i="57"/>
  <c r="P13" i="57"/>
  <c r="X13" i="57" s="1"/>
  <c r="N13" i="57"/>
  <c r="D13" i="57"/>
  <c r="D12" i="57" s="1"/>
  <c r="B13" i="57"/>
  <c r="T12" i="57"/>
  <c r="P12" i="57"/>
  <c r="R31" i="57" s="1"/>
  <c r="N12" i="57"/>
  <c r="H12" i="57"/>
  <c r="J75" i="57" s="1"/>
  <c r="D6" i="57"/>
  <c r="D4" i="57"/>
  <c r="Z80" i="56"/>
  <c r="X80" i="56"/>
  <c r="N80" i="56"/>
  <c r="L80" i="56"/>
  <c r="J80" i="56"/>
  <c r="J78" i="56"/>
  <c r="T76" i="56"/>
  <c r="Z76" i="56" s="1"/>
  <c r="P76" i="56"/>
  <c r="X76" i="56" s="1"/>
  <c r="J76" i="56"/>
  <c r="H76" i="56"/>
  <c r="D76" i="56"/>
  <c r="X74" i="56"/>
  <c r="Z74" i="56" s="1"/>
  <c r="N74" i="56"/>
  <c r="L74" i="56"/>
  <c r="B74" i="56"/>
  <c r="T73" i="56"/>
  <c r="P73" i="56"/>
  <c r="X73" i="56" s="1"/>
  <c r="Z73" i="56" s="1"/>
  <c r="N73" i="56"/>
  <c r="J73" i="56"/>
  <c r="H73" i="56"/>
  <c r="D73" i="56"/>
  <c r="L73" i="56" s="1"/>
  <c r="B73" i="56"/>
  <c r="Z72" i="56"/>
  <c r="X72" i="56"/>
  <c r="N72" i="56"/>
  <c r="L72" i="56"/>
  <c r="J72" i="56"/>
  <c r="B72" i="56"/>
  <c r="X71" i="56"/>
  <c r="T71" i="56"/>
  <c r="Z71" i="56" s="1"/>
  <c r="P71" i="56"/>
  <c r="L71" i="56"/>
  <c r="H71" i="56"/>
  <c r="N71" i="56" s="1"/>
  <c r="D71" i="56"/>
  <c r="B71" i="56"/>
  <c r="Z70" i="56"/>
  <c r="X70" i="56"/>
  <c r="L70" i="56"/>
  <c r="N70" i="56" s="1"/>
  <c r="J70" i="56"/>
  <c r="B70" i="56"/>
  <c r="T69" i="56"/>
  <c r="P69" i="56"/>
  <c r="X69" i="56" s="1"/>
  <c r="J69" i="56"/>
  <c r="H69" i="56"/>
  <c r="N69" i="56" s="1"/>
  <c r="D69" i="56"/>
  <c r="L69" i="56" s="1"/>
  <c r="B69" i="56"/>
  <c r="X68" i="56"/>
  <c r="Z68" i="56" s="1"/>
  <c r="N68" i="56"/>
  <c r="L68" i="56"/>
  <c r="B68" i="56"/>
  <c r="X67" i="56"/>
  <c r="Z67" i="56" s="1"/>
  <c r="L67" i="56"/>
  <c r="N67" i="56" s="1"/>
  <c r="J67" i="56"/>
  <c r="B67" i="56"/>
  <c r="X66" i="56"/>
  <c r="Z66" i="56" s="1"/>
  <c r="L66" i="56"/>
  <c r="N66" i="56" s="1"/>
  <c r="B66" i="56"/>
  <c r="Z65" i="56"/>
  <c r="T65" i="56"/>
  <c r="P65" i="56"/>
  <c r="X65" i="56" s="1"/>
  <c r="J65" i="56"/>
  <c r="H65" i="56"/>
  <c r="D65" i="56"/>
  <c r="L65" i="56" s="1"/>
  <c r="N65" i="56" s="1"/>
  <c r="B65" i="56"/>
  <c r="Z64" i="56"/>
  <c r="X64" i="56"/>
  <c r="N64" i="56"/>
  <c r="L64" i="56"/>
  <c r="J64" i="56"/>
  <c r="B64" i="56"/>
  <c r="X63" i="56"/>
  <c r="T63" i="56"/>
  <c r="P63" i="56"/>
  <c r="L63" i="56"/>
  <c r="H63" i="56"/>
  <c r="N63" i="56" s="1"/>
  <c r="D63" i="56"/>
  <c r="B63" i="56"/>
  <c r="X62" i="56"/>
  <c r="Z62" i="56" s="1"/>
  <c r="L62" i="56"/>
  <c r="N62" i="56" s="1"/>
  <c r="J62" i="56"/>
  <c r="B62" i="56"/>
  <c r="T61" i="56"/>
  <c r="P61" i="56"/>
  <c r="X61" i="56" s="1"/>
  <c r="J61" i="56"/>
  <c r="H61" i="56"/>
  <c r="D61" i="56"/>
  <c r="L61" i="56" s="1"/>
  <c r="B61" i="56"/>
  <c r="X60" i="56"/>
  <c r="Z60" i="56" s="1"/>
  <c r="V60" i="56"/>
  <c r="N60" i="56"/>
  <c r="L60" i="56"/>
  <c r="B60" i="56"/>
  <c r="X59" i="56"/>
  <c r="Z59" i="56" s="1"/>
  <c r="N59" i="56"/>
  <c r="L59" i="56"/>
  <c r="J59" i="56"/>
  <c r="B59" i="56"/>
  <c r="X58" i="56"/>
  <c r="Z58" i="56" s="1"/>
  <c r="L58" i="56"/>
  <c r="N58" i="56" s="1"/>
  <c r="B58" i="56"/>
  <c r="Z57" i="56"/>
  <c r="T57" i="56"/>
  <c r="P57" i="56"/>
  <c r="X57" i="56" s="1"/>
  <c r="J57" i="56"/>
  <c r="H57" i="56"/>
  <c r="D57" i="56"/>
  <c r="L57" i="56" s="1"/>
  <c r="N57" i="56" s="1"/>
  <c r="B57" i="56"/>
  <c r="Z56" i="56"/>
  <c r="X56" i="56"/>
  <c r="N56" i="56"/>
  <c r="L56" i="56"/>
  <c r="J56" i="56"/>
  <c r="B56" i="56"/>
  <c r="X55" i="56"/>
  <c r="T55" i="56"/>
  <c r="P55" i="56"/>
  <c r="L55" i="56"/>
  <c r="H55" i="56"/>
  <c r="N55" i="56" s="1"/>
  <c r="D55" i="56"/>
  <c r="B55" i="56"/>
  <c r="Z54" i="56"/>
  <c r="X54" i="56"/>
  <c r="L54" i="56"/>
  <c r="N54" i="56" s="1"/>
  <c r="J54" i="56"/>
  <c r="B54" i="56"/>
  <c r="T53" i="56"/>
  <c r="P53" i="56"/>
  <c r="J53" i="56"/>
  <c r="H53" i="56"/>
  <c r="N53" i="56" s="1"/>
  <c r="D53" i="56"/>
  <c r="L53" i="56" s="1"/>
  <c r="B53" i="56"/>
  <c r="X52" i="56"/>
  <c r="Z52" i="56" s="1"/>
  <c r="N52" i="56"/>
  <c r="L52" i="56"/>
  <c r="B52" i="56"/>
  <c r="T51" i="56"/>
  <c r="P51" i="56"/>
  <c r="X51" i="56" s="1"/>
  <c r="Z51" i="56" s="1"/>
  <c r="H51" i="56"/>
  <c r="D51" i="56"/>
  <c r="L51" i="56" s="1"/>
  <c r="N51" i="56" s="1"/>
  <c r="B51" i="56"/>
  <c r="X50" i="56"/>
  <c r="Z50" i="56" s="1"/>
  <c r="L50" i="56"/>
  <c r="N50" i="56" s="1"/>
  <c r="J50" i="56"/>
  <c r="B50" i="56"/>
  <c r="X49" i="56"/>
  <c r="T49" i="56"/>
  <c r="Z49" i="56" s="1"/>
  <c r="P49" i="56"/>
  <c r="L49" i="56"/>
  <c r="J49" i="56"/>
  <c r="H49" i="56"/>
  <c r="N49" i="56" s="1"/>
  <c r="D49" i="56"/>
  <c r="B49" i="56"/>
  <c r="Z48" i="56"/>
  <c r="X48" i="56"/>
  <c r="L48" i="56"/>
  <c r="N48" i="56" s="1"/>
  <c r="J48" i="56"/>
  <c r="B48" i="56"/>
  <c r="T47" i="56"/>
  <c r="P47" i="56"/>
  <c r="X47" i="56" s="1"/>
  <c r="J47" i="56"/>
  <c r="H47" i="56"/>
  <c r="F47" i="56"/>
  <c r="D47" i="56"/>
  <c r="B47" i="56"/>
  <c r="X46" i="56"/>
  <c r="Z46" i="56" s="1"/>
  <c r="N46" i="56"/>
  <c r="L46" i="56"/>
  <c r="B46" i="56"/>
  <c r="T45" i="56"/>
  <c r="P45" i="56"/>
  <c r="X45" i="56" s="1"/>
  <c r="Z45" i="56" s="1"/>
  <c r="N45" i="56"/>
  <c r="J45" i="56"/>
  <c r="H45" i="56"/>
  <c r="D45" i="56"/>
  <c r="L45" i="56" s="1"/>
  <c r="B45" i="56"/>
  <c r="Z44" i="56"/>
  <c r="X44" i="56"/>
  <c r="N44" i="56"/>
  <c r="L44" i="56"/>
  <c r="J44" i="56"/>
  <c r="B44" i="56"/>
  <c r="X43" i="56"/>
  <c r="T43" i="56"/>
  <c r="Z43" i="56" s="1"/>
  <c r="P43" i="56"/>
  <c r="L43" i="56"/>
  <c r="H43" i="56"/>
  <c r="N43" i="56" s="1"/>
  <c r="D43" i="56"/>
  <c r="B43" i="56"/>
  <c r="Z42" i="56"/>
  <c r="X42" i="56"/>
  <c r="L42" i="56"/>
  <c r="N42" i="56" s="1"/>
  <c r="J42" i="56"/>
  <c r="B42" i="56"/>
  <c r="T41" i="56"/>
  <c r="P41" i="56"/>
  <c r="J41" i="56"/>
  <c r="H41" i="56"/>
  <c r="D41" i="56"/>
  <c r="L41" i="56" s="1"/>
  <c r="B41" i="56"/>
  <c r="Z40" i="56"/>
  <c r="X40" i="56"/>
  <c r="N40" i="56"/>
  <c r="L40" i="56"/>
  <c r="B40" i="56"/>
  <c r="Z39" i="56"/>
  <c r="X39" i="56"/>
  <c r="N39" i="56"/>
  <c r="L39" i="56"/>
  <c r="J39" i="56"/>
  <c r="B39" i="56"/>
  <c r="X38" i="56"/>
  <c r="Z38" i="56" s="1"/>
  <c r="N38" i="56"/>
  <c r="L38" i="56"/>
  <c r="B38" i="56"/>
  <c r="Z37" i="56"/>
  <c r="X37" i="56"/>
  <c r="L37" i="56"/>
  <c r="N37" i="56" s="1"/>
  <c r="B37" i="56"/>
  <c r="Z36" i="56"/>
  <c r="X36" i="56"/>
  <c r="N36" i="56"/>
  <c r="L36" i="56"/>
  <c r="B36" i="56"/>
  <c r="Z35" i="56"/>
  <c r="X35" i="56"/>
  <c r="N35" i="56"/>
  <c r="L35" i="56"/>
  <c r="J35" i="56"/>
  <c r="B35" i="56"/>
  <c r="Z34" i="56"/>
  <c r="X34" i="56"/>
  <c r="N34" i="56"/>
  <c r="L34" i="56"/>
  <c r="B34" i="56"/>
  <c r="Z33" i="56"/>
  <c r="X33" i="56"/>
  <c r="N33" i="56"/>
  <c r="L33" i="56"/>
  <c r="B33" i="56"/>
  <c r="X32" i="56"/>
  <c r="Z32" i="56" s="1"/>
  <c r="N32" i="56"/>
  <c r="L32" i="56"/>
  <c r="B32" i="56"/>
  <c r="X31" i="56"/>
  <c r="Z31" i="56" s="1"/>
  <c r="L31" i="56"/>
  <c r="N31" i="56" s="1"/>
  <c r="J31" i="56"/>
  <c r="B31" i="56"/>
  <c r="T30" i="56"/>
  <c r="P30" i="56"/>
  <c r="X30" i="56" s="1"/>
  <c r="J30" i="56"/>
  <c r="H30" i="56"/>
  <c r="D30" i="56"/>
  <c r="B30" i="56"/>
  <c r="X29" i="56"/>
  <c r="Z29" i="56" s="1"/>
  <c r="N29" i="56"/>
  <c r="L29" i="56"/>
  <c r="J29" i="56"/>
  <c r="B29" i="56"/>
  <c r="Z28" i="56"/>
  <c r="X28" i="56"/>
  <c r="N28" i="56"/>
  <c r="L28" i="56"/>
  <c r="J28" i="56"/>
  <c r="B28" i="56"/>
  <c r="X27" i="56"/>
  <c r="Z27" i="56" s="1"/>
  <c r="L27" i="56"/>
  <c r="N27" i="56" s="1"/>
  <c r="J27" i="56"/>
  <c r="B27" i="56"/>
  <c r="Z26" i="56"/>
  <c r="X26" i="56"/>
  <c r="N26" i="56"/>
  <c r="L26" i="56"/>
  <c r="J26" i="56"/>
  <c r="B26" i="56"/>
  <c r="X25" i="56"/>
  <c r="Z25" i="56" s="1"/>
  <c r="N25" i="56"/>
  <c r="L25" i="56"/>
  <c r="J25" i="56"/>
  <c r="B25" i="56"/>
  <c r="Z24" i="56"/>
  <c r="X24" i="56"/>
  <c r="N24" i="56"/>
  <c r="L24" i="56"/>
  <c r="J24" i="56"/>
  <c r="F24" i="56"/>
  <c r="B24" i="56"/>
  <c r="X23" i="56"/>
  <c r="Z23" i="56" s="1"/>
  <c r="L23" i="56"/>
  <c r="N23" i="56" s="1"/>
  <c r="J23" i="56"/>
  <c r="B23" i="56"/>
  <c r="X22" i="56"/>
  <c r="Z22" i="56" s="1"/>
  <c r="L22" i="56"/>
  <c r="N22" i="56" s="1"/>
  <c r="J22" i="56"/>
  <c r="B22" i="56"/>
  <c r="X21" i="56"/>
  <c r="Z21" i="56" s="1"/>
  <c r="N21" i="56"/>
  <c r="L21" i="56"/>
  <c r="J21" i="56"/>
  <c r="B21" i="56"/>
  <c r="T20" i="56"/>
  <c r="P20" i="56"/>
  <c r="X20" i="56" s="1"/>
  <c r="Z20" i="56" s="1"/>
  <c r="L20" i="56"/>
  <c r="N20" i="56" s="1"/>
  <c r="H20" i="56"/>
  <c r="D20" i="56"/>
  <c r="B20" i="56"/>
  <c r="T19" i="56"/>
  <c r="Z19" i="56" s="1"/>
  <c r="P19" i="56"/>
  <c r="X19" i="56" s="1"/>
  <c r="J19" i="56"/>
  <c r="H19" i="56"/>
  <c r="N19" i="56" s="1"/>
  <c r="D19" i="56"/>
  <c r="L19" i="56" s="1"/>
  <c r="N17" i="56"/>
  <c r="J17" i="56"/>
  <c r="H17" i="56"/>
  <c r="H78" i="56" s="1"/>
  <c r="T15" i="56"/>
  <c r="Z15" i="56" s="1"/>
  <c r="P15" i="56"/>
  <c r="X15" i="56" s="1"/>
  <c r="N15" i="56"/>
  <c r="J15" i="56"/>
  <c r="H15" i="56"/>
  <c r="D15" i="56"/>
  <c r="L15" i="56" s="1"/>
  <c r="Z13" i="56"/>
  <c r="P13" i="56"/>
  <c r="X13" i="56" s="1"/>
  <c r="N13" i="56"/>
  <c r="D13" i="56"/>
  <c r="D12" i="56" s="1"/>
  <c r="F17" i="56" s="1"/>
  <c r="B13" i="56"/>
  <c r="T12" i="56"/>
  <c r="P12" i="56"/>
  <c r="R52" i="56" s="1"/>
  <c r="N12" i="56"/>
  <c r="H12" i="56"/>
  <c r="J85" i="56" s="1"/>
  <c r="D6" i="56"/>
  <c r="D4" i="56"/>
  <c r="R40" i="55"/>
  <c r="F40" i="55"/>
  <c r="R37" i="55"/>
  <c r="F37" i="55"/>
  <c r="Z35" i="55"/>
  <c r="X35" i="55"/>
  <c r="N35" i="55"/>
  <c r="L35" i="55"/>
  <c r="V33" i="55"/>
  <c r="J33" i="55"/>
  <c r="F33" i="55"/>
  <c r="V31" i="55"/>
  <c r="T31" i="55"/>
  <c r="Z31" i="55" s="1"/>
  <c r="P31" i="55"/>
  <c r="X31" i="55" s="1"/>
  <c r="H31" i="55"/>
  <c r="F31" i="55"/>
  <c r="D31" i="55"/>
  <c r="X29" i="55"/>
  <c r="Z29" i="55" s="1"/>
  <c r="V29" i="55"/>
  <c r="L29" i="55"/>
  <c r="N29" i="55" s="1"/>
  <c r="F29" i="55"/>
  <c r="B29" i="55"/>
  <c r="Z28" i="55"/>
  <c r="X28" i="55"/>
  <c r="N28" i="55"/>
  <c r="L28" i="55"/>
  <c r="F28" i="55"/>
  <c r="B28" i="55"/>
  <c r="V27" i="55"/>
  <c r="T27" i="55"/>
  <c r="P27" i="55"/>
  <c r="H27" i="55"/>
  <c r="F27" i="55"/>
  <c r="D27" i="55"/>
  <c r="L27" i="55" s="1"/>
  <c r="B27" i="55"/>
  <c r="Z26" i="55"/>
  <c r="X26" i="55"/>
  <c r="V26" i="55"/>
  <c r="N26" i="55"/>
  <c r="L26" i="55"/>
  <c r="F26" i="55"/>
  <c r="B26" i="55"/>
  <c r="Z25" i="55"/>
  <c r="X25" i="55"/>
  <c r="T25" i="55"/>
  <c r="R25" i="55"/>
  <c r="P25" i="55"/>
  <c r="N25" i="55"/>
  <c r="H25" i="55"/>
  <c r="F25" i="55"/>
  <c r="D25" i="55"/>
  <c r="L25" i="55" s="1"/>
  <c r="B25" i="55"/>
  <c r="Z24" i="55"/>
  <c r="X24" i="55"/>
  <c r="R24" i="55"/>
  <c r="N24" i="55"/>
  <c r="L24" i="55"/>
  <c r="B24" i="55"/>
  <c r="V23" i="55"/>
  <c r="T23" i="55"/>
  <c r="P23" i="55"/>
  <c r="N23" i="55"/>
  <c r="L23" i="55"/>
  <c r="H23" i="55"/>
  <c r="D23" i="55"/>
  <c r="B23" i="55"/>
  <c r="X22" i="55"/>
  <c r="Z22" i="55" s="1"/>
  <c r="V22" i="55"/>
  <c r="L22" i="55"/>
  <c r="N22" i="55" s="1"/>
  <c r="J22" i="55"/>
  <c r="F22" i="55"/>
  <c r="B22" i="55"/>
  <c r="V21" i="55"/>
  <c r="T21" i="55"/>
  <c r="Z21" i="55" s="1"/>
  <c r="P21" i="55"/>
  <c r="X21" i="55" s="1"/>
  <c r="H21" i="55"/>
  <c r="F21" i="55"/>
  <c r="D21" i="55"/>
  <c r="B21" i="55"/>
  <c r="X20" i="55"/>
  <c r="Z20" i="55" s="1"/>
  <c r="N20" i="55"/>
  <c r="L20" i="55"/>
  <c r="F20" i="55"/>
  <c r="B20" i="55"/>
  <c r="T19" i="55"/>
  <c r="P19" i="55"/>
  <c r="X19" i="55" s="1"/>
  <c r="Z19" i="55" s="1"/>
  <c r="H19" i="55"/>
  <c r="F19" i="55"/>
  <c r="D19" i="55"/>
  <c r="L19" i="55" s="1"/>
  <c r="N19" i="55" s="1"/>
  <c r="B19" i="55"/>
  <c r="T18" i="55"/>
  <c r="Z18" i="55" s="1"/>
  <c r="P18" i="55"/>
  <c r="X18" i="55" s="1"/>
  <c r="H18" i="55"/>
  <c r="F18" i="55"/>
  <c r="D18" i="55"/>
  <c r="F16" i="55"/>
  <c r="T14" i="55"/>
  <c r="T16" i="55" s="1"/>
  <c r="P14" i="55"/>
  <c r="X14" i="55" s="1"/>
  <c r="H14" i="55"/>
  <c r="N14" i="55" s="1"/>
  <c r="F14" i="55"/>
  <c r="D14" i="55"/>
  <c r="T12" i="55"/>
  <c r="V19" i="55" s="1"/>
  <c r="P12" i="55"/>
  <c r="R28" i="55" s="1"/>
  <c r="H12" i="55"/>
  <c r="J21" i="55" s="1"/>
  <c r="D12" i="55"/>
  <c r="F24" i="55" s="1"/>
  <c r="D6" i="55"/>
  <c r="D4" i="55"/>
  <c r="J31" i="54"/>
  <c r="F31" i="54"/>
  <c r="T29" i="54"/>
  <c r="P29" i="54"/>
  <c r="X29" i="54" s="1"/>
  <c r="Z29" i="54" s="1"/>
  <c r="J29" i="54"/>
  <c r="H29" i="54"/>
  <c r="F29" i="54"/>
  <c r="D29" i="54"/>
  <c r="L29" i="54" s="1"/>
  <c r="N29" i="54" s="1"/>
  <c r="T28" i="54"/>
  <c r="P28" i="54"/>
  <c r="X28" i="54" s="1"/>
  <c r="Z28" i="54" s="1"/>
  <c r="J28" i="54"/>
  <c r="H28" i="54"/>
  <c r="F28" i="54"/>
  <c r="D28" i="54"/>
  <c r="L28" i="54" s="1"/>
  <c r="N28" i="54" s="1"/>
  <c r="J26" i="54"/>
  <c r="F26" i="54"/>
  <c r="Z24" i="54"/>
  <c r="X24" i="54"/>
  <c r="N24" i="54"/>
  <c r="L24" i="54"/>
  <c r="J24" i="54"/>
  <c r="F24" i="54"/>
  <c r="R22" i="54"/>
  <c r="J22" i="54"/>
  <c r="F22" i="54"/>
  <c r="T20" i="54"/>
  <c r="Z20" i="54" s="1"/>
  <c r="P20" i="54"/>
  <c r="J20" i="54"/>
  <c r="H20" i="54"/>
  <c r="N20" i="54" s="1"/>
  <c r="F20" i="54"/>
  <c r="D20" i="54"/>
  <c r="L20" i="54" s="1"/>
  <c r="T18" i="54"/>
  <c r="Z18" i="54" s="1"/>
  <c r="R18" i="54"/>
  <c r="P18" i="54"/>
  <c r="J18" i="54"/>
  <c r="H18" i="54"/>
  <c r="N18" i="54" s="1"/>
  <c r="F18" i="54"/>
  <c r="D18" i="54"/>
  <c r="L18" i="54" s="1"/>
  <c r="R16" i="54"/>
  <c r="J16" i="54"/>
  <c r="F16" i="54"/>
  <c r="Z14" i="54"/>
  <c r="T14" i="54"/>
  <c r="T16" i="54" s="1"/>
  <c r="P14" i="54"/>
  <c r="J14" i="54"/>
  <c r="H14" i="54"/>
  <c r="H16" i="54" s="1"/>
  <c r="F14" i="54"/>
  <c r="D14" i="54"/>
  <c r="L14" i="54" s="1"/>
  <c r="Z12" i="54"/>
  <c r="T12" i="54"/>
  <c r="V22" i="54" s="1"/>
  <c r="P12" i="54"/>
  <c r="N12" i="54"/>
  <c r="L12" i="54"/>
  <c r="H12" i="54"/>
  <c r="D12" i="54"/>
  <c r="D6" i="54"/>
  <c r="D4" i="54"/>
  <c r="Z103" i="51"/>
  <c r="X103" i="51"/>
  <c r="N103" i="51"/>
  <c r="L103" i="51"/>
  <c r="X99" i="51"/>
  <c r="Z99" i="51" s="1"/>
  <c r="P99" i="51"/>
  <c r="J99" i="51"/>
  <c r="D99" i="51"/>
  <c r="L99" i="51" s="1"/>
  <c r="N99" i="51" s="1"/>
  <c r="B99" i="51"/>
  <c r="Z98" i="51"/>
  <c r="P98" i="51"/>
  <c r="X98" i="51" s="1"/>
  <c r="N98" i="51"/>
  <c r="D98" i="51"/>
  <c r="L98" i="51" s="1"/>
  <c r="B98" i="51"/>
  <c r="T97" i="51"/>
  <c r="P97" i="51"/>
  <c r="X97" i="51" s="1"/>
  <c r="H97" i="51"/>
  <c r="Z95" i="51"/>
  <c r="X95" i="51"/>
  <c r="N95" i="51"/>
  <c r="L95" i="51"/>
  <c r="J95" i="51"/>
  <c r="B95" i="51"/>
  <c r="Z94" i="51"/>
  <c r="X94" i="51"/>
  <c r="T94" i="51"/>
  <c r="P94" i="51"/>
  <c r="H94" i="51"/>
  <c r="N94" i="51" s="1"/>
  <c r="D94" i="51"/>
  <c r="B94" i="51"/>
  <c r="Z93" i="51"/>
  <c r="X93" i="51"/>
  <c r="L93" i="51"/>
  <c r="N93" i="51" s="1"/>
  <c r="B93" i="51"/>
  <c r="T92" i="51"/>
  <c r="P92" i="51"/>
  <c r="J92" i="51"/>
  <c r="H92" i="51"/>
  <c r="D92" i="51"/>
  <c r="L92" i="51" s="1"/>
  <c r="B92" i="51"/>
  <c r="X91" i="51"/>
  <c r="Z91" i="51" s="1"/>
  <c r="V91" i="51"/>
  <c r="N91" i="51"/>
  <c r="L91" i="51"/>
  <c r="B91" i="51"/>
  <c r="Z90" i="51"/>
  <c r="X90" i="51"/>
  <c r="N90" i="51"/>
  <c r="L90" i="51"/>
  <c r="J90" i="51"/>
  <c r="B90" i="51"/>
  <c r="Z89" i="51"/>
  <c r="X89" i="51"/>
  <c r="N89" i="51"/>
  <c r="L89" i="51"/>
  <c r="B89" i="51"/>
  <c r="Z88" i="51"/>
  <c r="T88" i="51"/>
  <c r="P88" i="51"/>
  <c r="X88" i="51" s="1"/>
  <c r="L88" i="51"/>
  <c r="N88" i="51" s="1"/>
  <c r="H88" i="51"/>
  <c r="D88" i="51"/>
  <c r="B88" i="51"/>
  <c r="Z87" i="51"/>
  <c r="X87" i="51"/>
  <c r="L87" i="51"/>
  <c r="N87" i="51" s="1"/>
  <c r="J87" i="51"/>
  <c r="B87" i="51"/>
  <c r="X86" i="51"/>
  <c r="Z86" i="51" s="1"/>
  <c r="T86" i="51"/>
  <c r="P86" i="51"/>
  <c r="H86" i="51"/>
  <c r="D86" i="51"/>
  <c r="B86" i="51"/>
  <c r="Z85" i="51"/>
  <c r="X85" i="51"/>
  <c r="L85" i="51"/>
  <c r="N85" i="51" s="1"/>
  <c r="B85" i="51"/>
  <c r="T84" i="51"/>
  <c r="P84" i="51"/>
  <c r="J84" i="51"/>
  <c r="H84" i="51"/>
  <c r="N84" i="51" s="1"/>
  <c r="D84" i="51"/>
  <c r="L84" i="51" s="1"/>
  <c r="B84" i="51"/>
  <c r="Z83" i="51"/>
  <c r="X83" i="51"/>
  <c r="N83" i="51"/>
  <c r="L83" i="51"/>
  <c r="B83" i="51"/>
  <c r="T82" i="51"/>
  <c r="P82" i="51"/>
  <c r="X82" i="51" s="1"/>
  <c r="Z82" i="51" s="1"/>
  <c r="N82" i="51"/>
  <c r="H82" i="51"/>
  <c r="D82" i="51"/>
  <c r="L82" i="51" s="1"/>
  <c r="B82" i="51"/>
  <c r="Z81" i="51"/>
  <c r="X81" i="51"/>
  <c r="V81" i="51"/>
  <c r="N81" i="51"/>
  <c r="L81" i="51"/>
  <c r="B81" i="51"/>
  <c r="Z80" i="51"/>
  <c r="X80" i="51"/>
  <c r="L80" i="51"/>
  <c r="N80" i="51" s="1"/>
  <c r="J80" i="51"/>
  <c r="B80" i="51"/>
  <c r="T79" i="51"/>
  <c r="P79" i="51"/>
  <c r="J79" i="51"/>
  <c r="H79" i="51"/>
  <c r="D79" i="51"/>
  <c r="B79" i="51"/>
  <c r="X78" i="51"/>
  <c r="Z78" i="51" s="1"/>
  <c r="V78" i="51"/>
  <c r="L78" i="51"/>
  <c r="N78" i="51" s="1"/>
  <c r="B78" i="51"/>
  <c r="Z77" i="51"/>
  <c r="X77" i="51"/>
  <c r="T77" i="51"/>
  <c r="P77" i="51"/>
  <c r="J77" i="51"/>
  <c r="H77" i="51"/>
  <c r="D77" i="51"/>
  <c r="L77" i="51" s="1"/>
  <c r="N77" i="51" s="1"/>
  <c r="B77" i="51"/>
  <c r="Z76" i="51"/>
  <c r="X76" i="51"/>
  <c r="N76" i="51"/>
  <c r="L76" i="51"/>
  <c r="J76" i="51"/>
  <c r="B76" i="51"/>
  <c r="V75" i="51"/>
  <c r="T75" i="51"/>
  <c r="X75" i="51" s="1"/>
  <c r="Z75" i="51" s="1"/>
  <c r="P75" i="51"/>
  <c r="L75" i="51"/>
  <c r="N75" i="51" s="1"/>
  <c r="H75" i="51"/>
  <c r="D75" i="51"/>
  <c r="B75" i="51"/>
  <c r="X74" i="51"/>
  <c r="Z74" i="51" s="1"/>
  <c r="L74" i="51"/>
  <c r="N74" i="51" s="1"/>
  <c r="J74" i="51"/>
  <c r="B74" i="51"/>
  <c r="V73" i="51"/>
  <c r="T73" i="51"/>
  <c r="P73" i="51"/>
  <c r="H73" i="51"/>
  <c r="D73" i="51"/>
  <c r="L73" i="51" s="1"/>
  <c r="B73" i="51"/>
  <c r="X72" i="51"/>
  <c r="Z72" i="51" s="1"/>
  <c r="N72" i="51"/>
  <c r="L72" i="51"/>
  <c r="B72" i="51"/>
  <c r="T71" i="51"/>
  <c r="P71" i="51"/>
  <c r="X71" i="51" s="1"/>
  <c r="Z71" i="51" s="1"/>
  <c r="H71" i="51"/>
  <c r="D71" i="51"/>
  <c r="L71" i="51" s="1"/>
  <c r="N71" i="51" s="1"/>
  <c r="B71" i="51"/>
  <c r="Z70" i="51"/>
  <c r="X70" i="51"/>
  <c r="N70" i="51"/>
  <c r="L70" i="51"/>
  <c r="J70" i="51"/>
  <c r="B70" i="51"/>
  <c r="Z69" i="51"/>
  <c r="X69" i="51"/>
  <c r="N69" i="51"/>
  <c r="L69" i="51"/>
  <c r="J69" i="51"/>
  <c r="B69" i="51"/>
  <c r="Z68" i="51"/>
  <c r="X68" i="51"/>
  <c r="N68" i="51"/>
  <c r="L68" i="51"/>
  <c r="J68" i="51"/>
  <c r="B68" i="51"/>
  <c r="Z67" i="51"/>
  <c r="X67" i="51"/>
  <c r="N67" i="51"/>
  <c r="L67" i="51"/>
  <c r="J67" i="51"/>
  <c r="B67" i="51"/>
  <c r="Z66" i="51"/>
  <c r="X66" i="51"/>
  <c r="N66" i="51"/>
  <c r="L66" i="51"/>
  <c r="J66" i="51"/>
  <c r="B66" i="51"/>
  <c r="Z65" i="51"/>
  <c r="X65" i="51"/>
  <c r="N65" i="51"/>
  <c r="L65" i="51"/>
  <c r="J65" i="51"/>
  <c r="B65" i="51"/>
  <c r="Z64" i="51"/>
  <c r="X64" i="51"/>
  <c r="N64" i="51"/>
  <c r="L64" i="51"/>
  <c r="J64" i="51"/>
  <c r="B64" i="51"/>
  <c r="Z63" i="51"/>
  <c r="X63" i="51"/>
  <c r="V63" i="51"/>
  <c r="N63" i="51"/>
  <c r="L63" i="51"/>
  <c r="J63" i="51"/>
  <c r="B63" i="51"/>
  <c r="Z62" i="51"/>
  <c r="X62" i="51"/>
  <c r="N62" i="51"/>
  <c r="L62" i="51"/>
  <c r="J62" i="51"/>
  <c r="B62" i="51"/>
  <c r="Z61" i="51"/>
  <c r="X61" i="51"/>
  <c r="N61" i="51"/>
  <c r="L61" i="51"/>
  <c r="J61" i="51"/>
  <c r="B61" i="51"/>
  <c r="T60" i="51"/>
  <c r="P60" i="51"/>
  <c r="X60" i="51" s="1"/>
  <c r="Z60" i="51" s="1"/>
  <c r="H60" i="51"/>
  <c r="D60" i="51"/>
  <c r="L60" i="51" s="1"/>
  <c r="B60" i="51"/>
  <c r="X59" i="51"/>
  <c r="Z59" i="51" s="1"/>
  <c r="V59" i="51"/>
  <c r="L59" i="51"/>
  <c r="N59" i="51" s="1"/>
  <c r="J59" i="51"/>
  <c r="B59" i="51"/>
  <c r="Z58" i="51"/>
  <c r="X58" i="51"/>
  <c r="L58" i="51"/>
  <c r="N58" i="51" s="1"/>
  <c r="J58" i="51"/>
  <c r="B58" i="51"/>
  <c r="Z57" i="51"/>
  <c r="X57" i="51"/>
  <c r="L57" i="51"/>
  <c r="N57" i="51" s="1"/>
  <c r="B57" i="51"/>
  <c r="Z56" i="51"/>
  <c r="X56" i="51"/>
  <c r="N56" i="51"/>
  <c r="L56" i="51"/>
  <c r="J56" i="51"/>
  <c r="B56" i="51"/>
  <c r="Z55" i="51"/>
  <c r="X55" i="51"/>
  <c r="N55" i="51"/>
  <c r="L55" i="51"/>
  <c r="J55" i="51"/>
  <c r="B55" i="51"/>
  <c r="X54" i="51"/>
  <c r="Z54" i="51" s="1"/>
  <c r="L54" i="51"/>
  <c r="N54" i="51" s="1"/>
  <c r="J54" i="51"/>
  <c r="B54" i="51"/>
  <c r="Z53" i="51"/>
  <c r="X53" i="51"/>
  <c r="L53" i="51"/>
  <c r="N53" i="51" s="1"/>
  <c r="B53" i="51"/>
  <c r="Z52" i="51"/>
  <c r="X52" i="51"/>
  <c r="L52" i="51"/>
  <c r="N52" i="51" s="1"/>
  <c r="J52" i="51"/>
  <c r="B52" i="51"/>
  <c r="X51" i="51"/>
  <c r="Z51" i="51" s="1"/>
  <c r="L51" i="51"/>
  <c r="N51" i="51" s="1"/>
  <c r="J51" i="51"/>
  <c r="B51" i="51"/>
  <c r="X50" i="51"/>
  <c r="Z50" i="51" s="1"/>
  <c r="V50" i="51"/>
  <c r="L50" i="51"/>
  <c r="N50" i="51" s="1"/>
  <c r="J50" i="51"/>
  <c r="B50" i="51"/>
  <c r="T49" i="51"/>
  <c r="P49" i="51"/>
  <c r="J49" i="51"/>
  <c r="H49" i="51"/>
  <c r="D49" i="51"/>
  <c r="L49" i="51" s="1"/>
  <c r="B49" i="51"/>
  <c r="T48" i="51"/>
  <c r="P48" i="51"/>
  <c r="L48" i="51"/>
  <c r="J48" i="51"/>
  <c r="H48" i="51"/>
  <c r="D48" i="51"/>
  <c r="Z44" i="51"/>
  <c r="X44" i="51"/>
  <c r="V44" i="51"/>
  <c r="N44" i="51"/>
  <c r="L44" i="51"/>
  <c r="B44" i="51"/>
  <c r="Z43" i="51"/>
  <c r="X43" i="51"/>
  <c r="V43" i="51"/>
  <c r="N43" i="51"/>
  <c r="L43" i="51"/>
  <c r="J43" i="51"/>
  <c r="B43" i="51"/>
  <c r="Z42" i="51"/>
  <c r="X42" i="51"/>
  <c r="N42" i="51"/>
  <c r="L42" i="51"/>
  <c r="B42" i="51"/>
  <c r="Z41" i="51"/>
  <c r="X41" i="51"/>
  <c r="N41" i="51"/>
  <c r="L41" i="51"/>
  <c r="J41" i="51"/>
  <c r="B41" i="51"/>
  <c r="Z40" i="51"/>
  <c r="X40" i="51"/>
  <c r="N40" i="51"/>
  <c r="L40" i="51"/>
  <c r="B40" i="51"/>
  <c r="Z39" i="51"/>
  <c r="X39" i="51"/>
  <c r="N39" i="51"/>
  <c r="L39" i="51"/>
  <c r="J39" i="51"/>
  <c r="B39" i="51"/>
  <c r="Z38" i="51"/>
  <c r="X38" i="51"/>
  <c r="N38" i="51"/>
  <c r="L38" i="51"/>
  <c r="B38" i="51"/>
  <c r="Z37" i="51"/>
  <c r="X37" i="51"/>
  <c r="N37" i="51"/>
  <c r="L37" i="51"/>
  <c r="J37" i="51"/>
  <c r="B37" i="51"/>
  <c r="Z36" i="51"/>
  <c r="X36" i="51"/>
  <c r="V36" i="51"/>
  <c r="N36" i="51"/>
  <c r="L36" i="51"/>
  <c r="B36" i="51"/>
  <c r="Z35" i="51"/>
  <c r="X35" i="51"/>
  <c r="V35" i="51"/>
  <c r="N35" i="51"/>
  <c r="L35" i="51"/>
  <c r="J35" i="51"/>
  <c r="B35" i="51"/>
  <c r="Z34" i="51"/>
  <c r="X34" i="51"/>
  <c r="N34" i="51"/>
  <c r="L34" i="51"/>
  <c r="B34" i="51"/>
  <c r="X33" i="51"/>
  <c r="Z33" i="51" s="1"/>
  <c r="N33" i="51"/>
  <c r="L33" i="51"/>
  <c r="J33" i="51"/>
  <c r="B33" i="51"/>
  <c r="V32" i="51"/>
  <c r="T32" i="51"/>
  <c r="P32" i="51"/>
  <c r="X32" i="51" s="1"/>
  <c r="J32" i="51"/>
  <c r="H32" i="51"/>
  <c r="D32" i="51"/>
  <c r="Z30" i="51"/>
  <c r="P30" i="51"/>
  <c r="X30" i="51" s="1"/>
  <c r="N30" i="51"/>
  <c r="D30" i="51"/>
  <c r="L30" i="51" s="1"/>
  <c r="B30" i="51"/>
  <c r="Z29" i="51"/>
  <c r="P29" i="51"/>
  <c r="X29" i="51" s="1"/>
  <c r="N29" i="51"/>
  <c r="L29" i="51"/>
  <c r="D29" i="51"/>
  <c r="B29" i="51"/>
  <c r="Z28" i="51"/>
  <c r="X28" i="51"/>
  <c r="P28" i="51"/>
  <c r="N28" i="51"/>
  <c r="D28" i="51"/>
  <c r="L28" i="51" s="1"/>
  <c r="B28" i="51"/>
  <c r="Z27" i="51"/>
  <c r="X27" i="51"/>
  <c r="P27" i="51"/>
  <c r="N27" i="51"/>
  <c r="L27" i="51"/>
  <c r="D27" i="51"/>
  <c r="B27" i="51"/>
  <c r="Z26" i="51"/>
  <c r="X26" i="51"/>
  <c r="P26" i="51"/>
  <c r="N26" i="51"/>
  <c r="D26" i="51"/>
  <c r="L26" i="51" s="1"/>
  <c r="B26" i="51"/>
  <c r="Z25" i="51"/>
  <c r="P25" i="51"/>
  <c r="X25" i="51" s="1"/>
  <c r="N25" i="51"/>
  <c r="D25" i="51"/>
  <c r="L25" i="51" s="1"/>
  <c r="B25" i="51"/>
  <c r="Z24" i="51"/>
  <c r="X24" i="51"/>
  <c r="P24" i="51"/>
  <c r="N24" i="51"/>
  <c r="D24" i="51"/>
  <c r="L24" i="51" s="1"/>
  <c r="B24" i="51"/>
  <c r="Z23" i="51"/>
  <c r="X23" i="51"/>
  <c r="P23" i="51"/>
  <c r="N23" i="51"/>
  <c r="L23" i="51"/>
  <c r="D23" i="51"/>
  <c r="B23" i="51"/>
  <c r="Z22" i="51"/>
  <c r="P22" i="51"/>
  <c r="X22" i="51" s="1"/>
  <c r="N22" i="51"/>
  <c r="D22" i="51"/>
  <c r="L22" i="51" s="1"/>
  <c r="B22" i="51"/>
  <c r="Z21" i="51"/>
  <c r="P21" i="51"/>
  <c r="X21" i="51" s="1"/>
  <c r="N21" i="51"/>
  <c r="D21" i="51"/>
  <c r="L21" i="51" s="1"/>
  <c r="B21" i="51"/>
  <c r="Z20" i="51"/>
  <c r="X20" i="51"/>
  <c r="P20" i="51"/>
  <c r="N20" i="51"/>
  <c r="D20" i="51"/>
  <c r="L20" i="51" s="1"/>
  <c r="B20" i="51"/>
  <c r="P19" i="51"/>
  <c r="X19" i="51" s="1"/>
  <c r="Z19" i="51" s="1"/>
  <c r="L19" i="51"/>
  <c r="N19" i="51" s="1"/>
  <c r="D19" i="51"/>
  <c r="B19" i="51"/>
  <c r="Z18" i="51"/>
  <c r="X18" i="51"/>
  <c r="P18" i="51"/>
  <c r="N18" i="51"/>
  <c r="L18" i="51"/>
  <c r="D18" i="51"/>
  <c r="B18" i="51"/>
  <c r="Z17" i="51"/>
  <c r="P17" i="51"/>
  <c r="X17" i="51" s="1"/>
  <c r="N17" i="51"/>
  <c r="L17" i="51"/>
  <c r="D17" i="51"/>
  <c r="B17" i="51"/>
  <c r="Z16" i="51"/>
  <c r="P16" i="51"/>
  <c r="X16" i="51" s="1"/>
  <c r="N16" i="51"/>
  <c r="D16" i="51"/>
  <c r="L16" i="51" s="1"/>
  <c r="B16" i="51"/>
  <c r="Z15" i="51"/>
  <c r="X15" i="51"/>
  <c r="P15" i="51"/>
  <c r="N15" i="51"/>
  <c r="L15" i="51"/>
  <c r="D15" i="51"/>
  <c r="B15" i="51"/>
  <c r="Z14" i="51"/>
  <c r="X14" i="51"/>
  <c r="P14" i="51"/>
  <c r="N14" i="51"/>
  <c r="L14" i="51"/>
  <c r="D14" i="51"/>
  <c r="B14" i="51"/>
  <c r="P13" i="51"/>
  <c r="X13" i="51" s="1"/>
  <c r="Z13" i="51" s="1"/>
  <c r="N13" i="51"/>
  <c r="L13" i="51"/>
  <c r="D13" i="51"/>
  <c r="B13" i="51"/>
  <c r="T12" i="51"/>
  <c r="V51" i="51" s="1"/>
  <c r="H12" i="51"/>
  <c r="J82" i="51" s="1"/>
  <c r="D4" i="51"/>
  <c r="Z73" i="48"/>
  <c r="X73" i="48"/>
  <c r="N73" i="48"/>
  <c r="L73" i="48"/>
  <c r="Z69" i="48"/>
  <c r="P69" i="48"/>
  <c r="X69" i="48" s="1"/>
  <c r="L69" i="48"/>
  <c r="N69" i="48" s="1"/>
  <c r="D69" i="48"/>
  <c r="B69" i="48"/>
  <c r="X68" i="48"/>
  <c r="Z68" i="48" s="1"/>
  <c r="T68" i="48"/>
  <c r="P68" i="48"/>
  <c r="H68" i="48"/>
  <c r="D68" i="48"/>
  <c r="Z66" i="48"/>
  <c r="X66" i="48"/>
  <c r="N66" i="48"/>
  <c r="L66" i="48"/>
  <c r="B66" i="48"/>
  <c r="Z65" i="48"/>
  <c r="T65" i="48"/>
  <c r="X65" i="48" s="1"/>
  <c r="P65" i="48"/>
  <c r="L65" i="48"/>
  <c r="H65" i="48"/>
  <c r="N65" i="48" s="1"/>
  <c r="D65" i="48"/>
  <c r="B65" i="48"/>
  <c r="Z64" i="48"/>
  <c r="X64" i="48"/>
  <c r="N64" i="48"/>
  <c r="L64" i="48"/>
  <c r="B64" i="48"/>
  <c r="Z63" i="48"/>
  <c r="X63" i="48"/>
  <c r="L63" i="48"/>
  <c r="N63" i="48" s="1"/>
  <c r="J63" i="48"/>
  <c r="B63" i="48"/>
  <c r="T62" i="48"/>
  <c r="P62" i="48"/>
  <c r="H62" i="48"/>
  <c r="D62" i="48"/>
  <c r="B62" i="48"/>
  <c r="Z61" i="48"/>
  <c r="X61" i="48"/>
  <c r="N61" i="48"/>
  <c r="L61" i="48"/>
  <c r="B61" i="48"/>
  <c r="Z60" i="48"/>
  <c r="X60" i="48"/>
  <c r="N60" i="48"/>
  <c r="L60" i="48"/>
  <c r="B60" i="48"/>
  <c r="X59" i="48"/>
  <c r="Z59" i="48" s="1"/>
  <c r="L59" i="48"/>
  <c r="N59" i="48" s="1"/>
  <c r="B59" i="48"/>
  <c r="X58" i="48"/>
  <c r="Z58" i="48" s="1"/>
  <c r="N58" i="48"/>
  <c r="L58" i="48"/>
  <c r="B58" i="48"/>
  <c r="T57" i="48"/>
  <c r="P57" i="48"/>
  <c r="X57" i="48" s="1"/>
  <c r="L57" i="48"/>
  <c r="N57" i="48" s="1"/>
  <c r="H57" i="48"/>
  <c r="D57" i="48"/>
  <c r="B57" i="48"/>
  <c r="X56" i="48"/>
  <c r="Z56" i="48" s="1"/>
  <c r="L56" i="48"/>
  <c r="N56" i="48" s="1"/>
  <c r="B56" i="48"/>
  <c r="X55" i="48"/>
  <c r="T55" i="48"/>
  <c r="Z55" i="48" s="1"/>
  <c r="P55" i="48"/>
  <c r="N55" i="48"/>
  <c r="H55" i="48"/>
  <c r="L55" i="48" s="1"/>
  <c r="D55" i="48"/>
  <c r="B55" i="48"/>
  <c r="Z54" i="48"/>
  <c r="X54" i="48"/>
  <c r="L54" i="48"/>
  <c r="N54" i="48" s="1"/>
  <c r="B54" i="48"/>
  <c r="T53" i="48"/>
  <c r="P53" i="48"/>
  <c r="X53" i="48" s="1"/>
  <c r="Z53" i="48" s="1"/>
  <c r="J53" i="48"/>
  <c r="H53" i="48"/>
  <c r="D53" i="48"/>
  <c r="L53" i="48" s="1"/>
  <c r="N53" i="48" s="1"/>
  <c r="B53" i="48"/>
  <c r="Z52" i="48"/>
  <c r="X52" i="48"/>
  <c r="L52" i="48"/>
  <c r="N52" i="48" s="1"/>
  <c r="B52" i="48"/>
  <c r="X51" i="48"/>
  <c r="Z51" i="48" s="1"/>
  <c r="V51" i="48"/>
  <c r="T51" i="48"/>
  <c r="P51" i="48"/>
  <c r="H51" i="48"/>
  <c r="N51" i="48" s="1"/>
  <c r="D51" i="48"/>
  <c r="L51" i="48" s="1"/>
  <c r="B51" i="48"/>
  <c r="Z50" i="48"/>
  <c r="X50" i="48"/>
  <c r="N50" i="48"/>
  <c r="L50" i="48"/>
  <c r="B50" i="48"/>
  <c r="Z49" i="48"/>
  <c r="X49" i="48"/>
  <c r="N49" i="48"/>
  <c r="L49" i="48"/>
  <c r="B49" i="48"/>
  <c r="X48" i="48"/>
  <c r="T48" i="48"/>
  <c r="P48" i="48"/>
  <c r="L48" i="48"/>
  <c r="N48" i="48" s="1"/>
  <c r="H48" i="48"/>
  <c r="D48" i="48"/>
  <c r="B48" i="48"/>
  <c r="Z47" i="48"/>
  <c r="X47" i="48"/>
  <c r="L47" i="48"/>
  <c r="N47" i="48" s="1"/>
  <c r="J47" i="48"/>
  <c r="B47" i="48"/>
  <c r="T46" i="48"/>
  <c r="P46" i="48"/>
  <c r="J46" i="48"/>
  <c r="H46" i="48"/>
  <c r="D46" i="48"/>
  <c r="B46" i="48"/>
  <c r="Z45" i="48"/>
  <c r="X45" i="48"/>
  <c r="N45" i="48"/>
  <c r="L45" i="48"/>
  <c r="B45" i="48"/>
  <c r="T44" i="48"/>
  <c r="P44" i="48"/>
  <c r="X44" i="48" s="1"/>
  <c r="H44" i="48"/>
  <c r="D44" i="48"/>
  <c r="L44" i="48" s="1"/>
  <c r="B44" i="48"/>
  <c r="X43" i="48"/>
  <c r="Z43" i="48" s="1"/>
  <c r="N43" i="48"/>
  <c r="L43" i="48"/>
  <c r="J43" i="48"/>
  <c r="B43" i="48"/>
  <c r="X42" i="48"/>
  <c r="Z42" i="48" s="1"/>
  <c r="T42" i="48"/>
  <c r="P42" i="48"/>
  <c r="H42" i="48"/>
  <c r="D42" i="48"/>
  <c r="B42" i="48"/>
  <c r="Z41" i="48"/>
  <c r="X41" i="48"/>
  <c r="N41" i="48"/>
  <c r="L41" i="48"/>
  <c r="B41" i="48"/>
  <c r="Z40" i="48"/>
  <c r="X40" i="48"/>
  <c r="N40" i="48"/>
  <c r="L40" i="48"/>
  <c r="B40" i="48"/>
  <c r="Z39" i="48"/>
  <c r="X39" i="48"/>
  <c r="N39" i="48"/>
  <c r="L39" i="48"/>
  <c r="J39" i="48"/>
  <c r="B39" i="48"/>
  <c r="Z38" i="48"/>
  <c r="X38" i="48"/>
  <c r="N38" i="48"/>
  <c r="L38" i="48"/>
  <c r="B38" i="48"/>
  <c r="Z37" i="48"/>
  <c r="X37" i="48"/>
  <c r="N37" i="48"/>
  <c r="L37" i="48"/>
  <c r="B37" i="48"/>
  <c r="Z36" i="48"/>
  <c r="X36" i="48"/>
  <c r="V36" i="48"/>
  <c r="N36" i="48"/>
  <c r="L36" i="48"/>
  <c r="J36" i="48"/>
  <c r="B36" i="48"/>
  <c r="Z35" i="48"/>
  <c r="X35" i="48"/>
  <c r="L35" i="48"/>
  <c r="N35" i="48" s="1"/>
  <c r="B35" i="48"/>
  <c r="Z34" i="48"/>
  <c r="X34" i="48"/>
  <c r="N34" i="48"/>
  <c r="L34" i="48"/>
  <c r="B34" i="48"/>
  <c r="Z33" i="48"/>
  <c r="X33" i="48"/>
  <c r="L33" i="48"/>
  <c r="N33" i="48" s="1"/>
  <c r="J33" i="48"/>
  <c r="B33" i="48"/>
  <c r="X32" i="48"/>
  <c r="Z32" i="48" s="1"/>
  <c r="R32" i="48"/>
  <c r="N32" i="48"/>
  <c r="L32" i="48"/>
  <c r="B32" i="48"/>
  <c r="T31" i="48"/>
  <c r="Z31" i="48" s="1"/>
  <c r="P31" i="48"/>
  <c r="X31" i="48" s="1"/>
  <c r="H31" i="48"/>
  <c r="D31" i="48"/>
  <c r="L31" i="48" s="1"/>
  <c r="N31" i="48" s="1"/>
  <c r="B31" i="48"/>
  <c r="X30" i="48"/>
  <c r="Z30" i="48" s="1"/>
  <c r="L30" i="48"/>
  <c r="N30" i="48" s="1"/>
  <c r="B30" i="48"/>
  <c r="X29" i="48"/>
  <c r="Z29" i="48" s="1"/>
  <c r="V29" i="48"/>
  <c r="N29" i="48"/>
  <c r="L29" i="48"/>
  <c r="J29" i="48"/>
  <c r="B29" i="48"/>
  <c r="Z28" i="48"/>
  <c r="X28" i="48"/>
  <c r="L28" i="48"/>
  <c r="N28" i="48" s="1"/>
  <c r="B28" i="48"/>
  <c r="Z27" i="48"/>
  <c r="X27" i="48"/>
  <c r="V27" i="48"/>
  <c r="N27" i="48"/>
  <c r="L27" i="48"/>
  <c r="B27" i="48"/>
  <c r="Z26" i="48"/>
  <c r="X26" i="48"/>
  <c r="N26" i="48"/>
  <c r="L26" i="48"/>
  <c r="B26" i="48"/>
  <c r="X25" i="48"/>
  <c r="Z25" i="48" s="1"/>
  <c r="N25" i="48"/>
  <c r="L25" i="48"/>
  <c r="B25" i="48"/>
  <c r="Z24" i="48"/>
  <c r="X24" i="48"/>
  <c r="V24" i="48"/>
  <c r="L24" i="48"/>
  <c r="N24" i="48" s="1"/>
  <c r="B24" i="48"/>
  <c r="X23" i="48"/>
  <c r="Z23" i="48" s="1"/>
  <c r="L23" i="48"/>
  <c r="N23" i="48" s="1"/>
  <c r="B23" i="48"/>
  <c r="X22" i="48"/>
  <c r="Z22" i="48" s="1"/>
  <c r="R22" i="48"/>
  <c r="L22" i="48"/>
  <c r="N22" i="48" s="1"/>
  <c r="B22" i="48"/>
  <c r="Z21" i="48"/>
  <c r="X21" i="48"/>
  <c r="L21" i="48"/>
  <c r="N21" i="48" s="1"/>
  <c r="J21" i="48"/>
  <c r="B21" i="48"/>
  <c r="T20" i="48"/>
  <c r="P20" i="48"/>
  <c r="H20" i="48"/>
  <c r="D20" i="48"/>
  <c r="L20" i="48" s="1"/>
  <c r="B20" i="48"/>
  <c r="X19" i="48"/>
  <c r="V19" i="48"/>
  <c r="T19" i="48"/>
  <c r="R19" i="48"/>
  <c r="P19" i="48"/>
  <c r="H19" i="48"/>
  <c r="N19" i="48" s="1"/>
  <c r="D19" i="48"/>
  <c r="L19" i="48" s="1"/>
  <c r="T17" i="48"/>
  <c r="P17" i="48"/>
  <c r="X15" i="48"/>
  <c r="T15" i="48"/>
  <c r="Z15" i="48" s="1"/>
  <c r="R15" i="48"/>
  <c r="P15" i="48"/>
  <c r="N15" i="48"/>
  <c r="H15" i="48"/>
  <c r="D15" i="48"/>
  <c r="L15" i="48" s="1"/>
  <c r="P13" i="48"/>
  <c r="P12" i="48" s="1"/>
  <c r="D13" i="48"/>
  <c r="B13" i="48"/>
  <c r="T12" i="48"/>
  <c r="V57" i="48" s="1"/>
  <c r="H12" i="48"/>
  <c r="D4" i="48"/>
  <c r="X103" i="45"/>
  <c r="Z103" i="45" s="1"/>
  <c r="N103" i="45"/>
  <c r="L103" i="45"/>
  <c r="J103" i="45"/>
  <c r="Z99" i="45"/>
  <c r="T99" i="45"/>
  <c r="P99" i="45"/>
  <c r="X99" i="45" s="1"/>
  <c r="N99" i="45"/>
  <c r="L99" i="45"/>
  <c r="H99" i="45"/>
  <c r="D99" i="45"/>
  <c r="Z97" i="45"/>
  <c r="X97" i="45"/>
  <c r="L97" i="45"/>
  <c r="N97" i="45" s="1"/>
  <c r="B97" i="45"/>
  <c r="X96" i="45"/>
  <c r="T96" i="45"/>
  <c r="P96" i="45"/>
  <c r="H96" i="45"/>
  <c r="D96" i="45"/>
  <c r="L96" i="45" s="1"/>
  <c r="B96" i="45"/>
  <c r="Z95" i="45"/>
  <c r="X95" i="45"/>
  <c r="V95" i="45"/>
  <c r="N95" i="45"/>
  <c r="L95" i="45"/>
  <c r="B95" i="45"/>
  <c r="T94" i="45"/>
  <c r="P94" i="45"/>
  <c r="H94" i="45"/>
  <c r="D94" i="45"/>
  <c r="L94" i="45" s="1"/>
  <c r="N94" i="45" s="1"/>
  <c r="B94" i="45"/>
  <c r="Z93" i="45"/>
  <c r="X93" i="45"/>
  <c r="V93" i="45"/>
  <c r="N93" i="45"/>
  <c r="L93" i="45"/>
  <c r="B93" i="45"/>
  <c r="X92" i="45"/>
  <c r="Z92" i="45" s="1"/>
  <c r="V92" i="45"/>
  <c r="L92" i="45"/>
  <c r="N92" i="45" s="1"/>
  <c r="B92" i="45"/>
  <c r="T91" i="45"/>
  <c r="Z91" i="45" s="1"/>
  <c r="P91" i="45"/>
  <c r="X91" i="45" s="1"/>
  <c r="J91" i="45"/>
  <c r="H91" i="45"/>
  <c r="D91" i="45"/>
  <c r="L91" i="45" s="1"/>
  <c r="N91" i="45" s="1"/>
  <c r="B91" i="45"/>
  <c r="X90" i="45"/>
  <c r="Z90" i="45" s="1"/>
  <c r="N90" i="45"/>
  <c r="L90" i="45"/>
  <c r="B90" i="45"/>
  <c r="Z89" i="45"/>
  <c r="X89" i="45"/>
  <c r="L89" i="45"/>
  <c r="N89" i="45" s="1"/>
  <c r="B89" i="45"/>
  <c r="X88" i="45"/>
  <c r="Z88" i="45" s="1"/>
  <c r="L88" i="45"/>
  <c r="N88" i="45" s="1"/>
  <c r="B88" i="45"/>
  <c r="X87" i="45"/>
  <c r="Z87" i="45" s="1"/>
  <c r="N87" i="45"/>
  <c r="L87" i="45"/>
  <c r="J87" i="45"/>
  <c r="B87" i="45"/>
  <c r="X86" i="45"/>
  <c r="Z86" i="45" s="1"/>
  <c r="N86" i="45"/>
  <c r="L86" i="45"/>
  <c r="B86" i="45"/>
  <c r="Z85" i="45"/>
  <c r="X85" i="45"/>
  <c r="L85" i="45"/>
  <c r="N85" i="45" s="1"/>
  <c r="B85" i="45"/>
  <c r="X84" i="45"/>
  <c r="Z84" i="45" s="1"/>
  <c r="L84" i="45"/>
  <c r="N84" i="45" s="1"/>
  <c r="B84" i="45"/>
  <c r="X83" i="45"/>
  <c r="Z83" i="45" s="1"/>
  <c r="N83" i="45"/>
  <c r="L83" i="45"/>
  <c r="J83" i="45"/>
  <c r="B83" i="45"/>
  <c r="X82" i="45"/>
  <c r="Z82" i="45" s="1"/>
  <c r="N82" i="45"/>
  <c r="L82" i="45"/>
  <c r="B82" i="45"/>
  <c r="Z81" i="45"/>
  <c r="X81" i="45"/>
  <c r="L81" i="45"/>
  <c r="N81" i="45" s="1"/>
  <c r="B81" i="45"/>
  <c r="T80" i="45"/>
  <c r="P80" i="45"/>
  <c r="H80" i="45"/>
  <c r="D80" i="45"/>
  <c r="L80" i="45" s="1"/>
  <c r="B80" i="45"/>
  <c r="Z79" i="45"/>
  <c r="X79" i="45"/>
  <c r="V79" i="45"/>
  <c r="N79" i="45"/>
  <c r="L79" i="45"/>
  <c r="B79" i="45"/>
  <c r="T78" i="45"/>
  <c r="Z78" i="45" s="1"/>
  <c r="P78" i="45"/>
  <c r="X78" i="45" s="1"/>
  <c r="N78" i="45"/>
  <c r="H78" i="45"/>
  <c r="D78" i="45"/>
  <c r="L78" i="45" s="1"/>
  <c r="B78" i="45"/>
  <c r="Z77" i="45"/>
  <c r="X77" i="45"/>
  <c r="V77" i="45"/>
  <c r="N77" i="45"/>
  <c r="L77" i="45"/>
  <c r="B77" i="45"/>
  <c r="X76" i="45"/>
  <c r="Z76" i="45" s="1"/>
  <c r="V76" i="45"/>
  <c r="L76" i="45"/>
  <c r="N76" i="45" s="1"/>
  <c r="B76" i="45"/>
  <c r="Z75" i="45"/>
  <c r="X75" i="45"/>
  <c r="L75" i="45"/>
  <c r="N75" i="45" s="1"/>
  <c r="B75" i="45"/>
  <c r="X74" i="45"/>
  <c r="Z74" i="45" s="1"/>
  <c r="L74" i="45"/>
  <c r="N74" i="45" s="1"/>
  <c r="B74" i="45"/>
  <c r="V73" i="45"/>
  <c r="T73" i="45"/>
  <c r="P73" i="45"/>
  <c r="X73" i="45" s="1"/>
  <c r="Z73" i="45" s="1"/>
  <c r="H73" i="45"/>
  <c r="N73" i="45" s="1"/>
  <c r="D73" i="45"/>
  <c r="L73" i="45" s="1"/>
  <c r="B73" i="45"/>
  <c r="X72" i="45"/>
  <c r="Z72" i="45" s="1"/>
  <c r="L72" i="45"/>
  <c r="N72" i="45" s="1"/>
  <c r="B72" i="45"/>
  <c r="X71" i="45"/>
  <c r="Z71" i="45" s="1"/>
  <c r="N71" i="45"/>
  <c r="L71" i="45"/>
  <c r="J71" i="45"/>
  <c r="B71" i="45"/>
  <c r="X70" i="45"/>
  <c r="Z70" i="45" s="1"/>
  <c r="N70" i="45"/>
  <c r="L70" i="45"/>
  <c r="B70" i="45"/>
  <c r="Z69" i="45"/>
  <c r="X69" i="45"/>
  <c r="N69" i="45"/>
  <c r="L69" i="45"/>
  <c r="J69" i="45"/>
  <c r="B69" i="45"/>
  <c r="T68" i="45"/>
  <c r="P68" i="45"/>
  <c r="H68" i="45"/>
  <c r="N68" i="45" s="1"/>
  <c r="D68" i="45"/>
  <c r="L68" i="45" s="1"/>
  <c r="B68" i="45"/>
  <c r="Z67" i="45"/>
  <c r="X67" i="45"/>
  <c r="V67" i="45"/>
  <c r="N67" i="45"/>
  <c r="L67" i="45"/>
  <c r="B67" i="45"/>
  <c r="T66" i="45"/>
  <c r="P66" i="45"/>
  <c r="X66" i="45" s="1"/>
  <c r="H66" i="45"/>
  <c r="D66" i="45"/>
  <c r="L66" i="45" s="1"/>
  <c r="N66" i="45" s="1"/>
  <c r="B66" i="45"/>
  <c r="Z65" i="45"/>
  <c r="X65" i="45"/>
  <c r="V65" i="45"/>
  <c r="N65" i="45"/>
  <c r="L65" i="45"/>
  <c r="B65" i="45"/>
  <c r="V64" i="45"/>
  <c r="T64" i="45"/>
  <c r="P64" i="45"/>
  <c r="X64" i="45" s="1"/>
  <c r="Z64" i="45" s="1"/>
  <c r="L64" i="45"/>
  <c r="H64" i="45"/>
  <c r="N64" i="45" s="1"/>
  <c r="D64" i="45"/>
  <c r="B64" i="45"/>
  <c r="X63" i="45"/>
  <c r="Z63" i="45" s="1"/>
  <c r="N63" i="45"/>
  <c r="L63" i="45"/>
  <c r="J63" i="45"/>
  <c r="B63" i="45"/>
  <c r="T62" i="45"/>
  <c r="P62" i="45"/>
  <c r="X62" i="45" s="1"/>
  <c r="L62" i="45"/>
  <c r="H62" i="45"/>
  <c r="D62" i="45"/>
  <c r="B62" i="45"/>
  <c r="X61" i="45"/>
  <c r="Z61" i="45" s="1"/>
  <c r="V61" i="45"/>
  <c r="N61" i="45"/>
  <c r="L61" i="45"/>
  <c r="J61" i="45"/>
  <c r="B61" i="45"/>
  <c r="T60" i="45"/>
  <c r="P60" i="45"/>
  <c r="X60" i="45" s="1"/>
  <c r="H60" i="45"/>
  <c r="D60" i="45"/>
  <c r="B60" i="45"/>
  <c r="Z59" i="45"/>
  <c r="X59" i="45"/>
  <c r="L59" i="45"/>
  <c r="N59" i="45" s="1"/>
  <c r="B59" i="45"/>
  <c r="X58" i="45"/>
  <c r="T58" i="45"/>
  <c r="Z58" i="45" s="1"/>
  <c r="P58" i="45"/>
  <c r="J58" i="45"/>
  <c r="H58" i="45"/>
  <c r="D58" i="45"/>
  <c r="L58" i="45" s="1"/>
  <c r="N58" i="45" s="1"/>
  <c r="B58" i="45"/>
  <c r="Z57" i="45"/>
  <c r="X57" i="45"/>
  <c r="L57" i="45"/>
  <c r="N57" i="45" s="1"/>
  <c r="J57" i="45"/>
  <c r="B57" i="45"/>
  <c r="T56" i="45"/>
  <c r="P56" i="45"/>
  <c r="H56" i="45"/>
  <c r="D56" i="45"/>
  <c r="L56" i="45" s="1"/>
  <c r="B56" i="45"/>
  <c r="Z55" i="45"/>
  <c r="X55" i="45"/>
  <c r="V55" i="45"/>
  <c r="N55" i="45"/>
  <c r="L55" i="45"/>
  <c r="B55" i="45"/>
  <c r="T54" i="45"/>
  <c r="P54" i="45"/>
  <c r="X54" i="45" s="1"/>
  <c r="H54" i="45"/>
  <c r="D54" i="45"/>
  <c r="L54" i="45" s="1"/>
  <c r="N54" i="45" s="1"/>
  <c r="B54" i="45"/>
  <c r="Z53" i="45"/>
  <c r="X53" i="45"/>
  <c r="V53" i="45"/>
  <c r="N53" i="45"/>
  <c r="L53" i="45"/>
  <c r="B53" i="45"/>
  <c r="V52" i="45"/>
  <c r="T52" i="45"/>
  <c r="P52" i="45"/>
  <c r="X52" i="45" s="1"/>
  <c r="Z52" i="45" s="1"/>
  <c r="L52" i="45"/>
  <c r="H52" i="45"/>
  <c r="D52" i="45"/>
  <c r="B52" i="45"/>
  <c r="X51" i="45"/>
  <c r="Z51" i="45" s="1"/>
  <c r="N51" i="45"/>
  <c r="L51" i="45"/>
  <c r="J51" i="45"/>
  <c r="B51" i="45"/>
  <c r="T50" i="45"/>
  <c r="Z50" i="45" s="1"/>
  <c r="P50" i="45"/>
  <c r="X50" i="45" s="1"/>
  <c r="H50" i="45"/>
  <c r="D50" i="45"/>
  <c r="B50" i="45"/>
  <c r="X49" i="45"/>
  <c r="Z49" i="45" s="1"/>
  <c r="V49" i="45"/>
  <c r="N49" i="45"/>
  <c r="L49" i="45"/>
  <c r="J49" i="45"/>
  <c r="B49" i="45"/>
  <c r="T48" i="45"/>
  <c r="Z48" i="45" s="1"/>
  <c r="P48" i="45"/>
  <c r="X48" i="45" s="1"/>
  <c r="H48" i="45"/>
  <c r="D48" i="45"/>
  <c r="L48" i="45" s="1"/>
  <c r="B48" i="45"/>
  <c r="Z47" i="45"/>
  <c r="X47" i="45"/>
  <c r="N47" i="45"/>
  <c r="L47" i="45"/>
  <c r="B47" i="45"/>
  <c r="Z46" i="45"/>
  <c r="X46" i="45"/>
  <c r="N46" i="45"/>
  <c r="L46" i="45"/>
  <c r="B46" i="45"/>
  <c r="Z45" i="45"/>
  <c r="X45" i="45"/>
  <c r="V45" i="45"/>
  <c r="N45" i="45"/>
  <c r="L45" i="45"/>
  <c r="B45" i="45"/>
  <c r="X44" i="45"/>
  <c r="Z44" i="45" s="1"/>
  <c r="V44" i="45"/>
  <c r="N44" i="45"/>
  <c r="L44" i="45"/>
  <c r="B44" i="45"/>
  <c r="Z43" i="45"/>
  <c r="X43" i="45"/>
  <c r="N43" i="45"/>
  <c r="L43" i="45"/>
  <c r="B43" i="45"/>
  <c r="X42" i="45"/>
  <c r="Z42" i="45" s="1"/>
  <c r="L42" i="45"/>
  <c r="N42" i="45" s="1"/>
  <c r="B42" i="45"/>
  <c r="Z41" i="45"/>
  <c r="X41" i="45"/>
  <c r="V41" i="45"/>
  <c r="N41" i="45"/>
  <c r="L41" i="45"/>
  <c r="B41" i="45"/>
  <c r="Z40" i="45"/>
  <c r="X40" i="45"/>
  <c r="V40" i="45"/>
  <c r="N40" i="45"/>
  <c r="L40" i="45"/>
  <c r="B40" i="45"/>
  <c r="Z39" i="45"/>
  <c r="X39" i="45"/>
  <c r="L39" i="45"/>
  <c r="N39" i="45" s="1"/>
  <c r="B39" i="45"/>
  <c r="Z38" i="45"/>
  <c r="X38" i="45"/>
  <c r="N38" i="45"/>
  <c r="L38" i="45"/>
  <c r="B38" i="45"/>
  <c r="V37" i="45"/>
  <c r="T37" i="45"/>
  <c r="P37" i="45"/>
  <c r="X37" i="45" s="1"/>
  <c r="Z37" i="45" s="1"/>
  <c r="H37" i="45"/>
  <c r="D37" i="45"/>
  <c r="L37" i="45" s="1"/>
  <c r="B37" i="45"/>
  <c r="X36" i="45"/>
  <c r="Z36" i="45" s="1"/>
  <c r="L36" i="45"/>
  <c r="N36" i="45" s="1"/>
  <c r="B36" i="45"/>
  <c r="X35" i="45"/>
  <c r="Z35" i="45" s="1"/>
  <c r="N35" i="45"/>
  <c r="L35" i="45"/>
  <c r="J35" i="45"/>
  <c r="B35" i="45"/>
  <c r="X34" i="45"/>
  <c r="Z34" i="45" s="1"/>
  <c r="N34" i="45"/>
  <c r="L34" i="45"/>
  <c r="B34" i="45"/>
  <c r="Z33" i="45"/>
  <c r="X33" i="45"/>
  <c r="N33" i="45"/>
  <c r="L33" i="45"/>
  <c r="J33" i="45"/>
  <c r="B33" i="45"/>
  <c r="Z32" i="45"/>
  <c r="X32" i="45"/>
  <c r="N32" i="45"/>
  <c r="L32" i="45"/>
  <c r="B32" i="45"/>
  <c r="X31" i="45"/>
  <c r="Z31" i="45" s="1"/>
  <c r="N31" i="45"/>
  <c r="L31" i="45"/>
  <c r="J31" i="45"/>
  <c r="B31" i="45"/>
  <c r="X30" i="45"/>
  <c r="Z30" i="45" s="1"/>
  <c r="N30" i="45"/>
  <c r="L30" i="45"/>
  <c r="B30" i="45"/>
  <c r="Z29" i="45"/>
  <c r="X29" i="45"/>
  <c r="L29" i="45"/>
  <c r="N29" i="45" s="1"/>
  <c r="J29" i="45"/>
  <c r="B29" i="45"/>
  <c r="X28" i="45"/>
  <c r="Z28" i="45" s="1"/>
  <c r="L28" i="45"/>
  <c r="N28" i="45" s="1"/>
  <c r="B28" i="45"/>
  <c r="X27" i="45"/>
  <c r="Z27" i="45" s="1"/>
  <c r="V27" i="45"/>
  <c r="N27" i="45"/>
  <c r="L27" i="45"/>
  <c r="J27" i="45"/>
  <c r="B27" i="45"/>
  <c r="T26" i="45"/>
  <c r="Z26" i="45" s="1"/>
  <c r="P26" i="45"/>
  <c r="X26" i="45" s="1"/>
  <c r="H26" i="45"/>
  <c r="D26" i="45"/>
  <c r="B26" i="45"/>
  <c r="T25" i="45"/>
  <c r="P25" i="45"/>
  <c r="N25" i="45"/>
  <c r="J25" i="45"/>
  <c r="H25" i="45"/>
  <c r="D25" i="45"/>
  <c r="L25" i="45" s="1"/>
  <c r="Z21" i="45"/>
  <c r="X21" i="45"/>
  <c r="V21" i="45"/>
  <c r="N21" i="45"/>
  <c r="L21" i="45"/>
  <c r="J21" i="45"/>
  <c r="B21" i="45"/>
  <c r="Z20" i="45"/>
  <c r="X20" i="45"/>
  <c r="N20" i="45"/>
  <c r="L20" i="45"/>
  <c r="J20" i="45"/>
  <c r="B20" i="45"/>
  <c r="Z19" i="45"/>
  <c r="X19" i="45"/>
  <c r="V19" i="45"/>
  <c r="N19" i="45"/>
  <c r="L19" i="45"/>
  <c r="B19" i="45"/>
  <c r="T18" i="45"/>
  <c r="P18" i="45"/>
  <c r="H18" i="45"/>
  <c r="D18" i="45"/>
  <c r="L18" i="45" s="1"/>
  <c r="N18" i="45" s="1"/>
  <c r="Z16" i="45"/>
  <c r="X16" i="45"/>
  <c r="P16" i="45"/>
  <c r="N16" i="45"/>
  <c r="D16" i="45"/>
  <c r="B16" i="45"/>
  <c r="Z15" i="45"/>
  <c r="P15" i="45"/>
  <c r="X15" i="45" s="1"/>
  <c r="N15" i="45"/>
  <c r="D15" i="45"/>
  <c r="L15" i="45" s="1"/>
  <c r="B15" i="45"/>
  <c r="X14" i="45"/>
  <c r="Z14" i="45" s="1"/>
  <c r="P14" i="45"/>
  <c r="N14" i="45"/>
  <c r="D14" i="45"/>
  <c r="L14" i="45" s="1"/>
  <c r="B14" i="45"/>
  <c r="Z13" i="45"/>
  <c r="P13" i="45"/>
  <c r="N13" i="45"/>
  <c r="L13" i="45"/>
  <c r="D13" i="45"/>
  <c r="B13" i="45"/>
  <c r="T12" i="45"/>
  <c r="V74" i="45" s="1"/>
  <c r="H12" i="45"/>
  <c r="J64" i="45" s="1"/>
  <c r="D4" i="45"/>
  <c r="Z122" i="42"/>
  <c r="X122" i="42"/>
  <c r="N122" i="42"/>
  <c r="L122" i="42"/>
  <c r="Z118" i="42"/>
  <c r="X118" i="42"/>
  <c r="P118" i="42"/>
  <c r="N118" i="42"/>
  <c r="L118" i="42"/>
  <c r="D118" i="42"/>
  <c r="B118" i="42"/>
  <c r="X117" i="42"/>
  <c r="Z117" i="42" s="1"/>
  <c r="P117" i="42"/>
  <c r="J117" i="42"/>
  <c r="D117" i="42"/>
  <c r="L117" i="42" s="1"/>
  <c r="N117" i="42" s="1"/>
  <c r="B117" i="42"/>
  <c r="X116" i="42"/>
  <c r="Z116" i="42" s="1"/>
  <c r="P116" i="42"/>
  <c r="L116" i="42"/>
  <c r="N116" i="42" s="1"/>
  <c r="D116" i="42"/>
  <c r="B116" i="42"/>
  <c r="P115" i="42"/>
  <c r="D115" i="42"/>
  <c r="B115" i="42"/>
  <c r="T114" i="42"/>
  <c r="H114" i="42"/>
  <c r="Z112" i="42"/>
  <c r="X112" i="42"/>
  <c r="N112" i="42"/>
  <c r="L112" i="42"/>
  <c r="B112" i="42"/>
  <c r="X111" i="42"/>
  <c r="T111" i="42"/>
  <c r="Z111" i="42" s="1"/>
  <c r="P111" i="42"/>
  <c r="H111" i="42"/>
  <c r="D111" i="42"/>
  <c r="L111" i="42" s="1"/>
  <c r="N111" i="42" s="1"/>
  <c r="B111" i="42"/>
  <c r="Z110" i="42"/>
  <c r="X110" i="42"/>
  <c r="N110" i="42"/>
  <c r="L110" i="42"/>
  <c r="B110" i="42"/>
  <c r="Z109" i="42"/>
  <c r="X109" i="42"/>
  <c r="N109" i="42"/>
  <c r="L109" i="42"/>
  <c r="B109" i="42"/>
  <c r="Z108" i="42"/>
  <c r="X108" i="42"/>
  <c r="N108" i="42"/>
  <c r="L108" i="42"/>
  <c r="B108" i="42"/>
  <c r="T107" i="42"/>
  <c r="Z107" i="42" s="1"/>
  <c r="P107" i="42"/>
  <c r="L107" i="42"/>
  <c r="H107" i="42"/>
  <c r="N107" i="42" s="1"/>
  <c r="D107" i="42"/>
  <c r="B107" i="42"/>
  <c r="Z106" i="42"/>
  <c r="X106" i="42"/>
  <c r="N106" i="42"/>
  <c r="L106" i="42"/>
  <c r="B106" i="42"/>
  <c r="Z105" i="42"/>
  <c r="T105" i="42"/>
  <c r="P105" i="42"/>
  <c r="X105" i="42" s="1"/>
  <c r="N105" i="42"/>
  <c r="H105" i="42"/>
  <c r="D105" i="42"/>
  <c r="L105" i="42" s="1"/>
  <c r="B105" i="42"/>
  <c r="Z104" i="42"/>
  <c r="X104" i="42"/>
  <c r="N104" i="42"/>
  <c r="L104" i="42"/>
  <c r="B104" i="42"/>
  <c r="X103" i="42"/>
  <c r="Z103" i="42" s="1"/>
  <c r="N103" i="42"/>
  <c r="L103" i="42"/>
  <c r="B103" i="42"/>
  <c r="V102" i="42"/>
  <c r="T102" i="42"/>
  <c r="P102" i="42"/>
  <c r="X102" i="42" s="1"/>
  <c r="Z102" i="42" s="1"/>
  <c r="H102" i="42"/>
  <c r="N102" i="42" s="1"/>
  <c r="D102" i="42"/>
  <c r="L102" i="42" s="1"/>
  <c r="B102" i="42"/>
  <c r="Z101" i="42"/>
  <c r="X101" i="42"/>
  <c r="N101" i="42"/>
  <c r="L101" i="42"/>
  <c r="B101" i="42"/>
  <c r="Z100" i="42"/>
  <c r="X100" i="42"/>
  <c r="N100" i="42"/>
  <c r="L100" i="42"/>
  <c r="B100" i="42"/>
  <c r="Z99" i="42"/>
  <c r="X99" i="42"/>
  <c r="N99" i="42"/>
  <c r="L99" i="42"/>
  <c r="B99" i="42"/>
  <c r="Z98" i="42"/>
  <c r="X98" i="42"/>
  <c r="N98" i="42"/>
  <c r="L98" i="42"/>
  <c r="B98" i="42"/>
  <c r="Z97" i="42"/>
  <c r="X97" i="42"/>
  <c r="N97" i="42"/>
  <c r="L97" i="42"/>
  <c r="B97" i="42"/>
  <c r="Z96" i="42"/>
  <c r="X96" i="42"/>
  <c r="N96" i="42"/>
  <c r="L96" i="42"/>
  <c r="B96" i="42"/>
  <c r="Z95" i="42"/>
  <c r="X95" i="42"/>
  <c r="N95" i="42"/>
  <c r="L95" i="42"/>
  <c r="B95" i="42"/>
  <c r="Z94" i="42"/>
  <c r="X94" i="42"/>
  <c r="N94" i="42"/>
  <c r="L94" i="42"/>
  <c r="B94" i="42"/>
  <c r="X93" i="42"/>
  <c r="Z93" i="42" s="1"/>
  <c r="L93" i="42"/>
  <c r="N93" i="42" s="1"/>
  <c r="B93" i="42"/>
  <c r="Z92" i="42"/>
  <c r="X92" i="42"/>
  <c r="N92" i="42"/>
  <c r="L92" i="42"/>
  <c r="B92" i="42"/>
  <c r="Z91" i="42"/>
  <c r="X91" i="42"/>
  <c r="N91" i="42"/>
  <c r="L91" i="42"/>
  <c r="B91" i="42"/>
  <c r="T90" i="42"/>
  <c r="P90" i="42"/>
  <c r="X90" i="42" s="1"/>
  <c r="Z90" i="42" s="1"/>
  <c r="L90" i="42"/>
  <c r="N90" i="42" s="1"/>
  <c r="H90" i="42"/>
  <c r="D90" i="42"/>
  <c r="B90" i="42"/>
  <c r="X89" i="42"/>
  <c r="Z89" i="42" s="1"/>
  <c r="L89" i="42"/>
  <c r="N89" i="42" s="1"/>
  <c r="B89" i="42"/>
  <c r="Z88" i="42"/>
  <c r="X88" i="42"/>
  <c r="N88" i="42"/>
  <c r="L88" i="42"/>
  <c r="B88" i="42"/>
  <c r="Z87" i="42"/>
  <c r="T87" i="42"/>
  <c r="P87" i="42"/>
  <c r="X87" i="42" s="1"/>
  <c r="H87" i="42"/>
  <c r="D87" i="42"/>
  <c r="L87" i="42" s="1"/>
  <c r="N87" i="42" s="1"/>
  <c r="B87" i="42"/>
  <c r="Z86" i="42"/>
  <c r="X86" i="42"/>
  <c r="N86" i="42"/>
  <c r="L86" i="42"/>
  <c r="B86" i="42"/>
  <c r="X85" i="42"/>
  <c r="Z85" i="42" s="1"/>
  <c r="L85" i="42"/>
  <c r="N85" i="42" s="1"/>
  <c r="B85" i="42"/>
  <c r="Z84" i="42"/>
  <c r="X84" i="42"/>
  <c r="N84" i="42"/>
  <c r="L84" i="42"/>
  <c r="B84" i="42"/>
  <c r="X83" i="42"/>
  <c r="Z83" i="42" s="1"/>
  <c r="N83" i="42"/>
  <c r="L83" i="42"/>
  <c r="B83" i="42"/>
  <c r="Z82" i="42"/>
  <c r="X82" i="42"/>
  <c r="N82" i="42"/>
  <c r="L82" i="42"/>
  <c r="B82" i="42"/>
  <c r="V81" i="42"/>
  <c r="T81" i="42"/>
  <c r="P81" i="42"/>
  <c r="X81" i="42" s="1"/>
  <c r="Z81" i="42" s="1"/>
  <c r="L81" i="42"/>
  <c r="H81" i="42"/>
  <c r="N81" i="42" s="1"/>
  <c r="D81" i="42"/>
  <c r="B81" i="42"/>
  <c r="Z80" i="42"/>
  <c r="X80" i="42"/>
  <c r="N80" i="42"/>
  <c r="L80" i="42"/>
  <c r="B80" i="42"/>
  <c r="Z79" i="42"/>
  <c r="X79" i="42"/>
  <c r="N79" i="42"/>
  <c r="L79" i="42"/>
  <c r="B79" i="42"/>
  <c r="Z78" i="42"/>
  <c r="T78" i="42"/>
  <c r="P78" i="42"/>
  <c r="X78" i="42" s="1"/>
  <c r="N78" i="42"/>
  <c r="L78" i="42"/>
  <c r="H78" i="42"/>
  <c r="D78" i="42"/>
  <c r="B78" i="42"/>
  <c r="X77" i="42"/>
  <c r="Z77" i="42" s="1"/>
  <c r="N77" i="42"/>
  <c r="L77" i="42"/>
  <c r="B77" i="42"/>
  <c r="Z76" i="42"/>
  <c r="X76" i="42"/>
  <c r="N76" i="42"/>
  <c r="L76" i="42"/>
  <c r="B76" i="42"/>
  <c r="Z75" i="42"/>
  <c r="X75" i="42"/>
  <c r="N75" i="42"/>
  <c r="L75" i="42"/>
  <c r="B75" i="42"/>
  <c r="Z74" i="42"/>
  <c r="X74" i="42"/>
  <c r="V74" i="42"/>
  <c r="N74" i="42"/>
  <c r="L74" i="42"/>
  <c r="B74" i="42"/>
  <c r="T73" i="42"/>
  <c r="P73" i="42"/>
  <c r="X73" i="42" s="1"/>
  <c r="Z73" i="42" s="1"/>
  <c r="H73" i="42"/>
  <c r="D73" i="42"/>
  <c r="B73" i="42"/>
  <c r="Z72" i="42"/>
  <c r="X72" i="42"/>
  <c r="L72" i="42"/>
  <c r="N72" i="42" s="1"/>
  <c r="B72" i="42"/>
  <c r="X71" i="42"/>
  <c r="T71" i="42"/>
  <c r="P71" i="42"/>
  <c r="N71" i="42"/>
  <c r="J71" i="42"/>
  <c r="H71" i="42"/>
  <c r="D71" i="42"/>
  <c r="L71" i="42" s="1"/>
  <c r="B71" i="42"/>
  <c r="Z70" i="42"/>
  <c r="X70" i="42"/>
  <c r="L70" i="42"/>
  <c r="N70" i="42" s="1"/>
  <c r="B70" i="42"/>
  <c r="T69" i="42"/>
  <c r="P69" i="42"/>
  <c r="J69" i="42"/>
  <c r="H69" i="42"/>
  <c r="D69" i="42"/>
  <c r="L69" i="42" s="1"/>
  <c r="B69" i="42"/>
  <c r="Z68" i="42"/>
  <c r="X68" i="42"/>
  <c r="N68" i="42"/>
  <c r="L68" i="42"/>
  <c r="F68" i="42"/>
  <c r="B68" i="42"/>
  <c r="Z67" i="42"/>
  <c r="T67" i="42"/>
  <c r="P67" i="42"/>
  <c r="X67" i="42" s="1"/>
  <c r="L67" i="42"/>
  <c r="N67" i="42" s="1"/>
  <c r="H67" i="42"/>
  <c r="D67" i="42"/>
  <c r="B67" i="42"/>
  <c r="Z66" i="42"/>
  <c r="X66" i="42"/>
  <c r="V66" i="42"/>
  <c r="N66" i="42"/>
  <c r="L66" i="42"/>
  <c r="B66" i="42"/>
  <c r="T65" i="42"/>
  <c r="P65" i="42"/>
  <c r="X65" i="42" s="1"/>
  <c r="Z65" i="42" s="1"/>
  <c r="L65" i="42"/>
  <c r="H65" i="42"/>
  <c r="D65" i="42"/>
  <c r="B65" i="42"/>
  <c r="Z64" i="42"/>
  <c r="X64" i="42"/>
  <c r="N64" i="42"/>
  <c r="L64" i="42"/>
  <c r="B64" i="42"/>
  <c r="T63" i="42"/>
  <c r="Z63" i="42" s="1"/>
  <c r="P63" i="42"/>
  <c r="X63" i="42" s="1"/>
  <c r="H63" i="42"/>
  <c r="N63" i="42" s="1"/>
  <c r="D63" i="42"/>
  <c r="L63" i="42" s="1"/>
  <c r="B63" i="42"/>
  <c r="X62" i="42"/>
  <c r="Z62" i="42" s="1"/>
  <c r="N62" i="42"/>
  <c r="L62" i="42"/>
  <c r="J62" i="42"/>
  <c r="B62" i="42"/>
  <c r="X61" i="42"/>
  <c r="Z61" i="42" s="1"/>
  <c r="T61" i="42"/>
  <c r="P61" i="42"/>
  <c r="H61" i="42"/>
  <c r="D61" i="42"/>
  <c r="L61" i="42" s="1"/>
  <c r="N61" i="42" s="1"/>
  <c r="B61" i="42"/>
  <c r="X60" i="42"/>
  <c r="Z60" i="42" s="1"/>
  <c r="N60" i="42"/>
  <c r="L60" i="42"/>
  <c r="J60" i="42"/>
  <c r="B60" i="42"/>
  <c r="T59" i="42"/>
  <c r="P59" i="42"/>
  <c r="J59" i="42"/>
  <c r="H59" i="42"/>
  <c r="D59" i="42"/>
  <c r="L59" i="42" s="1"/>
  <c r="B59" i="42"/>
  <c r="Z58" i="42"/>
  <c r="X58" i="42"/>
  <c r="L58" i="42"/>
  <c r="N58" i="42" s="1"/>
  <c r="B58" i="42"/>
  <c r="X57" i="42"/>
  <c r="Z57" i="42" s="1"/>
  <c r="L57" i="42"/>
  <c r="N57" i="42" s="1"/>
  <c r="B57" i="42"/>
  <c r="Z56" i="42"/>
  <c r="X56" i="42"/>
  <c r="N56" i="42"/>
  <c r="L56" i="42"/>
  <c r="B56" i="42"/>
  <c r="T55" i="42"/>
  <c r="P55" i="42"/>
  <c r="H55" i="42"/>
  <c r="D55" i="42"/>
  <c r="L55" i="42" s="1"/>
  <c r="B55" i="42"/>
  <c r="X54" i="42"/>
  <c r="Z54" i="42" s="1"/>
  <c r="N54" i="42"/>
  <c r="L54" i="42"/>
  <c r="J54" i="42"/>
  <c r="B54" i="42"/>
  <c r="X53" i="42"/>
  <c r="Z53" i="42" s="1"/>
  <c r="T53" i="42"/>
  <c r="P53" i="42"/>
  <c r="H53" i="42"/>
  <c r="D53" i="42"/>
  <c r="L53" i="42" s="1"/>
  <c r="N53" i="42" s="1"/>
  <c r="B53" i="42"/>
  <c r="Z52" i="42"/>
  <c r="X52" i="42"/>
  <c r="L52" i="42"/>
  <c r="N52" i="42" s="1"/>
  <c r="B52" i="42"/>
  <c r="X51" i="42"/>
  <c r="T51" i="42"/>
  <c r="P51" i="42"/>
  <c r="J51" i="42"/>
  <c r="H51" i="42"/>
  <c r="D51" i="42"/>
  <c r="L51" i="42" s="1"/>
  <c r="N51" i="42" s="1"/>
  <c r="B51" i="42"/>
  <c r="X50" i="42"/>
  <c r="Z50" i="42" s="1"/>
  <c r="L50" i="42"/>
  <c r="N50" i="42" s="1"/>
  <c r="F50" i="42"/>
  <c r="B50" i="42"/>
  <c r="X49" i="42"/>
  <c r="T49" i="42"/>
  <c r="P49" i="42"/>
  <c r="J49" i="42"/>
  <c r="H49" i="42"/>
  <c r="D49" i="42"/>
  <c r="L49" i="42" s="1"/>
  <c r="N49" i="42" s="1"/>
  <c r="B49" i="42"/>
  <c r="Z48" i="42"/>
  <c r="X48" i="42"/>
  <c r="N48" i="42"/>
  <c r="L48" i="42"/>
  <c r="B48" i="42"/>
  <c r="Z47" i="42"/>
  <c r="X47" i="42"/>
  <c r="N47" i="42"/>
  <c r="L47" i="42"/>
  <c r="B47" i="42"/>
  <c r="X46" i="42"/>
  <c r="Z46" i="42" s="1"/>
  <c r="N46" i="42"/>
  <c r="L46" i="42"/>
  <c r="B46" i="42"/>
  <c r="X45" i="42"/>
  <c r="Z45" i="42" s="1"/>
  <c r="N45" i="42"/>
  <c r="L45" i="42"/>
  <c r="B45" i="42"/>
  <c r="Z44" i="42"/>
  <c r="X44" i="42"/>
  <c r="N44" i="42"/>
  <c r="L44" i="42"/>
  <c r="B44" i="42"/>
  <c r="X43" i="42"/>
  <c r="Z43" i="42" s="1"/>
  <c r="L43" i="42"/>
  <c r="N43" i="42" s="1"/>
  <c r="J43" i="42"/>
  <c r="B43" i="42"/>
  <c r="Z42" i="42"/>
  <c r="X42" i="42"/>
  <c r="V42" i="42"/>
  <c r="N42" i="42"/>
  <c r="L42" i="42"/>
  <c r="B42" i="42"/>
  <c r="Z41" i="42"/>
  <c r="X41" i="42"/>
  <c r="N41" i="42"/>
  <c r="L41" i="42"/>
  <c r="B41" i="42"/>
  <c r="X40" i="42"/>
  <c r="Z40" i="42" s="1"/>
  <c r="L40" i="42"/>
  <c r="N40" i="42" s="1"/>
  <c r="J40" i="42"/>
  <c r="B40" i="42"/>
  <c r="X39" i="42"/>
  <c r="Z39" i="42" s="1"/>
  <c r="L39" i="42"/>
  <c r="N39" i="42" s="1"/>
  <c r="B39" i="42"/>
  <c r="X38" i="42"/>
  <c r="T38" i="42"/>
  <c r="P38" i="42"/>
  <c r="L38" i="42"/>
  <c r="H38" i="42"/>
  <c r="N38" i="42" s="1"/>
  <c r="D38" i="42"/>
  <c r="B38" i="42"/>
  <c r="Z37" i="42"/>
  <c r="X37" i="42"/>
  <c r="V37" i="42"/>
  <c r="N37" i="42"/>
  <c r="L37" i="42"/>
  <c r="B37" i="42"/>
  <c r="Z36" i="42"/>
  <c r="X36" i="42"/>
  <c r="L36" i="42"/>
  <c r="N36" i="42" s="1"/>
  <c r="B36" i="42"/>
  <c r="X35" i="42"/>
  <c r="Z35" i="42" s="1"/>
  <c r="L35" i="42"/>
  <c r="N35" i="42" s="1"/>
  <c r="J35" i="42"/>
  <c r="B35" i="42"/>
  <c r="Z34" i="42"/>
  <c r="X34" i="42"/>
  <c r="N34" i="42"/>
  <c r="L34" i="42"/>
  <c r="J34" i="42"/>
  <c r="B34" i="42"/>
  <c r="Z33" i="42"/>
  <c r="X33" i="42"/>
  <c r="V33" i="42"/>
  <c r="N33" i="42"/>
  <c r="L33" i="42"/>
  <c r="B33" i="42"/>
  <c r="Z32" i="42"/>
  <c r="X32" i="42"/>
  <c r="L32" i="42"/>
  <c r="N32" i="42" s="1"/>
  <c r="B32" i="42"/>
  <c r="X31" i="42"/>
  <c r="Z31" i="42" s="1"/>
  <c r="L31" i="42"/>
  <c r="N31" i="42" s="1"/>
  <c r="J31" i="42"/>
  <c r="B31" i="42"/>
  <c r="X30" i="42"/>
  <c r="Z30" i="42" s="1"/>
  <c r="N30" i="42"/>
  <c r="L30" i="42"/>
  <c r="J30" i="42"/>
  <c r="B30" i="42"/>
  <c r="Z29" i="42"/>
  <c r="X29" i="42"/>
  <c r="V29" i="42"/>
  <c r="N29" i="42"/>
  <c r="L29" i="42"/>
  <c r="B29" i="42"/>
  <c r="T28" i="42"/>
  <c r="P28" i="42"/>
  <c r="X28" i="42" s="1"/>
  <c r="L28" i="42"/>
  <c r="H28" i="42"/>
  <c r="N28" i="42" s="1"/>
  <c r="D28" i="42"/>
  <c r="B28" i="42"/>
  <c r="V27" i="42"/>
  <c r="T27" i="42"/>
  <c r="P27" i="42"/>
  <c r="H27" i="42"/>
  <c r="D27" i="42"/>
  <c r="L27" i="42" s="1"/>
  <c r="N27" i="42" s="1"/>
  <c r="Z23" i="42"/>
  <c r="X23" i="42"/>
  <c r="V23" i="42"/>
  <c r="N23" i="42"/>
  <c r="L23" i="42"/>
  <c r="J23" i="42"/>
  <c r="B23" i="42"/>
  <c r="Z22" i="42"/>
  <c r="X22" i="42"/>
  <c r="N22" i="42"/>
  <c r="L22" i="42"/>
  <c r="F22" i="42"/>
  <c r="B22" i="42"/>
  <c r="Z21" i="42"/>
  <c r="X21" i="42"/>
  <c r="L21" i="42"/>
  <c r="N21" i="42" s="1"/>
  <c r="B21" i="42"/>
  <c r="X20" i="42"/>
  <c r="T20" i="42"/>
  <c r="Z20" i="42" s="1"/>
  <c r="P20" i="42"/>
  <c r="J20" i="42"/>
  <c r="H20" i="42"/>
  <c r="D20" i="42"/>
  <c r="L20" i="42" s="1"/>
  <c r="N20" i="42" s="1"/>
  <c r="Z18" i="42"/>
  <c r="X18" i="42"/>
  <c r="P18" i="42"/>
  <c r="N18" i="42"/>
  <c r="D18" i="42"/>
  <c r="L18" i="42" s="1"/>
  <c r="B18" i="42"/>
  <c r="X17" i="42"/>
  <c r="Z17" i="42" s="1"/>
  <c r="P17" i="42"/>
  <c r="L17" i="42"/>
  <c r="N17" i="42" s="1"/>
  <c r="D17" i="42"/>
  <c r="B17" i="42"/>
  <c r="Z16" i="42"/>
  <c r="X16" i="42"/>
  <c r="P16" i="42"/>
  <c r="N16" i="42"/>
  <c r="L16" i="42"/>
  <c r="D16" i="42"/>
  <c r="B16" i="42"/>
  <c r="Z15" i="42"/>
  <c r="P15" i="42"/>
  <c r="X15" i="42" s="1"/>
  <c r="N15" i="42"/>
  <c r="L15" i="42"/>
  <c r="D15" i="42"/>
  <c r="B15" i="42"/>
  <c r="Z14" i="42"/>
  <c r="P14" i="42"/>
  <c r="X14" i="42" s="1"/>
  <c r="N14" i="42"/>
  <c r="L14" i="42"/>
  <c r="D14" i="42"/>
  <c r="B14" i="42"/>
  <c r="P13" i="42"/>
  <c r="L13" i="42"/>
  <c r="N13" i="42" s="1"/>
  <c r="D13" i="42"/>
  <c r="B13" i="42"/>
  <c r="T12" i="42"/>
  <c r="V88" i="42" s="1"/>
  <c r="L12" i="42"/>
  <c r="H12" i="42"/>
  <c r="D12" i="42"/>
  <c r="F94" i="42" s="1"/>
  <c r="D4" i="42"/>
  <c r="X126" i="39"/>
  <c r="Z126" i="39" s="1"/>
  <c r="L126" i="39"/>
  <c r="N126" i="39" s="1"/>
  <c r="J126" i="39"/>
  <c r="Z122" i="39"/>
  <c r="P122" i="39"/>
  <c r="X122" i="39" s="1"/>
  <c r="N122" i="39"/>
  <c r="J122" i="39"/>
  <c r="D122" i="39"/>
  <c r="L122" i="39" s="1"/>
  <c r="B122" i="39"/>
  <c r="X121" i="39"/>
  <c r="Z121" i="39" s="1"/>
  <c r="P121" i="39"/>
  <c r="L121" i="39"/>
  <c r="N121" i="39" s="1"/>
  <c r="D121" i="39"/>
  <c r="B121" i="39"/>
  <c r="P120" i="39"/>
  <c r="D120" i="39"/>
  <c r="L120" i="39" s="1"/>
  <c r="N120" i="39" s="1"/>
  <c r="B120" i="39"/>
  <c r="X119" i="39"/>
  <c r="Z119" i="39" s="1"/>
  <c r="P119" i="39"/>
  <c r="N119" i="39"/>
  <c r="D119" i="39"/>
  <c r="L119" i="39" s="1"/>
  <c r="B119" i="39"/>
  <c r="V118" i="39"/>
  <c r="T118" i="39"/>
  <c r="N118" i="39"/>
  <c r="H118" i="39"/>
  <c r="D118" i="39"/>
  <c r="L118" i="39" s="1"/>
  <c r="X116" i="39"/>
  <c r="Z116" i="39" s="1"/>
  <c r="N116" i="39"/>
  <c r="L116" i="39"/>
  <c r="J116" i="39"/>
  <c r="B116" i="39"/>
  <c r="T115" i="39"/>
  <c r="P115" i="39"/>
  <c r="X115" i="39" s="1"/>
  <c r="Z115" i="39" s="1"/>
  <c r="H115" i="39"/>
  <c r="D115" i="39"/>
  <c r="B115" i="39"/>
  <c r="Z114" i="39"/>
  <c r="X114" i="39"/>
  <c r="N114" i="39"/>
  <c r="L114" i="39"/>
  <c r="J114" i="39"/>
  <c r="B114" i="39"/>
  <c r="Z113" i="39"/>
  <c r="X113" i="39"/>
  <c r="N113" i="39"/>
  <c r="L113" i="39"/>
  <c r="F113" i="39"/>
  <c r="B113" i="39"/>
  <c r="Z112" i="39"/>
  <c r="X112" i="39"/>
  <c r="N112" i="39"/>
  <c r="L112" i="39"/>
  <c r="B112" i="39"/>
  <c r="X111" i="39"/>
  <c r="T111" i="39"/>
  <c r="P111" i="39"/>
  <c r="L111" i="39"/>
  <c r="H111" i="39"/>
  <c r="N111" i="39" s="1"/>
  <c r="D111" i="39"/>
  <c r="B111" i="39"/>
  <c r="Z110" i="39"/>
  <c r="X110" i="39"/>
  <c r="N110" i="39"/>
  <c r="L110" i="39"/>
  <c r="B110" i="39"/>
  <c r="T109" i="39"/>
  <c r="P109" i="39"/>
  <c r="L109" i="39"/>
  <c r="H109" i="39"/>
  <c r="N109" i="39" s="1"/>
  <c r="D109" i="39"/>
  <c r="B109" i="39"/>
  <c r="Z108" i="39"/>
  <c r="X108" i="39"/>
  <c r="N108" i="39"/>
  <c r="L108" i="39"/>
  <c r="J108" i="39"/>
  <c r="B108" i="39"/>
  <c r="Z107" i="39"/>
  <c r="X107" i="39"/>
  <c r="L107" i="39"/>
  <c r="N107" i="39" s="1"/>
  <c r="B107" i="39"/>
  <c r="T106" i="39"/>
  <c r="P106" i="39"/>
  <c r="X106" i="39" s="1"/>
  <c r="Z106" i="39" s="1"/>
  <c r="J106" i="39"/>
  <c r="H106" i="39"/>
  <c r="D106" i="39"/>
  <c r="B106" i="39"/>
  <c r="X105" i="39"/>
  <c r="Z105" i="39" s="1"/>
  <c r="N105" i="39"/>
  <c r="L105" i="39"/>
  <c r="B105" i="39"/>
  <c r="Z104" i="39"/>
  <c r="X104" i="39"/>
  <c r="L104" i="39"/>
  <c r="N104" i="39" s="1"/>
  <c r="B104" i="39"/>
  <c r="Z103" i="39"/>
  <c r="X103" i="39"/>
  <c r="N103" i="39"/>
  <c r="L103" i="39"/>
  <c r="B103" i="39"/>
  <c r="Z102" i="39"/>
  <c r="X102" i="39"/>
  <c r="N102" i="39"/>
  <c r="L102" i="39"/>
  <c r="J102" i="39"/>
  <c r="B102" i="39"/>
  <c r="Z101" i="39"/>
  <c r="X101" i="39"/>
  <c r="N101" i="39"/>
  <c r="L101" i="39"/>
  <c r="B101" i="39"/>
  <c r="Z100" i="39"/>
  <c r="X100" i="39"/>
  <c r="L100" i="39"/>
  <c r="N100" i="39" s="1"/>
  <c r="B100" i="39"/>
  <c r="X99" i="39"/>
  <c r="Z99" i="39" s="1"/>
  <c r="L99" i="39"/>
  <c r="N99" i="39" s="1"/>
  <c r="B99" i="39"/>
  <c r="X98" i="39"/>
  <c r="Z98" i="39" s="1"/>
  <c r="N98" i="39"/>
  <c r="L98" i="39"/>
  <c r="J98" i="39"/>
  <c r="B98" i="39"/>
  <c r="X97" i="39"/>
  <c r="Z97" i="39" s="1"/>
  <c r="N97" i="39"/>
  <c r="L97" i="39"/>
  <c r="B97" i="39"/>
  <c r="Z96" i="39"/>
  <c r="X96" i="39"/>
  <c r="V96" i="39"/>
  <c r="L96" i="39"/>
  <c r="N96" i="39" s="1"/>
  <c r="B96" i="39"/>
  <c r="X95" i="39"/>
  <c r="Z95" i="39" s="1"/>
  <c r="N95" i="39"/>
  <c r="L95" i="39"/>
  <c r="B95" i="39"/>
  <c r="X94" i="39"/>
  <c r="T94" i="39"/>
  <c r="Z94" i="39" s="1"/>
  <c r="P94" i="39"/>
  <c r="N94" i="39"/>
  <c r="J94" i="39"/>
  <c r="H94" i="39"/>
  <c r="D94" i="39"/>
  <c r="L94" i="39" s="1"/>
  <c r="B94" i="39"/>
  <c r="Z93" i="39"/>
  <c r="X93" i="39"/>
  <c r="L93" i="39"/>
  <c r="N93" i="39" s="1"/>
  <c r="B93" i="39"/>
  <c r="X92" i="39"/>
  <c r="Z92" i="39" s="1"/>
  <c r="N92" i="39"/>
  <c r="L92" i="39"/>
  <c r="J92" i="39"/>
  <c r="B92" i="39"/>
  <c r="X91" i="39"/>
  <c r="T91" i="39"/>
  <c r="P91" i="39"/>
  <c r="N91" i="39"/>
  <c r="H91" i="39"/>
  <c r="D91" i="39"/>
  <c r="L91" i="39" s="1"/>
  <c r="B91" i="39"/>
  <c r="Z90" i="39"/>
  <c r="X90" i="39"/>
  <c r="L90" i="39"/>
  <c r="N90" i="39" s="1"/>
  <c r="B90" i="39"/>
  <c r="X89" i="39"/>
  <c r="Z89" i="39" s="1"/>
  <c r="L89" i="39"/>
  <c r="N89" i="39" s="1"/>
  <c r="B89" i="39"/>
  <c r="Z88" i="39"/>
  <c r="X88" i="39"/>
  <c r="N88" i="39"/>
  <c r="L88" i="39"/>
  <c r="J88" i="39"/>
  <c r="B88" i="39"/>
  <c r="Z87" i="39"/>
  <c r="X87" i="39"/>
  <c r="N87" i="39"/>
  <c r="L87" i="39"/>
  <c r="B87" i="39"/>
  <c r="Z86" i="39"/>
  <c r="X86" i="39"/>
  <c r="L86" i="39"/>
  <c r="N86" i="39" s="1"/>
  <c r="B86" i="39"/>
  <c r="X85" i="39"/>
  <c r="T85" i="39"/>
  <c r="P85" i="39"/>
  <c r="J85" i="39"/>
  <c r="H85" i="39"/>
  <c r="D85" i="39"/>
  <c r="L85" i="39" s="1"/>
  <c r="N85" i="39" s="1"/>
  <c r="B85" i="39"/>
  <c r="Z84" i="39"/>
  <c r="X84" i="39"/>
  <c r="V84" i="39"/>
  <c r="L84" i="39"/>
  <c r="N84" i="39" s="1"/>
  <c r="B84" i="39"/>
  <c r="Z83" i="39"/>
  <c r="X83" i="39"/>
  <c r="N83" i="39"/>
  <c r="L83" i="39"/>
  <c r="B83" i="39"/>
  <c r="X82" i="39"/>
  <c r="T82" i="39"/>
  <c r="Z82" i="39" s="1"/>
  <c r="P82" i="39"/>
  <c r="J82" i="39"/>
  <c r="H82" i="39"/>
  <c r="D82" i="39"/>
  <c r="L82" i="39" s="1"/>
  <c r="N82" i="39" s="1"/>
  <c r="B82" i="39"/>
  <c r="Z81" i="39"/>
  <c r="X81" i="39"/>
  <c r="L81" i="39"/>
  <c r="N81" i="39" s="1"/>
  <c r="B81" i="39"/>
  <c r="X80" i="39"/>
  <c r="Z80" i="39" s="1"/>
  <c r="N80" i="39"/>
  <c r="L80" i="39"/>
  <c r="J80" i="39"/>
  <c r="B80" i="39"/>
  <c r="X79" i="39"/>
  <c r="Z79" i="39" s="1"/>
  <c r="N79" i="39"/>
  <c r="L79" i="39"/>
  <c r="J79" i="39"/>
  <c r="B79" i="39"/>
  <c r="Z78" i="39"/>
  <c r="X78" i="39"/>
  <c r="N78" i="39"/>
  <c r="L78" i="39"/>
  <c r="B78" i="39"/>
  <c r="T77" i="39"/>
  <c r="P77" i="39"/>
  <c r="X77" i="39" s="1"/>
  <c r="Z77" i="39" s="1"/>
  <c r="L77" i="39"/>
  <c r="H77" i="39"/>
  <c r="D77" i="39"/>
  <c r="B77" i="39"/>
  <c r="Z76" i="39"/>
  <c r="X76" i="39"/>
  <c r="V76" i="39"/>
  <c r="N76" i="39"/>
  <c r="L76" i="39"/>
  <c r="J76" i="39"/>
  <c r="B76" i="39"/>
  <c r="V75" i="39"/>
  <c r="T75" i="39"/>
  <c r="P75" i="39"/>
  <c r="X75" i="39" s="1"/>
  <c r="Z75" i="39" s="1"/>
  <c r="H75" i="39"/>
  <c r="D75" i="39"/>
  <c r="B75" i="39"/>
  <c r="X74" i="39"/>
  <c r="Z74" i="39" s="1"/>
  <c r="N74" i="39"/>
  <c r="L74" i="39"/>
  <c r="J74" i="39"/>
  <c r="B74" i="39"/>
  <c r="X73" i="39"/>
  <c r="T73" i="39"/>
  <c r="Z73" i="39" s="1"/>
  <c r="P73" i="39"/>
  <c r="H73" i="39"/>
  <c r="D73" i="39"/>
  <c r="B73" i="39"/>
  <c r="X72" i="39"/>
  <c r="Z72" i="39" s="1"/>
  <c r="N72" i="39"/>
  <c r="L72" i="39"/>
  <c r="J72" i="39"/>
  <c r="B72" i="39"/>
  <c r="X71" i="39"/>
  <c r="T71" i="39"/>
  <c r="P71" i="39"/>
  <c r="N71" i="39"/>
  <c r="H71" i="39"/>
  <c r="D71" i="39"/>
  <c r="L71" i="39" s="1"/>
  <c r="B71" i="39"/>
  <c r="Z70" i="39"/>
  <c r="X70" i="39"/>
  <c r="L70" i="39"/>
  <c r="N70" i="39" s="1"/>
  <c r="B70" i="39"/>
  <c r="X69" i="39"/>
  <c r="T69" i="39"/>
  <c r="P69" i="39"/>
  <c r="J69" i="39"/>
  <c r="H69" i="39"/>
  <c r="D69" i="39"/>
  <c r="L69" i="39" s="1"/>
  <c r="N69" i="39" s="1"/>
  <c r="B69" i="39"/>
  <c r="Z68" i="39"/>
  <c r="X68" i="39"/>
  <c r="V68" i="39"/>
  <c r="N68" i="39"/>
  <c r="L68" i="39"/>
  <c r="B68" i="39"/>
  <c r="Z67" i="39"/>
  <c r="X67" i="39"/>
  <c r="N67" i="39"/>
  <c r="L67" i="39"/>
  <c r="B67" i="39"/>
  <c r="Z66" i="39"/>
  <c r="X66" i="39"/>
  <c r="T66" i="39"/>
  <c r="P66" i="39"/>
  <c r="N66" i="39"/>
  <c r="J66" i="39"/>
  <c r="H66" i="39"/>
  <c r="D66" i="39"/>
  <c r="L66" i="39" s="1"/>
  <c r="B66" i="39"/>
  <c r="Z65" i="39"/>
  <c r="X65" i="39"/>
  <c r="L65" i="39"/>
  <c r="N65" i="39" s="1"/>
  <c r="B65" i="39"/>
  <c r="T64" i="39"/>
  <c r="P64" i="39"/>
  <c r="N64" i="39"/>
  <c r="L64" i="39"/>
  <c r="J64" i="39"/>
  <c r="H64" i="39"/>
  <c r="D64" i="39"/>
  <c r="B64" i="39"/>
  <c r="Z63" i="39"/>
  <c r="X63" i="39"/>
  <c r="V63" i="39"/>
  <c r="L63" i="39"/>
  <c r="N63" i="39" s="1"/>
  <c r="B63" i="39"/>
  <c r="Z62" i="39"/>
  <c r="T62" i="39"/>
  <c r="P62" i="39"/>
  <c r="X62" i="39" s="1"/>
  <c r="J62" i="39"/>
  <c r="H62" i="39"/>
  <c r="D62" i="39"/>
  <c r="B62" i="39"/>
  <c r="X61" i="39"/>
  <c r="Z61" i="39" s="1"/>
  <c r="N61" i="39"/>
  <c r="L61" i="39"/>
  <c r="B61" i="39"/>
  <c r="Z60" i="39"/>
  <c r="X60" i="39"/>
  <c r="V60" i="39"/>
  <c r="L60" i="39"/>
  <c r="N60" i="39" s="1"/>
  <c r="B60" i="39"/>
  <c r="Z59" i="39"/>
  <c r="X59" i="39"/>
  <c r="N59" i="39"/>
  <c r="L59" i="39"/>
  <c r="B59" i="39"/>
  <c r="X58" i="39"/>
  <c r="T58" i="39"/>
  <c r="P58" i="39"/>
  <c r="J58" i="39"/>
  <c r="H58" i="39"/>
  <c r="D58" i="39"/>
  <c r="L58" i="39" s="1"/>
  <c r="N58" i="39" s="1"/>
  <c r="B58" i="39"/>
  <c r="Z57" i="39"/>
  <c r="X57" i="39"/>
  <c r="L57" i="39"/>
  <c r="N57" i="39" s="1"/>
  <c r="B57" i="39"/>
  <c r="T56" i="39"/>
  <c r="P56" i="39"/>
  <c r="N56" i="39"/>
  <c r="L56" i="39"/>
  <c r="J56" i="39"/>
  <c r="H56" i="39"/>
  <c r="D56" i="39"/>
  <c r="B56" i="39"/>
  <c r="Z55" i="39"/>
  <c r="X55" i="39"/>
  <c r="V55" i="39"/>
  <c r="L55" i="39"/>
  <c r="N55" i="39" s="1"/>
  <c r="J55" i="39"/>
  <c r="B55" i="39"/>
  <c r="Z54" i="39"/>
  <c r="T54" i="39"/>
  <c r="P54" i="39"/>
  <c r="X54" i="39" s="1"/>
  <c r="J54" i="39"/>
  <c r="H54" i="39"/>
  <c r="N54" i="39" s="1"/>
  <c r="D54" i="39"/>
  <c r="L54" i="39" s="1"/>
  <c r="B54" i="39"/>
  <c r="X53" i="39"/>
  <c r="Z53" i="39" s="1"/>
  <c r="N53" i="39"/>
  <c r="L53" i="39"/>
  <c r="B53" i="39"/>
  <c r="V52" i="39"/>
  <c r="T52" i="39"/>
  <c r="P52" i="39"/>
  <c r="X52" i="39" s="1"/>
  <c r="Z52" i="39" s="1"/>
  <c r="L52" i="39"/>
  <c r="N52" i="39" s="1"/>
  <c r="H52" i="39"/>
  <c r="D52" i="39"/>
  <c r="B52" i="39"/>
  <c r="Z51" i="39"/>
  <c r="X51" i="39"/>
  <c r="N51" i="39"/>
  <c r="L51" i="39"/>
  <c r="J51" i="39"/>
  <c r="B51" i="39"/>
  <c r="Z50" i="39"/>
  <c r="X50" i="39"/>
  <c r="N50" i="39"/>
  <c r="L50" i="39"/>
  <c r="B50" i="39"/>
  <c r="Z49" i="39"/>
  <c r="X49" i="39"/>
  <c r="L49" i="39"/>
  <c r="N49" i="39" s="1"/>
  <c r="B49" i="39"/>
  <c r="X48" i="39"/>
  <c r="Z48" i="39" s="1"/>
  <c r="N48" i="39"/>
  <c r="L48" i="39"/>
  <c r="J48" i="39"/>
  <c r="B48" i="39"/>
  <c r="Z47" i="39"/>
  <c r="X47" i="39"/>
  <c r="N47" i="39"/>
  <c r="L47" i="39"/>
  <c r="J47" i="39"/>
  <c r="B47" i="39"/>
  <c r="Z46" i="39"/>
  <c r="X46" i="39"/>
  <c r="N46" i="39"/>
  <c r="L46" i="39"/>
  <c r="J46" i="39"/>
  <c r="B46" i="39"/>
  <c r="Z45" i="39"/>
  <c r="X45" i="39"/>
  <c r="L45" i="39"/>
  <c r="N45" i="39" s="1"/>
  <c r="B45" i="39"/>
  <c r="Z44" i="39"/>
  <c r="X44" i="39"/>
  <c r="N44" i="39"/>
  <c r="L44" i="39"/>
  <c r="J44" i="39"/>
  <c r="B44" i="39"/>
  <c r="X43" i="39"/>
  <c r="Z43" i="39" s="1"/>
  <c r="N43" i="39"/>
  <c r="L43" i="39"/>
  <c r="J43" i="39"/>
  <c r="B43" i="39"/>
  <c r="Z42" i="39"/>
  <c r="X42" i="39"/>
  <c r="V42" i="39"/>
  <c r="N42" i="39"/>
  <c r="L42" i="39"/>
  <c r="J42" i="39"/>
  <c r="B42" i="39"/>
  <c r="T41" i="39"/>
  <c r="P41" i="39"/>
  <c r="L41" i="39"/>
  <c r="H41" i="39"/>
  <c r="N41" i="39" s="1"/>
  <c r="D41" i="39"/>
  <c r="B41" i="39"/>
  <c r="Z40" i="39"/>
  <c r="X40" i="39"/>
  <c r="V40" i="39"/>
  <c r="N40" i="39"/>
  <c r="L40" i="39"/>
  <c r="J40" i="39"/>
  <c r="B40" i="39"/>
  <c r="Z39" i="39"/>
  <c r="X39" i="39"/>
  <c r="V39" i="39"/>
  <c r="L39" i="39"/>
  <c r="N39" i="39" s="1"/>
  <c r="J39" i="39"/>
  <c r="B39" i="39"/>
  <c r="Z38" i="39"/>
  <c r="X38" i="39"/>
  <c r="L38" i="39"/>
  <c r="N38" i="39" s="1"/>
  <c r="B38" i="39"/>
  <c r="Z37" i="39"/>
  <c r="X37" i="39"/>
  <c r="N37" i="39"/>
  <c r="L37" i="39"/>
  <c r="J37" i="39"/>
  <c r="B37" i="39"/>
  <c r="Z36" i="39"/>
  <c r="X36" i="39"/>
  <c r="V36" i="39"/>
  <c r="N36" i="39"/>
  <c r="L36" i="39"/>
  <c r="J36" i="39"/>
  <c r="B36" i="39"/>
  <c r="Z35" i="39"/>
  <c r="X35" i="39"/>
  <c r="V35" i="39"/>
  <c r="L35" i="39"/>
  <c r="N35" i="39" s="1"/>
  <c r="J35" i="39"/>
  <c r="B35" i="39"/>
  <c r="Z34" i="39"/>
  <c r="X34" i="39"/>
  <c r="L34" i="39"/>
  <c r="N34" i="39" s="1"/>
  <c r="B34" i="39"/>
  <c r="X33" i="39"/>
  <c r="Z33" i="39" s="1"/>
  <c r="L33" i="39"/>
  <c r="N33" i="39" s="1"/>
  <c r="J33" i="39"/>
  <c r="B33" i="39"/>
  <c r="Z32" i="39"/>
  <c r="X32" i="39"/>
  <c r="V32" i="39"/>
  <c r="N32" i="39"/>
  <c r="L32" i="39"/>
  <c r="J32" i="39"/>
  <c r="B32" i="39"/>
  <c r="V31" i="39"/>
  <c r="T31" i="39"/>
  <c r="P31" i="39"/>
  <c r="X31" i="39" s="1"/>
  <c r="Z31" i="39" s="1"/>
  <c r="L31" i="39"/>
  <c r="H31" i="39"/>
  <c r="D31" i="39"/>
  <c r="B31" i="39"/>
  <c r="X30" i="39"/>
  <c r="T30" i="39"/>
  <c r="Z30" i="39" s="1"/>
  <c r="P30" i="39"/>
  <c r="J30" i="39"/>
  <c r="H30" i="39"/>
  <c r="D30" i="39"/>
  <c r="L30" i="39" s="1"/>
  <c r="N30" i="39" s="1"/>
  <c r="J28" i="39"/>
  <c r="H28" i="39"/>
  <c r="H124" i="39" s="1"/>
  <c r="Z26" i="39"/>
  <c r="X26" i="39"/>
  <c r="N26" i="39"/>
  <c r="L26" i="39"/>
  <c r="J26" i="39"/>
  <c r="B26" i="39"/>
  <c r="Z25" i="39"/>
  <c r="X25" i="39"/>
  <c r="V25" i="39"/>
  <c r="N25" i="39"/>
  <c r="L25" i="39"/>
  <c r="J25" i="39"/>
  <c r="B25" i="39"/>
  <c r="Z24" i="39"/>
  <c r="X24" i="39"/>
  <c r="V24" i="39"/>
  <c r="L24" i="39"/>
  <c r="N24" i="39" s="1"/>
  <c r="B24" i="39"/>
  <c r="T23" i="39"/>
  <c r="P23" i="39"/>
  <c r="L23" i="39"/>
  <c r="N23" i="39" s="1"/>
  <c r="J23" i="39"/>
  <c r="H23" i="39"/>
  <c r="D23" i="39"/>
  <c r="Z21" i="39"/>
  <c r="P21" i="39"/>
  <c r="X21" i="39" s="1"/>
  <c r="N21" i="39"/>
  <c r="D21" i="39"/>
  <c r="L21" i="39" s="1"/>
  <c r="B21" i="39"/>
  <c r="Z20" i="39"/>
  <c r="X20" i="39"/>
  <c r="P20" i="39"/>
  <c r="N20" i="39"/>
  <c r="D20" i="39"/>
  <c r="L20" i="39" s="1"/>
  <c r="B20" i="39"/>
  <c r="Z19" i="39"/>
  <c r="X19" i="39"/>
  <c r="P19" i="39"/>
  <c r="N19" i="39"/>
  <c r="D19" i="39"/>
  <c r="L19" i="39" s="1"/>
  <c r="B19" i="39"/>
  <c r="X18" i="39"/>
  <c r="Z18" i="39" s="1"/>
  <c r="P18" i="39"/>
  <c r="L18" i="39"/>
  <c r="N18" i="39" s="1"/>
  <c r="D18" i="39"/>
  <c r="D12" i="39" s="1"/>
  <c r="B18" i="39"/>
  <c r="Z17" i="39"/>
  <c r="X17" i="39"/>
  <c r="P17" i="39"/>
  <c r="N17" i="39"/>
  <c r="L17" i="39"/>
  <c r="D17" i="39"/>
  <c r="B17" i="39"/>
  <c r="Z16" i="39"/>
  <c r="P16" i="39"/>
  <c r="X16" i="39" s="1"/>
  <c r="N16" i="39"/>
  <c r="L16" i="39"/>
  <c r="D16" i="39"/>
  <c r="B16" i="39"/>
  <c r="Z15" i="39"/>
  <c r="P15" i="39"/>
  <c r="X15" i="39" s="1"/>
  <c r="N15" i="39"/>
  <c r="L15" i="39"/>
  <c r="D15" i="39"/>
  <c r="B15" i="39"/>
  <c r="Z14" i="39"/>
  <c r="P14" i="39"/>
  <c r="X14" i="39" s="1"/>
  <c r="N14" i="39"/>
  <c r="L14" i="39"/>
  <c r="D14" i="39"/>
  <c r="B14" i="39"/>
  <c r="P13" i="39"/>
  <c r="D13" i="39"/>
  <c r="L13" i="39" s="1"/>
  <c r="N13" i="39" s="1"/>
  <c r="B13" i="39"/>
  <c r="T12" i="39"/>
  <c r="V122" i="39" s="1"/>
  <c r="H12" i="39"/>
  <c r="D4" i="39"/>
  <c r="Z129" i="36"/>
  <c r="X129" i="36"/>
  <c r="N129" i="36"/>
  <c r="L129" i="36"/>
  <c r="Z125" i="36"/>
  <c r="X125" i="36"/>
  <c r="P125" i="36"/>
  <c r="N125" i="36"/>
  <c r="D125" i="36"/>
  <c r="L125" i="36" s="1"/>
  <c r="B125" i="36"/>
  <c r="X124" i="36"/>
  <c r="Z124" i="36" s="1"/>
  <c r="P124" i="36"/>
  <c r="N124" i="36"/>
  <c r="L124" i="36"/>
  <c r="D124" i="36"/>
  <c r="B124" i="36"/>
  <c r="P123" i="36"/>
  <c r="X123" i="36" s="1"/>
  <c r="Z123" i="36" s="1"/>
  <c r="J123" i="36"/>
  <c r="D123" i="36"/>
  <c r="L123" i="36" s="1"/>
  <c r="N123" i="36" s="1"/>
  <c r="B123" i="36"/>
  <c r="Z122" i="36"/>
  <c r="X122" i="36"/>
  <c r="P122" i="36"/>
  <c r="L122" i="36"/>
  <c r="N122" i="36" s="1"/>
  <c r="D122" i="36"/>
  <c r="B122" i="36"/>
  <c r="T121" i="36"/>
  <c r="H121" i="36"/>
  <c r="Z119" i="36"/>
  <c r="X119" i="36"/>
  <c r="L119" i="36"/>
  <c r="N119" i="36" s="1"/>
  <c r="B119" i="36"/>
  <c r="T118" i="36"/>
  <c r="P118" i="36"/>
  <c r="X118" i="36" s="1"/>
  <c r="H118" i="36"/>
  <c r="D118" i="36"/>
  <c r="L118" i="36" s="1"/>
  <c r="N118" i="36" s="1"/>
  <c r="B118" i="36"/>
  <c r="Z117" i="36"/>
  <c r="X117" i="36"/>
  <c r="V117" i="36"/>
  <c r="N117" i="36"/>
  <c r="L117" i="36"/>
  <c r="B117" i="36"/>
  <c r="Z116" i="36"/>
  <c r="X116" i="36"/>
  <c r="N116" i="36"/>
  <c r="L116" i="36"/>
  <c r="B116" i="36"/>
  <c r="X115" i="36"/>
  <c r="Z115" i="36" s="1"/>
  <c r="N115" i="36"/>
  <c r="L115" i="36"/>
  <c r="B115" i="36"/>
  <c r="X114" i="36"/>
  <c r="T114" i="36"/>
  <c r="Z114" i="36" s="1"/>
  <c r="P114" i="36"/>
  <c r="H114" i="36"/>
  <c r="D114" i="36"/>
  <c r="L114" i="36" s="1"/>
  <c r="N114" i="36" s="1"/>
  <c r="B114" i="36"/>
  <c r="Z113" i="36"/>
  <c r="X113" i="36"/>
  <c r="L113" i="36"/>
  <c r="N113" i="36" s="1"/>
  <c r="B113" i="36"/>
  <c r="Z112" i="36"/>
  <c r="X112" i="36"/>
  <c r="T112" i="36"/>
  <c r="P112" i="36"/>
  <c r="H112" i="36"/>
  <c r="D112" i="36"/>
  <c r="L112" i="36" s="1"/>
  <c r="B112" i="36"/>
  <c r="Z111" i="36"/>
  <c r="X111" i="36"/>
  <c r="L111" i="36"/>
  <c r="N111" i="36" s="1"/>
  <c r="B111" i="36"/>
  <c r="Z110" i="36"/>
  <c r="X110" i="36"/>
  <c r="L110" i="36"/>
  <c r="N110" i="36" s="1"/>
  <c r="B110" i="36"/>
  <c r="T109" i="36"/>
  <c r="P109" i="36"/>
  <c r="X109" i="36" s="1"/>
  <c r="H109" i="36"/>
  <c r="D109" i="36"/>
  <c r="L109" i="36" s="1"/>
  <c r="N109" i="36" s="1"/>
  <c r="B109" i="36"/>
  <c r="X108" i="36"/>
  <c r="Z108" i="36" s="1"/>
  <c r="N108" i="36"/>
  <c r="L108" i="36"/>
  <c r="B108" i="36"/>
  <c r="X107" i="36"/>
  <c r="Z107" i="36" s="1"/>
  <c r="N107" i="36"/>
  <c r="L107" i="36"/>
  <c r="B107" i="36"/>
  <c r="Z106" i="36"/>
  <c r="X106" i="36"/>
  <c r="N106" i="36"/>
  <c r="L106" i="36"/>
  <c r="B106" i="36"/>
  <c r="X105" i="36"/>
  <c r="Z105" i="36" s="1"/>
  <c r="N105" i="36"/>
  <c r="L105" i="36"/>
  <c r="B105" i="36"/>
  <c r="X104" i="36"/>
  <c r="Z104" i="36" s="1"/>
  <c r="N104" i="36"/>
  <c r="L104" i="36"/>
  <c r="B104" i="36"/>
  <c r="X103" i="36"/>
  <c r="Z103" i="36" s="1"/>
  <c r="N103" i="36"/>
  <c r="L103" i="36"/>
  <c r="B103" i="36"/>
  <c r="X102" i="36"/>
  <c r="Z102" i="36" s="1"/>
  <c r="N102" i="36"/>
  <c r="L102" i="36"/>
  <c r="B102" i="36"/>
  <c r="X101" i="36"/>
  <c r="Z101" i="36" s="1"/>
  <c r="N101" i="36"/>
  <c r="L101" i="36"/>
  <c r="B101" i="36"/>
  <c r="X100" i="36"/>
  <c r="Z100" i="36" s="1"/>
  <c r="N100" i="36"/>
  <c r="L100" i="36"/>
  <c r="B100" i="36"/>
  <c r="X99" i="36"/>
  <c r="Z99" i="36" s="1"/>
  <c r="N99" i="36"/>
  <c r="L99" i="36"/>
  <c r="B99" i="36"/>
  <c r="X98" i="36"/>
  <c r="Z98" i="36" s="1"/>
  <c r="N98" i="36"/>
  <c r="L98" i="36"/>
  <c r="B98" i="36"/>
  <c r="X97" i="36"/>
  <c r="Z97" i="36" s="1"/>
  <c r="T97" i="36"/>
  <c r="P97" i="36"/>
  <c r="H97" i="36"/>
  <c r="D97" i="36"/>
  <c r="B97" i="36"/>
  <c r="X96" i="36"/>
  <c r="Z96" i="36" s="1"/>
  <c r="L96" i="36"/>
  <c r="N96" i="36" s="1"/>
  <c r="B96" i="36"/>
  <c r="Z95" i="36"/>
  <c r="X95" i="36"/>
  <c r="N95" i="36"/>
  <c r="L95" i="36"/>
  <c r="B95" i="36"/>
  <c r="T94" i="36"/>
  <c r="Z94" i="36" s="1"/>
  <c r="P94" i="36"/>
  <c r="X94" i="36" s="1"/>
  <c r="L94" i="36"/>
  <c r="N94" i="36" s="1"/>
  <c r="H94" i="36"/>
  <c r="D94" i="36"/>
  <c r="B94" i="36"/>
  <c r="X93" i="36"/>
  <c r="Z93" i="36" s="1"/>
  <c r="L93" i="36"/>
  <c r="N93" i="36" s="1"/>
  <c r="B93" i="36"/>
  <c r="X92" i="36"/>
  <c r="Z92" i="36" s="1"/>
  <c r="L92" i="36"/>
  <c r="N92" i="36" s="1"/>
  <c r="B92" i="36"/>
  <c r="Z91" i="36"/>
  <c r="X91" i="36"/>
  <c r="L91" i="36"/>
  <c r="N91" i="36" s="1"/>
  <c r="B91" i="36"/>
  <c r="Z90" i="36"/>
  <c r="X90" i="36"/>
  <c r="N90" i="36"/>
  <c r="L90" i="36"/>
  <c r="B90" i="36"/>
  <c r="X89" i="36"/>
  <c r="Z89" i="36" s="1"/>
  <c r="L89" i="36"/>
  <c r="N89" i="36" s="1"/>
  <c r="J89" i="36"/>
  <c r="B89" i="36"/>
  <c r="T88" i="36"/>
  <c r="P88" i="36"/>
  <c r="X88" i="36" s="1"/>
  <c r="Z88" i="36" s="1"/>
  <c r="H88" i="36"/>
  <c r="D88" i="36"/>
  <c r="L88" i="36" s="1"/>
  <c r="B88" i="36"/>
  <c r="Z87" i="36"/>
  <c r="X87" i="36"/>
  <c r="N87" i="36"/>
  <c r="L87" i="36"/>
  <c r="B87" i="36"/>
  <c r="Z86" i="36"/>
  <c r="X86" i="36"/>
  <c r="N86" i="36"/>
  <c r="L86" i="36"/>
  <c r="B86" i="36"/>
  <c r="Z85" i="36"/>
  <c r="X85" i="36"/>
  <c r="V85" i="36"/>
  <c r="T85" i="36"/>
  <c r="P85" i="36"/>
  <c r="H85" i="36"/>
  <c r="N85" i="36" s="1"/>
  <c r="D85" i="36"/>
  <c r="B85" i="36"/>
  <c r="X84" i="36"/>
  <c r="Z84" i="36" s="1"/>
  <c r="L84" i="36"/>
  <c r="N84" i="36" s="1"/>
  <c r="B84" i="36"/>
  <c r="Z83" i="36"/>
  <c r="X83" i="36"/>
  <c r="N83" i="36"/>
  <c r="L83" i="36"/>
  <c r="B83" i="36"/>
  <c r="Z82" i="36"/>
  <c r="X82" i="36"/>
  <c r="N82" i="36"/>
  <c r="L82" i="36"/>
  <c r="B82" i="36"/>
  <c r="Z81" i="36"/>
  <c r="X81" i="36"/>
  <c r="N81" i="36"/>
  <c r="L81" i="36"/>
  <c r="B81" i="36"/>
  <c r="X80" i="36"/>
  <c r="Z80" i="36" s="1"/>
  <c r="T80" i="36"/>
  <c r="P80" i="36"/>
  <c r="H80" i="36"/>
  <c r="D80" i="36"/>
  <c r="B80" i="36"/>
  <c r="Z79" i="36"/>
  <c r="X79" i="36"/>
  <c r="L79" i="36"/>
  <c r="N79" i="36" s="1"/>
  <c r="B79" i="36"/>
  <c r="T78" i="36"/>
  <c r="P78" i="36"/>
  <c r="X78" i="36" s="1"/>
  <c r="H78" i="36"/>
  <c r="D78" i="36"/>
  <c r="L78" i="36" s="1"/>
  <c r="N78" i="36" s="1"/>
  <c r="B78" i="36"/>
  <c r="X77" i="36"/>
  <c r="Z77" i="36" s="1"/>
  <c r="N77" i="36"/>
  <c r="L77" i="36"/>
  <c r="B77" i="36"/>
  <c r="X76" i="36"/>
  <c r="Z76" i="36" s="1"/>
  <c r="T76" i="36"/>
  <c r="P76" i="36"/>
  <c r="L76" i="36"/>
  <c r="H76" i="36"/>
  <c r="N76" i="36" s="1"/>
  <c r="D76" i="36"/>
  <c r="B76" i="36"/>
  <c r="Z75" i="36"/>
  <c r="X75" i="36"/>
  <c r="N75" i="36"/>
  <c r="L75" i="36"/>
  <c r="B75" i="36"/>
  <c r="T74" i="36"/>
  <c r="P74" i="36"/>
  <c r="X74" i="36" s="1"/>
  <c r="L74" i="36"/>
  <c r="N74" i="36" s="1"/>
  <c r="H74" i="36"/>
  <c r="D74" i="36"/>
  <c r="B74" i="36"/>
  <c r="X73" i="36"/>
  <c r="Z73" i="36" s="1"/>
  <c r="L73" i="36"/>
  <c r="N73" i="36" s="1"/>
  <c r="B73" i="36"/>
  <c r="T72" i="36"/>
  <c r="P72" i="36"/>
  <c r="X72" i="36" s="1"/>
  <c r="Z72" i="36" s="1"/>
  <c r="H72" i="36"/>
  <c r="D72" i="36"/>
  <c r="L72" i="36" s="1"/>
  <c r="B72" i="36"/>
  <c r="X71" i="36"/>
  <c r="Z71" i="36" s="1"/>
  <c r="N71" i="36"/>
  <c r="L71" i="36"/>
  <c r="B71" i="36"/>
  <c r="X70" i="36"/>
  <c r="T70" i="36"/>
  <c r="Z70" i="36" s="1"/>
  <c r="P70" i="36"/>
  <c r="H70" i="36"/>
  <c r="D70" i="36"/>
  <c r="L70" i="36" s="1"/>
  <c r="N70" i="36" s="1"/>
  <c r="B70" i="36"/>
  <c r="Z69" i="36"/>
  <c r="X69" i="36"/>
  <c r="N69" i="36"/>
  <c r="L69" i="36"/>
  <c r="B69" i="36"/>
  <c r="Z68" i="36"/>
  <c r="X68" i="36"/>
  <c r="T68" i="36"/>
  <c r="P68" i="36"/>
  <c r="H68" i="36"/>
  <c r="N68" i="36" s="1"/>
  <c r="D68" i="36"/>
  <c r="B68" i="36"/>
  <c r="Z67" i="36"/>
  <c r="X67" i="36"/>
  <c r="N67" i="36"/>
  <c r="L67" i="36"/>
  <c r="B67" i="36"/>
  <c r="T66" i="36"/>
  <c r="P66" i="36"/>
  <c r="X66" i="36" s="1"/>
  <c r="H66" i="36"/>
  <c r="D66" i="36"/>
  <c r="L66" i="36" s="1"/>
  <c r="N66" i="36" s="1"/>
  <c r="B66" i="36"/>
  <c r="X65" i="36"/>
  <c r="Z65" i="36" s="1"/>
  <c r="N65" i="36"/>
  <c r="L65" i="36"/>
  <c r="B65" i="36"/>
  <c r="T64" i="36"/>
  <c r="P64" i="36"/>
  <c r="X64" i="36" s="1"/>
  <c r="Z64" i="36" s="1"/>
  <c r="L64" i="36"/>
  <c r="H64" i="36"/>
  <c r="N64" i="36" s="1"/>
  <c r="D64" i="36"/>
  <c r="B64" i="36"/>
  <c r="Z63" i="36"/>
  <c r="X63" i="36"/>
  <c r="N63" i="36"/>
  <c r="L63" i="36"/>
  <c r="B63" i="36"/>
  <c r="T62" i="36"/>
  <c r="P62" i="36"/>
  <c r="X62" i="36" s="1"/>
  <c r="N62" i="36"/>
  <c r="L62" i="36"/>
  <c r="H62" i="36"/>
  <c r="D62" i="36"/>
  <c r="B62" i="36"/>
  <c r="X61" i="36"/>
  <c r="Z61" i="36" s="1"/>
  <c r="V61" i="36"/>
  <c r="L61" i="36"/>
  <c r="N61" i="36" s="1"/>
  <c r="B61" i="36"/>
  <c r="X60" i="36"/>
  <c r="Z60" i="36" s="1"/>
  <c r="L60" i="36"/>
  <c r="N60" i="36" s="1"/>
  <c r="B60" i="36"/>
  <c r="Z59" i="36"/>
  <c r="X59" i="36"/>
  <c r="N59" i="36"/>
  <c r="L59" i="36"/>
  <c r="B59" i="36"/>
  <c r="V58" i="36"/>
  <c r="T58" i="36"/>
  <c r="P58" i="36"/>
  <c r="H58" i="36"/>
  <c r="D58" i="36"/>
  <c r="L58" i="36" s="1"/>
  <c r="N58" i="36" s="1"/>
  <c r="B58" i="36"/>
  <c r="X57" i="36"/>
  <c r="Z57" i="36" s="1"/>
  <c r="V57" i="36"/>
  <c r="N57" i="36"/>
  <c r="L57" i="36"/>
  <c r="B57" i="36"/>
  <c r="X56" i="36"/>
  <c r="Z56" i="36" s="1"/>
  <c r="T56" i="36"/>
  <c r="P56" i="36"/>
  <c r="L56" i="36"/>
  <c r="H56" i="36"/>
  <c r="N56" i="36" s="1"/>
  <c r="D56" i="36"/>
  <c r="B56" i="36"/>
  <c r="Z55" i="36"/>
  <c r="X55" i="36"/>
  <c r="R55" i="36"/>
  <c r="N55" i="36"/>
  <c r="L55" i="36"/>
  <c r="B55" i="36"/>
  <c r="T54" i="36"/>
  <c r="P54" i="36"/>
  <c r="L54" i="36"/>
  <c r="N54" i="36" s="1"/>
  <c r="H54" i="36"/>
  <c r="D54" i="36"/>
  <c r="B54" i="36"/>
  <c r="X53" i="36"/>
  <c r="Z53" i="36" s="1"/>
  <c r="L53" i="36"/>
  <c r="N53" i="36" s="1"/>
  <c r="B53" i="36"/>
  <c r="T52" i="36"/>
  <c r="P52" i="36"/>
  <c r="X52" i="36" s="1"/>
  <c r="Z52" i="36" s="1"/>
  <c r="H52" i="36"/>
  <c r="D52" i="36"/>
  <c r="B52" i="36"/>
  <c r="Z51" i="36"/>
  <c r="X51" i="36"/>
  <c r="N51" i="36"/>
  <c r="L51" i="36"/>
  <c r="B51" i="36"/>
  <c r="Z50" i="36"/>
  <c r="X50" i="36"/>
  <c r="N50" i="36"/>
  <c r="L50" i="36"/>
  <c r="B50" i="36"/>
  <c r="X49" i="36"/>
  <c r="Z49" i="36" s="1"/>
  <c r="V49" i="36"/>
  <c r="N49" i="36"/>
  <c r="L49" i="36"/>
  <c r="B49" i="36"/>
  <c r="X48" i="36"/>
  <c r="Z48" i="36" s="1"/>
  <c r="N48" i="36"/>
  <c r="L48" i="36"/>
  <c r="B48" i="36"/>
  <c r="Z47" i="36"/>
  <c r="X47" i="36"/>
  <c r="R47" i="36"/>
  <c r="N47" i="36"/>
  <c r="L47" i="36"/>
  <c r="B47" i="36"/>
  <c r="X46" i="36"/>
  <c r="Z46" i="36" s="1"/>
  <c r="N46" i="36"/>
  <c r="L46" i="36"/>
  <c r="J46" i="36"/>
  <c r="B46" i="36"/>
  <c r="X45" i="36"/>
  <c r="Z45" i="36" s="1"/>
  <c r="V45" i="36"/>
  <c r="N45" i="36"/>
  <c r="L45" i="36"/>
  <c r="B45" i="36"/>
  <c r="Z44" i="36"/>
  <c r="X44" i="36"/>
  <c r="N44" i="36"/>
  <c r="L44" i="36"/>
  <c r="B44" i="36"/>
  <c r="Z43" i="36"/>
  <c r="X43" i="36"/>
  <c r="N43" i="36"/>
  <c r="L43" i="36"/>
  <c r="B43" i="36"/>
  <c r="X42" i="36"/>
  <c r="Z42" i="36" s="1"/>
  <c r="N42" i="36"/>
  <c r="L42" i="36"/>
  <c r="J42" i="36"/>
  <c r="B42" i="36"/>
  <c r="X41" i="36"/>
  <c r="Z41" i="36" s="1"/>
  <c r="T41" i="36"/>
  <c r="P41" i="36"/>
  <c r="H41" i="36"/>
  <c r="D41" i="36"/>
  <c r="L41" i="36" s="1"/>
  <c r="B41" i="36"/>
  <c r="X40" i="36"/>
  <c r="Z40" i="36" s="1"/>
  <c r="L40" i="36"/>
  <c r="N40" i="36" s="1"/>
  <c r="B40" i="36"/>
  <c r="Z39" i="36"/>
  <c r="X39" i="36"/>
  <c r="N39" i="36"/>
  <c r="L39" i="36"/>
  <c r="B39" i="36"/>
  <c r="Z38" i="36"/>
  <c r="X38" i="36"/>
  <c r="V38" i="36"/>
  <c r="N38" i="36"/>
  <c r="L38" i="36"/>
  <c r="J38" i="36"/>
  <c r="B38" i="36"/>
  <c r="Z37" i="36"/>
  <c r="X37" i="36"/>
  <c r="N37" i="36"/>
  <c r="L37" i="36"/>
  <c r="B37" i="36"/>
  <c r="Z36" i="36"/>
  <c r="X36" i="36"/>
  <c r="N36" i="36"/>
  <c r="L36" i="36"/>
  <c r="B36" i="36"/>
  <c r="Z35" i="36"/>
  <c r="X35" i="36"/>
  <c r="N35" i="36"/>
  <c r="L35" i="36"/>
  <c r="B35" i="36"/>
  <c r="Z34" i="36"/>
  <c r="X34" i="36"/>
  <c r="V34" i="36"/>
  <c r="N34" i="36"/>
  <c r="L34" i="36"/>
  <c r="J34" i="36"/>
  <c r="B34" i="36"/>
  <c r="Z33" i="36"/>
  <c r="X33" i="36"/>
  <c r="L33" i="36"/>
  <c r="N33" i="36" s="1"/>
  <c r="J33" i="36"/>
  <c r="B33" i="36"/>
  <c r="Z32" i="36"/>
  <c r="X32" i="36"/>
  <c r="L32" i="36"/>
  <c r="N32" i="36" s="1"/>
  <c r="B32" i="36"/>
  <c r="Z31" i="36"/>
  <c r="X31" i="36"/>
  <c r="N31" i="36"/>
  <c r="L31" i="36"/>
  <c r="B31" i="36"/>
  <c r="T30" i="36"/>
  <c r="P30" i="36"/>
  <c r="L30" i="36"/>
  <c r="N30" i="36" s="1"/>
  <c r="H30" i="36"/>
  <c r="D30" i="36"/>
  <c r="B30" i="36"/>
  <c r="T29" i="36"/>
  <c r="P29" i="36"/>
  <c r="X29" i="36" s="1"/>
  <c r="H29" i="36"/>
  <c r="D29" i="36"/>
  <c r="L29" i="36" s="1"/>
  <c r="N29" i="36" s="1"/>
  <c r="Z25" i="36"/>
  <c r="X25" i="36"/>
  <c r="N25" i="36"/>
  <c r="L25" i="36"/>
  <c r="J25" i="36"/>
  <c r="B25" i="36"/>
  <c r="Z24" i="36"/>
  <c r="X24" i="36"/>
  <c r="N24" i="36"/>
  <c r="L24" i="36"/>
  <c r="B24" i="36"/>
  <c r="Z23" i="36"/>
  <c r="X23" i="36"/>
  <c r="L23" i="36"/>
  <c r="N23" i="36" s="1"/>
  <c r="B23" i="36"/>
  <c r="T22" i="36"/>
  <c r="P22" i="36"/>
  <c r="H22" i="36"/>
  <c r="D22" i="36"/>
  <c r="L22" i="36" s="1"/>
  <c r="N22" i="36" s="1"/>
  <c r="Z20" i="36"/>
  <c r="P20" i="36"/>
  <c r="X20" i="36" s="1"/>
  <c r="N20" i="36"/>
  <c r="D20" i="36"/>
  <c r="L20" i="36" s="1"/>
  <c r="B20" i="36"/>
  <c r="Z19" i="36"/>
  <c r="X19" i="36"/>
  <c r="P19" i="36"/>
  <c r="N19" i="36"/>
  <c r="L19" i="36"/>
  <c r="D19" i="36"/>
  <c r="B19" i="36"/>
  <c r="Z18" i="36"/>
  <c r="X18" i="36"/>
  <c r="P18" i="36"/>
  <c r="L18" i="36"/>
  <c r="N18" i="36" s="1"/>
  <c r="D18" i="36"/>
  <c r="B18" i="36"/>
  <c r="Z17" i="36"/>
  <c r="X17" i="36"/>
  <c r="P17" i="36"/>
  <c r="N17" i="36"/>
  <c r="D17" i="36"/>
  <c r="L17" i="36" s="1"/>
  <c r="B17" i="36"/>
  <c r="Z16" i="36"/>
  <c r="P16" i="36"/>
  <c r="X16" i="36" s="1"/>
  <c r="N16" i="36"/>
  <c r="L16" i="36"/>
  <c r="D16" i="36"/>
  <c r="B16" i="36"/>
  <c r="Z15" i="36"/>
  <c r="X15" i="36"/>
  <c r="P15" i="36"/>
  <c r="N15" i="36"/>
  <c r="L15" i="36"/>
  <c r="D15" i="36"/>
  <c r="B15" i="36"/>
  <c r="Z14" i="36"/>
  <c r="P14" i="36"/>
  <c r="X14" i="36" s="1"/>
  <c r="N14" i="36"/>
  <c r="D14" i="36"/>
  <c r="B14" i="36"/>
  <c r="X13" i="36"/>
  <c r="Z13" i="36" s="1"/>
  <c r="P13" i="36"/>
  <c r="D13" i="36"/>
  <c r="L13" i="36" s="1"/>
  <c r="N13" i="36" s="1"/>
  <c r="B13" i="36"/>
  <c r="T12" i="36"/>
  <c r="P12" i="36"/>
  <c r="R51" i="36" s="1"/>
  <c r="H12" i="36"/>
  <c r="J88" i="36" s="1"/>
  <c r="D4" i="36"/>
  <c r="X82" i="33"/>
  <c r="Z82" i="33" s="1"/>
  <c r="N82" i="33"/>
  <c r="L82" i="33"/>
  <c r="P78" i="33"/>
  <c r="X78" i="33" s="1"/>
  <c r="Z78" i="33" s="1"/>
  <c r="J78" i="33"/>
  <c r="D78" i="33"/>
  <c r="L78" i="33" s="1"/>
  <c r="N78" i="33" s="1"/>
  <c r="B78" i="33"/>
  <c r="X77" i="33"/>
  <c r="Z77" i="33" s="1"/>
  <c r="T77" i="33"/>
  <c r="P77" i="33"/>
  <c r="H77" i="33"/>
  <c r="Z75" i="33"/>
  <c r="X75" i="33"/>
  <c r="N75" i="33"/>
  <c r="L75" i="33"/>
  <c r="B75" i="33"/>
  <c r="Z74" i="33"/>
  <c r="T74" i="33"/>
  <c r="X74" i="33" s="1"/>
  <c r="P74" i="33"/>
  <c r="H74" i="33"/>
  <c r="N74" i="33" s="1"/>
  <c r="D74" i="33"/>
  <c r="L74" i="33" s="1"/>
  <c r="B74" i="33"/>
  <c r="Z73" i="33"/>
  <c r="X73" i="33"/>
  <c r="V73" i="33"/>
  <c r="L73" i="33"/>
  <c r="N73" i="33" s="1"/>
  <c r="B73" i="33"/>
  <c r="V72" i="33"/>
  <c r="T72" i="33"/>
  <c r="P72" i="33"/>
  <c r="X72" i="33" s="1"/>
  <c r="H72" i="33"/>
  <c r="D72" i="33"/>
  <c r="L72" i="33" s="1"/>
  <c r="N72" i="33" s="1"/>
  <c r="B72" i="33"/>
  <c r="Z71" i="33"/>
  <c r="X71" i="33"/>
  <c r="L71" i="33"/>
  <c r="N71" i="33" s="1"/>
  <c r="B71" i="33"/>
  <c r="X70" i="33"/>
  <c r="Z70" i="33" s="1"/>
  <c r="N70" i="33"/>
  <c r="L70" i="33"/>
  <c r="B70" i="33"/>
  <c r="X69" i="33"/>
  <c r="Z69" i="33" s="1"/>
  <c r="N69" i="33"/>
  <c r="L69" i="33"/>
  <c r="J69" i="33"/>
  <c r="B69" i="33"/>
  <c r="Z68" i="33"/>
  <c r="X68" i="33"/>
  <c r="N68" i="33"/>
  <c r="L68" i="33"/>
  <c r="B68" i="33"/>
  <c r="Z67" i="33"/>
  <c r="X67" i="33"/>
  <c r="N67" i="33"/>
  <c r="L67" i="33"/>
  <c r="B67" i="33"/>
  <c r="T66" i="33"/>
  <c r="P66" i="33"/>
  <c r="L66" i="33"/>
  <c r="N66" i="33" s="1"/>
  <c r="J66" i="33"/>
  <c r="H66" i="33"/>
  <c r="D66" i="33"/>
  <c r="B66" i="33"/>
  <c r="Z65" i="33"/>
  <c r="X65" i="33"/>
  <c r="N65" i="33"/>
  <c r="L65" i="33"/>
  <c r="J65" i="33"/>
  <c r="B65" i="33"/>
  <c r="T64" i="33"/>
  <c r="P64" i="33"/>
  <c r="X64" i="33" s="1"/>
  <c r="H64" i="33"/>
  <c r="L64" i="33" s="1"/>
  <c r="D64" i="33"/>
  <c r="B64" i="33"/>
  <c r="X63" i="33"/>
  <c r="Z63" i="33" s="1"/>
  <c r="N63" i="33"/>
  <c r="L63" i="33"/>
  <c r="B63" i="33"/>
  <c r="Z62" i="33"/>
  <c r="X62" i="33"/>
  <c r="N62" i="33"/>
  <c r="L62" i="33"/>
  <c r="B62" i="33"/>
  <c r="T61" i="33"/>
  <c r="P61" i="33"/>
  <c r="J61" i="33"/>
  <c r="H61" i="33"/>
  <c r="D61" i="33"/>
  <c r="L61" i="33" s="1"/>
  <c r="N61" i="33" s="1"/>
  <c r="B61" i="33"/>
  <c r="X60" i="33"/>
  <c r="Z60" i="33" s="1"/>
  <c r="L60" i="33"/>
  <c r="N60" i="33" s="1"/>
  <c r="J60" i="33"/>
  <c r="B60" i="33"/>
  <c r="Z59" i="33"/>
  <c r="X59" i="33"/>
  <c r="N59" i="33"/>
  <c r="L59" i="33"/>
  <c r="B59" i="33"/>
  <c r="T58" i="33"/>
  <c r="P58" i="33"/>
  <c r="L58" i="33"/>
  <c r="N58" i="33" s="1"/>
  <c r="J58" i="33"/>
  <c r="H58" i="33"/>
  <c r="D58" i="33"/>
  <c r="B58" i="33"/>
  <c r="Z57" i="33"/>
  <c r="X57" i="33"/>
  <c r="N57" i="33"/>
  <c r="L57" i="33"/>
  <c r="J57" i="33"/>
  <c r="B57" i="33"/>
  <c r="X56" i="33"/>
  <c r="T56" i="33"/>
  <c r="P56" i="33"/>
  <c r="H56" i="33"/>
  <c r="L56" i="33" s="1"/>
  <c r="N56" i="33" s="1"/>
  <c r="D56" i="33"/>
  <c r="B56" i="33"/>
  <c r="Z55" i="33"/>
  <c r="X55" i="33"/>
  <c r="V55" i="33"/>
  <c r="L55" i="33"/>
  <c r="N55" i="33" s="1"/>
  <c r="J55" i="33"/>
  <c r="B55" i="33"/>
  <c r="T54" i="33"/>
  <c r="Z54" i="33" s="1"/>
  <c r="P54" i="33"/>
  <c r="X54" i="33" s="1"/>
  <c r="J54" i="33"/>
  <c r="H54" i="33"/>
  <c r="D54" i="33"/>
  <c r="L54" i="33" s="1"/>
  <c r="B54" i="33"/>
  <c r="X53" i="33"/>
  <c r="Z53" i="33" s="1"/>
  <c r="N53" i="33"/>
  <c r="L53" i="33"/>
  <c r="J53" i="33"/>
  <c r="B53" i="33"/>
  <c r="X52" i="33"/>
  <c r="Z52" i="33" s="1"/>
  <c r="T52" i="33"/>
  <c r="P52" i="33"/>
  <c r="N52" i="33"/>
  <c r="L52" i="33"/>
  <c r="H52" i="33"/>
  <c r="D52" i="33"/>
  <c r="B52" i="33"/>
  <c r="X51" i="33"/>
  <c r="Z51" i="33" s="1"/>
  <c r="N51" i="33"/>
  <c r="L51" i="33"/>
  <c r="J51" i="33"/>
  <c r="B51" i="33"/>
  <c r="Z50" i="33"/>
  <c r="X50" i="33"/>
  <c r="T50" i="33"/>
  <c r="P50" i="33"/>
  <c r="H50" i="33"/>
  <c r="D50" i="33"/>
  <c r="L50" i="33" s="1"/>
  <c r="B50" i="33"/>
  <c r="Z49" i="33"/>
  <c r="X49" i="33"/>
  <c r="V49" i="33"/>
  <c r="N49" i="33"/>
  <c r="L49" i="33"/>
  <c r="J49" i="33"/>
  <c r="B49" i="33"/>
  <c r="Z48" i="33"/>
  <c r="X48" i="33"/>
  <c r="N48" i="33"/>
  <c r="L48" i="33"/>
  <c r="J48" i="33"/>
  <c r="B48" i="33"/>
  <c r="Z47" i="33"/>
  <c r="X47" i="33"/>
  <c r="N47" i="33"/>
  <c r="L47" i="33"/>
  <c r="J47" i="33"/>
  <c r="B47" i="33"/>
  <c r="Z46" i="33"/>
  <c r="X46" i="33"/>
  <c r="N46" i="33"/>
  <c r="L46" i="33"/>
  <c r="B46" i="33"/>
  <c r="Z45" i="33"/>
  <c r="X45" i="33"/>
  <c r="V45" i="33"/>
  <c r="N45" i="33"/>
  <c r="L45" i="33"/>
  <c r="J45" i="33"/>
  <c r="B45" i="33"/>
  <c r="Z44" i="33"/>
  <c r="X44" i="33"/>
  <c r="N44" i="33"/>
  <c r="L44" i="33"/>
  <c r="J44" i="33"/>
  <c r="B44" i="33"/>
  <c r="Z43" i="33"/>
  <c r="X43" i="33"/>
  <c r="V43" i="33"/>
  <c r="N43" i="33"/>
  <c r="L43" i="33"/>
  <c r="J43" i="33"/>
  <c r="B43" i="33"/>
  <c r="Z42" i="33"/>
  <c r="X42" i="33"/>
  <c r="N42" i="33"/>
  <c r="L42" i="33"/>
  <c r="F42" i="33"/>
  <c r="B42" i="33"/>
  <c r="Z41" i="33"/>
  <c r="X41" i="33"/>
  <c r="L41" i="33"/>
  <c r="N41" i="33" s="1"/>
  <c r="J41" i="33"/>
  <c r="B41" i="33"/>
  <c r="Z40" i="33"/>
  <c r="X40" i="33"/>
  <c r="V40" i="33"/>
  <c r="N40" i="33"/>
  <c r="L40" i="33"/>
  <c r="J40" i="33"/>
  <c r="B40" i="33"/>
  <c r="X39" i="33"/>
  <c r="Z39" i="33" s="1"/>
  <c r="T39" i="33"/>
  <c r="P39" i="33"/>
  <c r="H39" i="33"/>
  <c r="J39" i="33" s="1"/>
  <c r="D39" i="33"/>
  <c r="B39" i="33"/>
  <c r="Z38" i="33"/>
  <c r="X38" i="33"/>
  <c r="N38" i="33"/>
  <c r="L38" i="33"/>
  <c r="B38" i="33"/>
  <c r="X37" i="33"/>
  <c r="Z37" i="33" s="1"/>
  <c r="N37" i="33"/>
  <c r="L37" i="33"/>
  <c r="J37" i="33"/>
  <c r="B37" i="33"/>
  <c r="X36" i="33"/>
  <c r="Z36" i="33" s="1"/>
  <c r="V36" i="33"/>
  <c r="N36" i="33"/>
  <c r="L36" i="33"/>
  <c r="J36" i="33"/>
  <c r="B36" i="33"/>
  <c r="Z35" i="33"/>
  <c r="X35" i="33"/>
  <c r="N35" i="33"/>
  <c r="L35" i="33"/>
  <c r="B35" i="33"/>
  <c r="Z34" i="33"/>
  <c r="X34" i="33"/>
  <c r="L34" i="33"/>
  <c r="N34" i="33" s="1"/>
  <c r="B34" i="33"/>
  <c r="X33" i="33"/>
  <c r="Z33" i="33" s="1"/>
  <c r="N33" i="33"/>
  <c r="L33" i="33"/>
  <c r="J33" i="33"/>
  <c r="B33" i="33"/>
  <c r="X32" i="33"/>
  <c r="Z32" i="33" s="1"/>
  <c r="V32" i="33"/>
  <c r="N32" i="33"/>
  <c r="L32" i="33"/>
  <c r="J32" i="33"/>
  <c r="B32" i="33"/>
  <c r="X31" i="33"/>
  <c r="Z31" i="33" s="1"/>
  <c r="L31" i="33"/>
  <c r="N31" i="33" s="1"/>
  <c r="B31" i="33"/>
  <c r="Z30" i="33"/>
  <c r="X30" i="33"/>
  <c r="L30" i="33"/>
  <c r="N30" i="33" s="1"/>
  <c r="B30" i="33"/>
  <c r="T29" i="33"/>
  <c r="P29" i="33"/>
  <c r="J29" i="33"/>
  <c r="H29" i="33"/>
  <c r="D29" i="33"/>
  <c r="L29" i="33" s="1"/>
  <c r="N29" i="33" s="1"/>
  <c r="B29" i="33"/>
  <c r="V28" i="33"/>
  <c r="T28" i="33"/>
  <c r="P28" i="33"/>
  <c r="X28" i="33" s="1"/>
  <c r="Z28" i="33" s="1"/>
  <c r="N28" i="33"/>
  <c r="L28" i="33"/>
  <c r="H28" i="33"/>
  <c r="D28" i="33"/>
  <c r="T24" i="33"/>
  <c r="Z24" i="33" s="1"/>
  <c r="P24" i="33"/>
  <c r="X24" i="33" s="1"/>
  <c r="H24" i="33"/>
  <c r="D24" i="33"/>
  <c r="Z22" i="33"/>
  <c r="X22" i="33"/>
  <c r="P22" i="33"/>
  <c r="N22" i="33"/>
  <c r="D22" i="33"/>
  <c r="L22" i="33" s="1"/>
  <c r="B22" i="33"/>
  <c r="Z21" i="33"/>
  <c r="P21" i="33"/>
  <c r="X21" i="33" s="1"/>
  <c r="N21" i="33"/>
  <c r="D21" i="33"/>
  <c r="L21" i="33" s="1"/>
  <c r="B21" i="33"/>
  <c r="Z20" i="33"/>
  <c r="X20" i="33"/>
  <c r="P20" i="33"/>
  <c r="N20" i="33"/>
  <c r="D20" i="33"/>
  <c r="L20" i="33" s="1"/>
  <c r="B20" i="33"/>
  <c r="Z19" i="33"/>
  <c r="X19" i="33"/>
  <c r="P19" i="33"/>
  <c r="N19" i="33"/>
  <c r="D19" i="33"/>
  <c r="L19" i="33" s="1"/>
  <c r="B19" i="33"/>
  <c r="Z18" i="33"/>
  <c r="X18" i="33"/>
  <c r="P18" i="33"/>
  <c r="N18" i="33"/>
  <c r="D18" i="33"/>
  <c r="L18" i="33" s="1"/>
  <c r="B18" i="33"/>
  <c r="X17" i="33"/>
  <c r="Z17" i="33" s="1"/>
  <c r="P17" i="33"/>
  <c r="N17" i="33"/>
  <c r="L17" i="33"/>
  <c r="D17" i="33"/>
  <c r="B17" i="33"/>
  <c r="Z16" i="33"/>
  <c r="X16" i="33"/>
  <c r="P16" i="33"/>
  <c r="N16" i="33"/>
  <c r="L16" i="33"/>
  <c r="D16" i="33"/>
  <c r="B16" i="33"/>
  <c r="Z15" i="33"/>
  <c r="X15" i="33"/>
  <c r="P15" i="33"/>
  <c r="N15" i="33"/>
  <c r="L15" i="33"/>
  <c r="D15" i="33"/>
  <c r="D12" i="33" s="1"/>
  <c r="B15" i="33"/>
  <c r="Z14" i="33"/>
  <c r="P14" i="33"/>
  <c r="X14" i="33" s="1"/>
  <c r="N14" i="33"/>
  <c r="L14" i="33"/>
  <c r="D14" i="33"/>
  <c r="B14" i="33"/>
  <c r="P13" i="33"/>
  <c r="N13" i="33"/>
  <c r="L13" i="33"/>
  <c r="D13" i="33"/>
  <c r="B13" i="33"/>
  <c r="T12" i="33"/>
  <c r="V31" i="33" s="1"/>
  <c r="H12" i="33"/>
  <c r="J71" i="33" s="1"/>
  <c r="D4" i="33"/>
  <c r="Z167" i="30"/>
  <c r="X167" i="30"/>
  <c r="V167" i="30"/>
  <c r="N167" i="30"/>
  <c r="L167" i="30"/>
  <c r="Z163" i="30"/>
  <c r="P163" i="30"/>
  <c r="X163" i="30" s="1"/>
  <c r="N163" i="30"/>
  <c r="L163" i="30"/>
  <c r="D163" i="30"/>
  <c r="B163" i="30"/>
  <c r="P162" i="30"/>
  <c r="X162" i="30" s="1"/>
  <c r="Z162" i="30" s="1"/>
  <c r="J162" i="30"/>
  <c r="D162" i="30"/>
  <c r="L162" i="30" s="1"/>
  <c r="N162" i="30" s="1"/>
  <c r="B162" i="30"/>
  <c r="P161" i="30"/>
  <c r="X161" i="30" s="1"/>
  <c r="Z161" i="30" s="1"/>
  <c r="N161" i="30"/>
  <c r="L161" i="30"/>
  <c r="D161" i="30"/>
  <c r="B161" i="30"/>
  <c r="T160" i="30"/>
  <c r="H160" i="30"/>
  <c r="D160" i="30"/>
  <c r="L160" i="30" s="1"/>
  <c r="Z158" i="30"/>
  <c r="X158" i="30"/>
  <c r="L158" i="30"/>
  <c r="N158" i="30" s="1"/>
  <c r="B158" i="30"/>
  <c r="T157" i="30"/>
  <c r="P157" i="30"/>
  <c r="X157" i="30" s="1"/>
  <c r="Z157" i="30" s="1"/>
  <c r="H157" i="30"/>
  <c r="D157" i="30"/>
  <c r="B157" i="30"/>
  <c r="X156" i="30"/>
  <c r="Z156" i="30" s="1"/>
  <c r="N156" i="30"/>
  <c r="L156" i="30"/>
  <c r="B156" i="30"/>
  <c r="Z155" i="30"/>
  <c r="X155" i="30"/>
  <c r="N155" i="30"/>
  <c r="L155" i="30"/>
  <c r="B155" i="30"/>
  <c r="T154" i="30"/>
  <c r="P154" i="30"/>
  <c r="X154" i="30" s="1"/>
  <c r="L154" i="30"/>
  <c r="H154" i="30"/>
  <c r="D154" i="30"/>
  <c r="B154" i="30"/>
  <c r="X153" i="30"/>
  <c r="Z153" i="30" s="1"/>
  <c r="N153" i="30"/>
  <c r="L153" i="30"/>
  <c r="J153" i="30"/>
  <c r="B153" i="30"/>
  <c r="T152" i="30"/>
  <c r="Z152" i="30" s="1"/>
  <c r="P152" i="30"/>
  <c r="X152" i="30" s="1"/>
  <c r="H152" i="30"/>
  <c r="D152" i="30"/>
  <c r="B152" i="30"/>
  <c r="X151" i="30"/>
  <c r="Z151" i="30" s="1"/>
  <c r="N151" i="30"/>
  <c r="L151" i="30"/>
  <c r="J151" i="30"/>
  <c r="B151" i="30"/>
  <c r="Z150" i="30"/>
  <c r="X150" i="30"/>
  <c r="L150" i="30"/>
  <c r="N150" i="30" s="1"/>
  <c r="B150" i="30"/>
  <c r="Z149" i="30"/>
  <c r="T149" i="30"/>
  <c r="P149" i="30"/>
  <c r="X149" i="30" s="1"/>
  <c r="H149" i="30"/>
  <c r="N149" i="30" s="1"/>
  <c r="D149" i="30"/>
  <c r="L149" i="30" s="1"/>
  <c r="B149" i="30"/>
  <c r="X148" i="30"/>
  <c r="Z148" i="30" s="1"/>
  <c r="N148" i="30"/>
  <c r="L148" i="30"/>
  <c r="B148" i="30"/>
  <c r="Z147" i="30"/>
  <c r="X147" i="30"/>
  <c r="N147" i="30"/>
  <c r="L147" i="30"/>
  <c r="B147" i="30"/>
  <c r="X146" i="30"/>
  <c r="Z146" i="30" s="1"/>
  <c r="N146" i="30"/>
  <c r="L146" i="30"/>
  <c r="B146" i="30"/>
  <c r="X145" i="30"/>
  <c r="Z145" i="30" s="1"/>
  <c r="L145" i="30"/>
  <c r="N145" i="30" s="1"/>
  <c r="B145" i="30"/>
  <c r="X144" i="30"/>
  <c r="Z144" i="30" s="1"/>
  <c r="L144" i="30"/>
  <c r="N144" i="30" s="1"/>
  <c r="B144" i="30"/>
  <c r="Z143" i="30"/>
  <c r="X143" i="30"/>
  <c r="N143" i="30"/>
  <c r="L143" i="30"/>
  <c r="B143" i="30"/>
  <c r="X142" i="30"/>
  <c r="Z142" i="30" s="1"/>
  <c r="L142" i="30"/>
  <c r="N142" i="30" s="1"/>
  <c r="F142" i="30"/>
  <c r="B142" i="30"/>
  <c r="X141" i="30"/>
  <c r="Z141" i="30" s="1"/>
  <c r="L141" i="30"/>
  <c r="N141" i="30" s="1"/>
  <c r="B141" i="30"/>
  <c r="X140" i="30"/>
  <c r="T140" i="30"/>
  <c r="Z140" i="30" s="1"/>
  <c r="P140" i="30"/>
  <c r="J140" i="30"/>
  <c r="H140" i="30"/>
  <c r="N140" i="30" s="1"/>
  <c r="D140" i="30"/>
  <c r="L140" i="30" s="1"/>
  <c r="B140" i="30"/>
  <c r="Z139" i="30"/>
  <c r="X139" i="30"/>
  <c r="N139" i="30"/>
  <c r="L139" i="30"/>
  <c r="B139" i="30"/>
  <c r="X138" i="30"/>
  <c r="Z138" i="30" s="1"/>
  <c r="N138" i="30"/>
  <c r="L138" i="30"/>
  <c r="B138" i="30"/>
  <c r="X137" i="30"/>
  <c r="Z137" i="30" s="1"/>
  <c r="T137" i="30"/>
  <c r="P137" i="30"/>
  <c r="N137" i="30"/>
  <c r="L137" i="30"/>
  <c r="H137" i="30"/>
  <c r="D137" i="30"/>
  <c r="B137" i="30"/>
  <c r="Z136" i="30"/>
  <c r="X136" i="30"/>
  <c r="L136" i="30"/>
  <c r="N136" i="30" s="1"/>
  <c r="B136" i="30"/>
  <c r="Z135" i="30"/>
  <c r="X135" i="30"/>
  <c r="N135" i="30"/>
  <c r="L135" i="30"/>
  <c r="J135" i="30"/>
  <c r="B135" i="30"/>
  <c r="Z134" i="30"/>
  <c r="X134" i="30"/>
  <c r="N134" i="30"/>
  <c r="L134" i="30"/>
  <c r="J134" i="30"/>
  <c r="B134" i="30"/>
  <c r="Z133" i="30"/>
  <c r="T133" i="30"/>
  <c r="X133" i="30" s="1"/>
  <c r="P133" i="30"/>
  <c r="H133" i="30"/>
  <c r="N133" i="30" s="1"/>
  <c r="D133" i="30"/>
  <c r="L133" i="30" s="1"/>
  <c r="B133" i="30"/>
  <c r="X132" i="30"/>
  <c r="Z132" i="30" s="1"/>
  <c r="L132" i="30"/>
  <c r="N132" i="30" s="1"/>
  <c r="B132" i="30"/>
  <c r="Z131" i="30"/>
  <c r="X131" i="30"/>
  <c r="V131" i="30"/>
  <c r="N131" i="30"/>
  <c r="L131" i="30"/>
  <c r="B131" i="30"/>
  <c r="X130" i="30"/>
  <c r="Z130" i="30" s="1"/>
  <c r="L130" i="30"/>
  <c r="N130" i="30" s="1"/>
  <c r="B130" i="30"/>
  <c r="T129" i="30"/>
  <c r="P129" i="30"/>
  <c r="X129" i="30" s="1"/>
  <c r="J129" i="30"/>
  <c r="H129" i="30"/>
  <c r="N129" i="30" s="1"/>
  <c r="D129" i="30"/>
  <c r="L129" i="30" s="1"/>
  <c r="B129" i="30"/>
  <c r="X128" i="30"/>
  <c r="Z128" i="30" s="1"/>
  <c r="N128" i="30"/>
  <c r="L128" i="30"/>
  <c r="B128" i="30"/>
  <c r="Z127" i="30"/>
  <c r="X127" i="30"/>
  <c r="N127" i="30"/>
  <c r="L127" i="30"/>
  <c r="B127" i="30"/>
  <c r="T126" i="30"/>
  <c r="P126" i="30"/>
  <c r="H126" i="30"/>
  <c r="D126" i="30"/>
  <c r="B126" i="30"/>
  <c r="Z125" i="30"/>
  <c r="X125" i="30"/>
  <c r="L125" i="30"/>
  <c r="N125" i="30" s="1"/>
  <c r="B125" i="30"/>
  <c r="T124" i="30"/>
  <c r="P124" i="30"/>
  <c r="H124" i="30"/>
  <c r="N124" i="30" s="1"/>
  <c r="D124" i="30"/>
  <c r="L124" i="30" s="1"/>
  <c r="B124" i="30"/>
  <c r="Z123" i="30"/>
  <c r="X123" i="30"/>
  <c r="N123" i="30"/>
  <c r="L123" i="30"/>
  <c r="B123" i="30"/>
  <c r="T122" i="30"/>
  <c r="P122" i="30"/>
  <c r="X122" i="30" s="1"/>
  <c r="N122" i="30"/>
  <c r="L122" i="30"/>
  <c r="H122" i="30"/>
  <c r="D122" i="30"/>
  <c r="B122" i="30"/>
  <c r="X121" i="30"/>
  <c r="Z121" i="30" s="1"/>
  <c r="N121" i="30"/>
  <c r="L121" i="30"/>
  <c r="J121" i="30"/>
  <c r="B121" i="30"/>
  <c r="T120" i="30"/>
  <c r="P120" i="30"/>
  <c r="H120" i="30"/>
  <c r="D120" i="30"/>
  <c r="B120" i="30"/>
  <c r="Z119" i="30"/>
  <c r="X119" i="30"/>
  <c r="N119" i="30"/>
  <c r="L119" i="30"/>
  <c r="J119" i="30"/>
  <c r="B119" i="30"/>
  <c r="T118" i="30"/>
  <c r="P118" i="30"/>
  <c r="X118" i="30" s="1"/>
  <c r="H118" i="30"/>
  <c r="D118" i="30"/>
  <c r="L118" i="30" s="1"/>
  <c r="B118" i="30"/>
  <c r="X117" i="30"/>
  <c r="Z117" i="30" s="1"/>
  <c r="L117" i="30"/>
  <c r="N117" i="30" s="1"/>
  <c r="B117" i="30"/>
  <c r="X116" i="30"/>
  <c r="Z116" i="30" s="1"/>
  <c r="N116" i="30"/>
  <c r="L116" i="30"/>
  <c r="B116" i="30"/>
  <c r="T115" i="30"/>
  <c r="P115" i="30"/>
  <c r="X115" i="30" s="1"/>
  <c r="H115" i="30"/>
  <c r="N115" i="30" s="1"/>
  <c r="D115" i="30"/>
  <c r="L115" i="30" s="1"/>
  <c r="B115" i="30"/>
  <c r="X114" i="30"/>
  <c r="Z114" i="30" s="1"/>
  <c r="N114" i="30"/>
  <c r="L114" i="30"/>
  <c r="B114" i="30"/>
  <c r="Z113" i="30"/>
  <c r="X113" i="30"/>
  <c r="N113" i="30"/>
  <c r="L113" i="30"/>
  <c r="J113" i="30"/>
  <c r="B113" i="30"/>
  <c r="T112" i="30"/>
  <c r="P112" i="30"/>
  <c r="X112" i="30" s="1"/>
  <c r="L112" i="30"/>
  <c r="H112" i="30"/>
  <c r="D112" i="30"/>
  <c r="B112" i="30"/>
  <c r="Z111" i="30"/>
  <c r="X111" i="30"/>
  <c r="N111" i="30"/>
  <c r="L111" i="30"/>
  <c r="J111" i="30"/>
  <c r="B111" i="30"/>
  <c r="T110" i="30"/>
  <c r="P110" i="30"/>
  <c r="X110" i="30" s="1"/>
  <c r="H110" i="30"/>
  <c r="D110" i="30"/>
  <c r="B110" i="30"/>
  <c r="Z109" i="30"/>
  <c r="X109" i="30"/>
  <c r="N109" i="30"/>
  <c r="L109" i="30"/>
  <c r="B109" i="30"/>
  <c r="X108" i="30"/>
  <c r="T108" i="30"/>
  <c r="Z108" i="30" s="1"/>
  <c r="P108" i="30"/>
  <c r="J108" i="30"/>
  <c r="H108" i="30"/>
  <c r="N108" i="30" s="1"/>
  <c r="D108" i="30"/>
  <c r="L108" i="30" s="1"/>
  <c r="B108" i="30"/>
  <c r="Z107" i="30"/>
  <c r="X107" i="30"/>
  <c r="N107" i="30"/>
  <c r="L107" i="30"/>
  <c r="B107" i="30"/>
  <c r="X106" i="30"/>
  <c r="T106" i="30"/>
  <c r="P106" i="30"/>
  <c r="H106" i="30"/>
  <c r="N106" i="30" s="1"/>
  <c r="D106" i="30"/>
  <c r="L106" i="30" s="1"/>
  <c r="B106" i="30"/>
  <c r="Z105" i="30"/>
  <c r="X105" i="30"/>
  <c r="V105" i="30"/>
  <c r="L105" i="30"/>
  <c r="N105" i="30" s="1"/>
  <c r="B105" i="30"/>
  <c r="T104" i="30"/>
  <c r="P104" i="30"/>
  <c r="H104" i="30"/>
  <c r="N104" i="30" s="1"/>
  <c r="D104" i="30"/>
  <c r="L104" i="30" s="1"/>
  <c r="B104" i="30"/>
  <c r="Z103" i="30"/>
  <c r="X103" i="30"/>
  <c r="N103" i="30"/>
  <c r="L103" i="30"/>
  <c r="B103" i="30"/>
  <c r="T102" i="30"/>
  <c r="Z102" i="30" s="1"/>
  <c r="P102" i="30"/>
  <c r="X102" i="30" s="1"/>
  <c r="L102" i="30"/>
  <c r="H102" i="30"/>
  <c r="D102" i="30"/>
  <c r="B102" i="30"/>
  <c r="X101" i="30"/>
  <c r="Z101" i="30" s="1"/>
  <c r="N101" i="30"/>
  <c r="L101" i="30"/>
  <c r="J101" i="30"/>
  <c r="B101" i="30"/>
  <c r="T100" i="30"/>
  <c r="Z100" i="30" s="1"/>
  <c r="P100" i="30"/>
  <c r="X100" i="30" s="1"/>
  <c r="L100" i="30"/>
  <c r="H100" i="30"/>
  <c r="D100" i="30"/>
  <c r="B100" i="30"/>
  <c r="Z99" i="30"/>
  <c r="X99" i="30"/>
  <c r="N99" i="30"/>
  <c r="L99" i="30"/>
  <c r="J99" i="30"/>
  <c r="B99" i="30"/>
  <c r="Z98" i="30"/>
  <c r="X98" i="30"/>
  <c r="N98" i="30"/>
  <c r="L98" i="30"/>
  <c r="J98" i="30"/>
  <c r="B98" i="30"/>
  <c r="Z97" i="30"/>
  <c r="X97" i="30"/>
  <c r="N97" i="30"/>
  <c r="L97" i="30"/>
  <c r="B97" i="30"/>
  <c r="Z96" i="30"/>
  <c r="X96" i="30"/>
  <c r="N96" i="30"/>
  <c r="L96" i="30"/>
  <c r="B96" i="30"/>
  <c r="Z95" i="30"/>
  <c r="X95" i="30"/>
  <c r="N95" i="30"/>
  <c r="L95" i="30"/>
  <c r="J95" i="30"/>
  <c r="B95" i="30"/>
  <c r="Z94" i="30"/>
  <c r="X94" i="30"/>
  <c r="N94" i="30"/>
  <c r="L94" i="30"/>
  <c r="J94" i="30"/>
  <c r="B94" i="30"/>
  <c r="Z93" i="30"/>
  <c r="X93" i="30"/>
  <c r="V93" i="30"/>
  <c r="L93" i="30"/>
  <c r="N93" i="30" s="1"/>
  <c r="B93" i="30"/>
  <c r="Z92" i="30"/>
  <c r="X92" i="30"/>
  <c r="N92" i="30"/>
  <c r="L92" i="30"/>
  <c r="B92" i="30"/>
  <c r="Z91" i="30"/>
  <c r="X91" i="30"/>
  <c r="N91" i="30"/>
  <c r="L91" i="30"/>
  <c r="J91" i="30"/>
  <c r="B91" i="30"/>
  <c r="Z90" i="30"/>
  <c r="X90" i="30"/>
  <c r="N90" i="30"/>
  <c r="L90" i="30"/>
  <c r="J90" i="30"/>
  <c r="B90" i="30"/>
  <c r="Z89" i="30"/>
  <c r="T89" i="30"/>
  <c r="P89" i="30"/>
  <c r="X89" i="30" s="1"/>
  <c r="H89" i="30"/>
  <c r="D89" i="30"/>
  <c r="B89" i="30"/>
  <c r="X88" i="30"/>
  <c r="Z88" i="30" s="1"/>
  <c r="L88" i="30"/>
  <c r="N88" i="30" s="1"/>
  <c r="B88" i="30"/>
  <c r="Z87" i="30"/>
  <c r="X87" i="30"/>
  <c r="V87" i="30"/>
  <c r="N87" i="30"/>
  <c r="L87" i="30"/>
  <c r="B87" i="30"/>
  <c r="X86" i="30"/>
  <c r="Z86" i="30" s="1"/>
  <c r="L86" i="30"/>
  <c r="N86" i="30" s="1"/>
  <c r="B86" i="30"/>
  <c r="Z85" i="30"/>
  <c r="X85" i="30"/>
  <c r="N85" i="30"/>
  <c r="L85" i="30"/>
  <c r="B85" i="30"/>
  <c r="X84" i="30"/>
  <c r="Z84" i="30" s="1"/>
  <c r="L84" i="30"/>
  <c r="N84" i="30" s="1"/>
  <c r="B84" i="30"/>
  <c r="Z83" i="30"/>
  <c r="X83" i="30"/>
  <c r="N83" i="30"/>
  <c r="L83" i="30"/>
  <c r="B83" i="30"/>
  <c r="X82" i="30"/>
  <c r="Z82" i="30" s="1"/>
  <c r="V82" i="30"/>
  <c r="L82" i="30"/>
  <c r="N82" i="30" s="1"/>
  <c r="F82" i="30"/>
  <c r="B82" i="30"/>
  <c r="X81" i="30"/>
  <c r="Z81" i="30" s="1"/>
  <c r="L81" i="30"/>
  <c r="N81" i="30" s="1"/>
  <c r="B81" i="30"/>
  <c r="X80" i="30"/>
  <c r="Z80" i="30" s="1"/>
  <c r="L80" i="30"/>
  <c r="N80" i="30" s="1"/>
  <c r="B80" i="30"/>
  <c r="T79" i="30"/>
  <c r="P79" i="30"/>
  <c r="X79" i="30" s="1"/>
  <c r="Z79" i="30" s="1"/>
  <c r="H79" i="30"/>
  <c r="D79" i="30"/>
  <c r="L79" i="30" s="1"/>
  <c r="N79" i="30" s="1"/>
  <c r="B79" i="30"/>
  <c r="T78" i="30"/>
  <c r="P78" i="30"/>
  <c r="H78" i="30"/>
  <c r="N78" i="30" s="1"/>
  <c r="D78" i="30"/>
  <c r="L78" i="30" s="1"/>
  <c r="Z74" i="30"/>
  <c r="X74" i="30"/>
  <c r="N74" i="30"/>
  <c r="L74" i="30"/>
  <c r="B74" i="30"/>
  <c r="Z73" i="30"/>
  <c r="X73" i="30"/>
  <c r="N73" i="30"/>
  <c r="L73" i="30"/>
  <c r="J73" i="30"/>
  <c r="B73" i="30"/>
  <c r="Z72" i="30"/>
  <c r="X72" i="30"/>
  <c r="N72" i="30"/>
  <c r="L72" i="30"/>
  <c r="B72" i="30"/>
  <c r="Z71" i="30"/>
  <c r="X71" i="30"/>
  <c r="N71" i="30"/>
  <c r="L71" i="30"/>
  <c r="J71" i="30"/>
  <c r="B71" i="30"/>
  <c r="Z70" i="30"/>
  <c r="X70" i="30"/>
  <c r="N70" i="30"/>
  <c r="L70" i="30"/>
  <c r="B70" i="30"/>
  <c r="Z69" i="30"/>
  <c r="X69" i="30"/>
  <c r="N69" i="30"/>
  <c r="L69" i="30"/>
  <c r="J69" i="30"/>
  <c r="B69" i="30"/>
  <c r="Z68" i="30"/>
  <c r="X68" i="30"/>
  <c r="N68" i="30"/>
  <c r="L68" i="30"/>
  <c r="B68" i="30"/>
  <c r="Z67" i="30"/>
  <c r="X67" i="30"/>
  <c r="N67" i="30"/>
  <c r="L67" i="30"/>
  <c r="J67" i="30"/>
  <c r="B67" i="30"/>
  <c r="Z66" i="30"/>
  <c r="X66" i="30"/>
  <c r="N66" i="30"/>
  <c r="L66" i="30"/>
  <c r="B66" i="30"/>
  <c r="Z65" i="30"/>
  <c r="X65" i="30"/>
  <c r="N65" i="30"/>
  <c r="L65" i="30"/>
  <c r="J65" i="30"/>
  <c r="B65" i="30"/>
  <c r="Z64" i="30"/>
  <c r="X64" i="30"/>
  <c r="N64" i="30"/>
  <c r="L64" i="30"/>
  <c r="B64" i="30"/>
  <c r="Z63" i="30"/>
  <c r="X63" i="30"/>
  <c r="N63" i="30"/>
  <c r="L63" i="30"/>
  <c r="J63" i="30"/>
  <c r="B63" i="30"/>
  <c r="Z62" i="30"/>
  <c r="X62" i="30"/>
  <c r="N62" i="30"/>
  <c r="L62" i="30"/>
  <c r="B62" i="30"/>
  <c r="Z61" i="30"/>
  <c r="X61" i="30"/>
  <c r="N61" i="30"/>
  <c r="L61" i="30"/>
  <c r="J61" i="30"/>
  <c r="B61" i="30"/>
  <c r="Z60" i="30"/>
  <c r="X60" i="30"/>
  <c r="N60" i="30"/>
  <c r="L60" i="30"/>
  <c r="B60" i="30"/>
  <c r="Z59" i="30"/>
  <c r="X59" i="30"/>
  <c r="N59" i="30"/>
  <c r="L59" i="30"/>
  <c r="J59" i="30"/>
  <c r="B59" i="30"/>
  <c r="Z58" i="30"/>
  <c r="X58" i="30"/>
  <c r="N58" i="30"/>
  <c r="L58" i="30"/>
  <c r="B58" i="30"/>
  <c r="Z57" i="30"/>
  <c r="X57" i="30"/>
  <c r="N57" i="30"/>
  <c r="L57" i="30"/>
  <c r="J57" i="30"/>
  <c r="B57" i="30"/>
  <c r="Z56" i="30"/>
  <c r="X56" i="30"/>
  <c r="N56" i="30"/>
  <c r="L56" i="30"/>
  <c r="B56" i="30"/>
  <c r="Z55" i="30"/>
  <c r="X55" i="30"/>
  <c r="N55" i="30"/>
  <c r="L55" i="30"/>
  <c r="J55" i="30"/>
  <c r="B55" i="30"/>
  <c r="Z54" i="30"/>
  <c r="X54" i="30"/>
  <c r="N54" i="30"/>
  <c r="L54" i="30"/>
  <c r="B54" i="30"/>
  <c r="Z53" i="30"/>
  <c r="X53" i="30"/>
  <c r="N53" i="30"/>
  <c r="L53" i="30"/>
  <c r="J53" i="30"/>
  <c r="B53" i="30"/>
  <c r="T52" i="30"/>
  <c r="P52" i="30"/>
  <c r="H52" i="30"/>
  <c r="D52" i="30"/>
  <c r="Z50" i="30"/>
  <c r="P50" i="30"/>
  <c r="X50" i="30" s="1"/>
  <c r="N50" i="30"/>
  <c r="L50" i="30"/>
  <c r="D50" i="30"/>
  <c r="B50" i="30"/>
  <c r="Z49" i="30"/>
  <c r="P49" i="30"/>
  <c r="X49" i="30" s="1"/>
  <c r="N49" i="30"/>
  <c r="L49" i="30"/>
  <c r="D49" i="30"/>
  <c r="B49" i="30"/>
  <c r="Z48" i="30"/>
  <c r="X48" i="30"/>
  <c r="P48" i="30"/>
  <c r="N48" i="30"/>
  <c r="D48" i="30"/>
  <c r="L48" i="30" s="1"/>
  <c r="B48" i="30"/>
  <c r="Z47" i="30"/>
  <c r="P47" i="30"/>
  <c r="X47" i="30" s="1"/>
  <c r="N47" i="30"/>
  <c r="D47" i="30"/>
  <c r="L47" i="30" s="1"/>
  <c r="B47" i="30"/>
  <c r="Z46" i="30"/>
  <c r="X46" i="30"/>
  <c r="P46" i="30"/>
  <c r="N46" i="30"/>
  <c r="D46" i="30"/>
  <c r="L46" i="30" s="1"/>
  <c r="B46" i="30"/>
  <c r="Z45" i="30"/>
  <c r="P45" i="30"/>
  <c r="X45" i="30" s="1"/>
  <c r="N45" i="30"/>
  <c r="L45" i="30"/>
  <c r="D45" i="30"/>
  <c r="B45" i="30"/>
  <c r="Z44" i="30"/>
  <c r="X44" i="30"/>
  <c r="P44" i="30"/>
  <c r="N44" i="30"/>
  <c r="D44" i="30"/>
  <c r="L44" i="30" s="1"/>
  <c r="B44" i="30"/>
  <c r="Z43" i="30"/>
  <c r="P43" i="30"/>
  <c r="X43" i="30" s="1"/>
  <c r="N43" i="30"/>
  <c r="L43" i="30"/>
  <c r="D43" i="30"/>
  <c r="B43" i="30"/>
  <c r="Z42" i="30"/>
  <c r="X42" i="30"/>
  <c r="P42" i="30"/>
  <c r="N42" i="30"/>
  <c r="D42" i="30"/>
  <c r="L42" i="30" s="1"/>
  <c r="B42" i="30"/>
  <c r="Z41" i="30"/>
  <c r="X41" i="30"/>
  <c r="P41" i="30"/>
  <c r="N41" i="30"/>
  <c r="L41" i="30"/>
  <c r="D41" i="30"/>
  <c r="B41" i="30"/>
  <c r="Z40" i="30"/>
  <c r="X40" i="30"/>
  <c r="P40" i="30"/>
  <c r="N40" i="30"/>
  <c r="D40" i="30"/>
  <c r="L40" i="30" s="1"/>
  <c r="B40" i="30"/>
  <c r="Z39" i="30"/>
  <c r="P39" i="30"/>
  <c r="X39" i="30" s="1"/>
  <c r="N39" i="30"/>
  <c r="L39" i="30"/>
  <c r="D39" i="30"/>
  <c r="B39" i="30"/>
  <c r="Z38" i="30"/>
  <c r="P38" i="30"/>
  <c r="X38" i="30" s="1"/>
  <c r="N38" i="30"/>
  <c r="L38" i="30"/>
  <c r="D38" i="30"/>
  <c r="B38" i="30"/>
  <c r="Z37" i="30"/>
  <c r="P37" i="30"/>
  <c r="X37" i="30" s="1"/>
  <c r="N37" i="30"/>
  <c r="L37" i="30"/>
  <c r="D37" i="30"/>
  <c r="B37" i="30"/>
  <c r="Z36" i="30"/>
  <c r="X36" i="30"/>
  <c r="P36" i="30"/>
  <c r="N36" i="30"/>
  <c r="D36" i="30"/>
  <c r="L36" i="30" s="1"/>
  <c r="B36" i="30"/>
  <c r="Z35" i="30"/>
  <c r="P35" i="30"/>
  <c r="X35" i="30" s="1"/>
  <c r="N35" i="30"/>
  <c r="D35" i="30"/>
  <c r="L35" i="30" s="1"/>
  <c r="B35" i="30"/>
  <c r="Z34" i="30"/>
  <c r="X34" i="30"/>
  <c r="P34" i="30"/>
  <c r="N34" i="30"/>
  <c r="D34" i="30"/>
  <c r="L34" i="30" s="1"/>
  <c r="B34" i="30"/>
  <c r="Z33" i="30"/>
  <c r="P33" i="30"/>
  <c r="X33" i="30" s="1"/>
  <c r="N33" i="30"/>
  <c r="L33" i="30"/>
  <c r="D33" i="30"/>
  <c r="B33" i="30"/>
  <c r="Z32" i="30"/>
  <c r="X32" i="30"/>
  <c r="P32" i="30"/>
  <c r="N32" i="30"/>
  <c r="D32" i="30"/>
  <c r="L32" i="30" s="1"/>
  <c r="B32" i="30"/>
  <c r="Z31" i="30"/>
  <c r="P31" i="30"/>
  <c r="X31" i="30" s="1"/>
  <c r="N31" i="30"/>
  <c r="L31" i="30"/>
  <c r="D31" i="30"/>
  <c r="B31" i="30"/>
  <c r="Z30" i="30"/>
  <c r="X30" i="30"/>
  <c r="P30" i="30"/>
  <c r="N30" i="30"/>
  <c r="D30" i="30"/>
  <c r="L30" i="30" s="1"/>
  <c r="B30" i="30"/>
  <c r="Z29" i="30"/>
  <c r="X29" i="30"/>
  <c r="P29" i="30"/>
  <c r="N29" i="30"/>
  <c r="L29" i="30"/>
  <c r="D29" i="30"/>
  <c r="B29" i="30"/>
  <c r="Z28" i="30"/>
  <c r="X28" i="30"/>
  <c r="P28" i="30"/>
  <c r="N28" i="30"/>
  <c r="D28" i="30"/>
  <c r="L28" i="30" s="1"/>
  <c r="B28" i="30"/>
  <c r="Z27" i="30"/>
  <c r="P27" i="30"/>
  <c r="X27" i="30" s="1"/>
  <c r="N27" i="30"/>
  <c r="L27" i="30"/>
  <c r="D27" i="30"/>
  <c r="B27" i="30"/>
  <c r="Z26" i="30"/>
  <c r="P26" i="30"/>
  <c r="X26" i="30" s="1"/>
  <c r="N26" i="30"/>
  <c r="L26" i="30"/>
  <c r="D26" i="30"/>
  <c r="B26" i="30"/>
  <c r="Z25" i="30"/>
  <c r="P25" i="30"/>
  <c r="X25" i="30" s="1"/>
  <c r="N25" i="30"/>
  <c r="L25" i="30"/>
  <c r="D25" i="30"/>
  <c r="B25" i="30"/>
  <c r="Z24" i="30"/>
  <c r="X24" i="30"/>
  <c r="P24" i="30"/>
  <c r="N24" i="30"/>
  <c r="D24" i="30"/>
  <c r="L24" i="30" s="1"/>
  <c r="B24" i="30"/>
  <c r="Z23" i="30"/>
  <c r="P23" i="30"/>
  <c r="X23" i="30" s="1"/>
  <c r="N23" i="30"/>
  <c r="D23" i="30"/>
  <c r="L23" i="30" s="1"/>
  <c r="B23" i="30"/>
  <c r="Z22" i="30"/>
  <c r="X22" i="30"/>
  <c r="P22" i="30"/>
  <c r="N22" i="30"/>
  <c r="D22" i="30"/>
  <c r="L22" i="30" s="1"/>
  <c r="B22" i="30"/>
  <c r="Z21" i="30"/>
  <c r="P21" i="30"/>
  <c r="X21" i="30" s="1"/>
  <c r="N21" i="30"/>
  <c r="L21" i="30"/>
  <c r="D21" i="30"/>
  <c r="D12" i="30" s="1"/>
  <c r="F71" i="30" s="1"/>
  <c r="B21" i="30"/>
  <c r="Z20" i="30"/>
  <c r="X20" i="30"/>
  <c r="P20" i="30"/>
  <c r="N20" i="30"/>
  <c r="D20" i="30"/>
  <c r="L20" i="30" s="1"/>
  <c r="B20" i="30"/>
  <c r="Z19" i="30"/>
  <c r="P19" i="30"/>
  <c r="X19" i="30" s="1"/>
  <c r="N19" i="30"/>
  <c r="L19" i="30"/>
  <c r="D19" i="30"/>
  <c r="B19" i="30"/>
  <c r="Z18" i="30"/>
  <c r="X18" i="30"/>
  <c r="P18" i="30"/>
  <c r="N18" i="30"/>
  <c r="L18" i="30"/>
  <c r="D18" i="30"/>
  <c r="B18" i="30"/>
  <c r="Z17" i="30"/>
  <c r="X17" i="30"/>
  <c r="P17" i="30"/>
  <c r="N17" i="30"/>
  <c r="L17" i="30"/>
  <c r="D17" i="30"/>
  <c r="B17" i="30"/>
  <c r="Z16" i="30"/>
  <c r="X16" i="30"/>
  <c r="P16" i="30"/>
  <c r="N16" i="30"/>
  <c r="D16" i="30"/>
  <c r="L16" i="30" s="1"/>
  <c r="B16" i="30"/>
  <c r="Z15" i="30"/>
  <c r="P15" i="30"/>
  <c r="X15" i="30" s="1"/>
  <c r="N15" i="30"/>
  <c r="L15" i="30"/>
  <c r="D15" i="30"/>
  <c r="B15" i="30"/>
  <c r="Z14" i="30"/>
  <c r="P14" i="30"/>
  <c r="X14" i="30" s="1"/>
  <c r="N14" i="30"/>
  <c r="L14" i="30"/>
  <c r="D14" i="30"/>
  <c r="B14" i="30"/>
  <c r="P13" i="30"/>
  <c r="L13" i="30"/>
  <c r="N13" i="30" s="1"/>
  <c r="D13" i="30"/>
  <c r="B13" i="30"/>
  <c r="T12" i="30"/>
  <c r="H12" i="30"/>
  <c r="J154" i="30" s="1"/>
  <c r="D4" i="30"/>
  <c r="X115" i="27"/>
  <c r="Z115" i="27" s="1"/>
  <c r="V115" i="27"/>
  <c r="N115" i="27"/>
  <c r="L115" i="27"/>
  <c r="Z111" i="27"/>
  <c r="X111" i="27"/>
  <c r="P111" i="27"/>
  <c r="N111" i="27"/>
  <c r="L111" i="27"/>
  <c r="D111" i="27"/>
  <c r="B111" i="27"/>
  <c r="X110" i="27"/>
  <c r="Z110" i="27" s="1"/>
  <c r="P110" i="27"/>
  <c r="N110" i="27"/>
  <c r="L110" i="27"/>
  <c r="D110" i="27"/>
  <c r="B110" i="27"/>
  <c r="Z109" i="27"/>
  <c r="V109" i="27"/>
  <c r="P109" i="27"/>
  <c r="X109" i="27" s="1"/>
  <c r="N109" i="27"/>
  <c r="D109" i="27"/>
  <c r="L109" i="27" s="1"/>
  <c r="B109" i="27"/>
  <c r="T108" i="27"/>
  <c r="P108" i="27"/>
  <c r="X108" i="27" s="1"/>
  <c r="H108" i="27"/>
  <c r="D108" i="27"/>
  <c r="Z106" i="27"/>
  <c r="X106" i="27"/>
  <c r="N106" i="27"/>
  <c r="L106" i="27"/>
  <c r="B106" i="27"/>
  <c r="Z105" i="27"/>
  <c r="X105" i="27"/>
  <c r="V105" i="27"/>
  <c r="T105" i="27"/>
  <c r="P105" i="27"/>
  <c r="H105" i="27"/>
  <c r="N105" i="27" s="1"/>
  <c r="D105" i="27"/>
  <c r="B105" i="27"/>
  <c r="Z104" i="27"/>
  <c r="X104" i="27"/>
  <c r="L104" i="27"/>
  <c r="N104" i="27" s="1"/>
  <c r="B104" i="27"/>
  <c r="X103" i="27"/>
  <c r="Z103" i="27" s="1"/>
  <c r="V103" i="27"/>
  <c r="N103" i="27"/>
  <c r="L103" i="27"/>
  <c r="B103" i="27"/>
  <c r="T102" i="27"/>
  <c r="P102" i="27"/>
  <c r="X102" i="27" s="1"/>
  <c r="Z102" i="27" s="1"/>
  <c r="H102" i="27"/>
  <c r="D102" i="27"/>
  <c r="L102" i="27" s="1"/>
  <c r="N102" i="27" s="1"/>
  <c r="B102" i="27"/>
  <c r="X101" i="27"/>
  <c r="Z101" i="27" s="1"/>
  <c r="L101" i="27"/>
  <c r="N101" i="27" s="1"/>
  <c r="B101" i="27"/>
  <c r="X100" i="27"/>
  <c r="Z100" i="27" s="1"/>
  <c r="V100" i="27"/>
  <c r="N100" i="27"/>
  <c r="L100" i="27"/>
  <c r="B100" i="27"/>
  <c r="Z99" i="27"/>
  <c r="X99" i="27"/>
  <c r="N99" i="27"/>
  <c r="L99" i="27"/>
  <c r="B99" i="27"/>
  <c r="Z98" i="27"/>
  <c r="X98" i="27"/>
  <c r="V98" i="27"/>
  <c r="T98" i="27"/>
  <c r="P98" i="27"/>
  <c r="L98" i="27"/>
  <c r="H98" i="27"/>
  <c r="D98" i="27"/>
  <c r="B98" i="27"/>
  <c r="Z97" i="27"/>
  <c r="X97" i="27"/>
  <c r="N97" i="27"/>
  <c r="L97" i="27"/>
  <c r="B97" i="27"/>
  <c r="Z96" i="27"/>
  <c r="X96" i="27"/>
  <c r="V96" i="27"/>
  <c r="T96" i="27"/>
  <c r="P96" i="27"/>
  <c r="H96" i="27"/>
  <c r="D96" i="27"/>
  <c r="B96" i="27"/>
  <c r="X95" i="27"/>
  <c r="Z95" i="27" s="1"/>
  <c r="V95" i="27"/>
  <c r="N95" i="27"/>
  <c r="L95" i="27"/>
  <c r="B95" i="27"/>
  <c r="Z94" i="27"/>
  <c r="X94" i="27"/>
  <c r="V94" i="27"/>
  <c r="N94" i="27"/>
  <c r="L94" i="27"/>
  <c r="B94" i="27"/>
  <c r="V93" i="27"/>
  <c r="T93" i="27"/>
  <c r="P93" i="27"/>
  <c r="X93" i="27" s="1"/>
  <c r="Z93" i="27" s="1"/>
  <c r="L93" i="27"/>
  <c r="H93" i="27"/>
  <c r="D93" i="27"/>
  <c r="B93" i="27"/>
  <c r="X92" i="27"/>
  <c r="Z92" i="27" s="1"/>
  <c r="N92" i="27"/>
  <c r="L92" i="27"/>
  <c r="B92" i="27"/>
  <c r="X91" i="27"/>
  <c r="V91" i="27"/>
  <c r="T91" i="27"/>
  <c r="Z91" i="27" s="1"/>
  <c r="P91" i="27"/>
  <c r="H91" i="27"/>
  <c r="D91" i="27"/>
  <c r="B91" i="27"/>
  <c r="Z90" i="27"/>
  <c r="X90" i="27"/>
  <c r="N90" i="27"/>
  <c r="L90" i="27"/>
  <c r="B90" i="27"/>
  <c r="X89" i="27"/>
  <c r="Z89" i="27" s="1"/>
  <c r="N89" i="27"/>
  <c r="L89" i="27"/>
  <c r="B89" i="27"/>
  <c r="V88" i="27"/>
  <c r="T88" i="27"/>
  <c r="P88" i="27"/>
  <c r="X88" i="27" s="1"/>
  <c r="Z88" i="27" s="1"/>
  <c r="H88" i="27"/>
  <c r="N88" i="27" s="1"/>
  <c r="D88" i="27"/>
  <c r="B88" i="27"/>
  <c r="Z87" i="27"/>
  <c r="X87" i="27"/>
  <c r="V87" i="27"/>
  <c r="N87" i="27"/>
  <c r="L87" i="27"/>
  <c r="B87" i="27"/>
  <c r="X86" i="27"/>
  <c r="Z86" i="27" s="1"/>
  <c r="V86" i="27"/>
  <c r="N86" i="27"/>
  <c r="L86" i="27"/>
  <c r="B86" i="27"/>
  <c r="V85" i="27"/>
  <c r="T85" i="27"/>
  <c r="P85" i="27"/>
  <c r="X85" i="27" s="1"/>
  <c r="Z85" i="27" s="1"/>
  <c r="L85" i="27"/>
  <c r="H85" i="27"/>
  <c r="D85" i="27"/>
  <c r="B85" i="27"/>
  <c r="X84" i="27"/>
  <c r="Z84" i="27" s="1"/>
  <c r="N84" i="27"/>
  <c r="L84" i="27"/>
  <c r="B84" i="27"/>
  <c r="X83" i="27"/>
  <c r="V83" i="27"/>
  <c r="T83" i="27"/>
  <c r="Z83" i="27" s="1"/>
  <c r="P83" i="27"/>
  <c r="H83" i="27"/>
  <c r="D83" i="27"/>
  <c r="B83" i="27"/>
  <c r="Z82" i="27"/>
  <c r="X82" i="27"/>
  <c r="L82" i="27"/>
  <c r="N82" i="27" s="1"/>
  <c r="B82" i="27"/>
  <c r="T81" i="27"/>
  <c r="P81" i="27"/>
  <c r="H81" i="27"/>
  <c r="D81" i="27"/>
  <c r="B81" i="27"/>
  <c r="Z80" i="27"/>
  <c r="X80" i="27"/>
  <c r="V80" i="27"/>
  <c r="L80" i="27"/>
  <c r="N80" i="27" s="1"/>
  <c r="B80" i="27"/>
  <c r="X79" i="27"/>
  <c r="T79" i="27"/>
  <c r="V79" i="27" s="1"/>
  <c r="P79" i="27"/>
  <c r="H79" i="27"/>
  <c r="D79" i="27"/>
  <c r="L79" i="27" s="1"/>
  <c r="N79" i="27" s="1"/>
  <c r="B79" i="27"/>
  <c r="Z78" i="27"/>
  <c r="X78" i="27"/>
  <c r="V78" i="27"/>
  <c r="N78" i="27"/>
  <c r="L78" i="27"/>
  <c r="B78" i="27"/>
  <c r="T77" i="27"/>
  <c r="P77" i="27"/>
  <c r="L77" i="27"/>
  <c r="H77" i="27"/>
  <c r="N77" i="27" s="1"/>
  <c r="D77" i="27"/>
  <c r="B77" i="27"/>
  <c r="Z76" i="27"/>
  <c r="X76" i="27"/>
  <c r="V76" i="27"/>
  <c r="N76" i="27"/>
  <c r="L76" i="27"/>
  <c r="B76" i="27"/>
  <c r="Z75" i="27"/>
  <c r="X75" i="27"/>
  <c r="N75" i="27"/>
  <c r="L75" i="27"/>
  <c r="B75" i="27"/>
  <c r="Z74" i="27"/>
  <c r="X74" i="27"/>
  <c r="V74" i="27"/>
  <c r="N74" i="27"/>
  <c r="L74" i="27"/>
  <c r="B74" i="27"/>
  <c r="X73" i="27"/>
  <c r="Z73" i="27" s="1"/>
  <c r="N73" i="27"/>
  <c r="L73" i="27"/>
  <c r="B73" i="27"/>
  <c r="Z72" i="27"/>
  <c r="X72" i="27"/>
  <c r="V72" i="27"/>
  <c r="N72" i="27"/>
  <c r="L72" i="27"/>
  <c r="B72" i="27"/>
  <c r="Z71" i="27"/>
  <c r="X71" i="27"/>
  <c r="L71" i="27"/>
  <c r="N71" i="27" s="1"/>
  <c r="B71" i="27"/>
  <c r="Z70" i="27"/>
  <c r="X70" i="27"/>
  <c r="V70" i="27"/>
  <c r="L70" i="27"/>
  <c r="N70" i="27" s="1"/>
  <c r="J70" i="27"/>
  <c r="B70" i="27"/>
  <c r="Z69" i="27"/>
  <c r="X69" i="27"/>
  <c r="N69" i="27"/>
  <c r="L69" i="27"/>
  <c r="B69" i="27"/>
  <c r="Z68" i="27"/>
  <c r="X68" i="27"/>
  <c r="V68" i="27"/>
  <c r="N68" i="27"/>
  <c r="L68" i="27"/>
  <c r="B68" i="27"/>
  <c r="Z67" i="27"/>
  <c r="X67" i="27"/>
  <c r="N67" i="27"/>
  <c r="L67" i="27"/>
  <c r="B67" i="27"/>
  <c r="T66" i="27"/>
  <c r="P66" i="27"/>
  <c r="N66" i="27"/>
  <c r="H66" i="27"/>
  <c r="D66" i="27"/>
  <c r="L66" i="27" s="1"/>
  <c r="B66" i="27"/>
  <c r="Z65" i="27"/>
  <c r="X65" i="27"/>
  <c r="V65" i="27"/>
  <c r="L65" i="27"/>
  <c r="N65" i="27" s="1"/>
  <c r="B65" i="27"/>
  <c r="Z64" i="27"/>
  <c r="X64" i="27"/>
  <c r="V64" i="27"/>
  <c r="L64" i="27"/>
  <c r="N64" i="27" s="1"/>
  <c r="B64" i="27"/>
  <c r="X63" i="27"/>
  <c r="Z63" i="27" s="1"/>
  <c r="V63" i="27"/>
  <c r="L63" i="27"/>
  <c r="N63" i="27" s="1"/>
  <c r="B63" i="27"/>
  <c r="Z62" i="27"/>
  <c r="X62" i="27"/>
  <c r="V62" i="27"/>
  <c r="N62" i="27"/>
  <c r="L62" i="27"/>
  <c r="B62" i="27"/>
  <c r="Z61" i="27"/>
  <c r="X61" i="27"/>
  <c r="V61" i="27"/>
  <c r="N61" i="27"/>
  <c r="L61" i="27"/>
  <c r="B61" i="27"/>
  <c r="Z60" i="27"/>
  <c r="X60" i="27"/>
  <c r="V60" i="27"/>
  <c r="L60" i="27"/>
  <c r="N60" i="27" s="1"/>
  <c r="B60" i="27"/>
  <c r="X59" i="27"/>
  <c r="Z59" i="27" s="1"/>
  <c r="V59" i="27"/>
  <c r="L59" i="27"/>
  <c r="N59" i="27" s="1"/>
  <c r="B59" i="27"/>
  <c r="X58" i="27"/>
  <c r="Z58" i="27" s="1"/>
  <c r="V58" i="27"/>
  <c r="N58" i="27"/>
  <c r="L58" i="27"/>
  <c r="B58" i="27"/>
  <c r="Z57" i="27"/>
  <c r="X57" i="27"/>
  <c r="V57" i="27"/>
  <c r="L57" i="27"/>
  <c r="N57" i="27" s="1"/>
  <c r="B57" i="27"/>
  <c r="Z56" i="27"/>
  <c r="X56" i="27"/>
  <c r="V56" i="27"/>
  <c r="L56" i="27"/>
  <c r="N56" i="27" s="1"/>
  <c r="B56" i="27"/>
  <c r="X55" i="27"/>
  <c r="T55" i="27"/>
  <c r="V55" i="27" s="1"/>
  <c r="P55" i="27"/>
  <c r="H55" i="27"/>
  <c r="D55" i="27"/>
  <c r="L55" i="27" s="1"/>
  <c r="N55" i="27" s="1"/>
  <c r="B55" i="27"/>
  <c r="V54" i="27"/>
  <c r="T54" i="27"/>
  <c r="P54" i="27"/>
  <c r="X54" i="27" s="1"/>
  <c r="Z54" i="27" s="1"/>
  <c r="L54" i="27"/>
  <c r="N54" i="27" s="1"/>
  <c r="H54" i="27"/>
  <c r="D54" i="27"/>
  <c r="Z50" i="27"/>
  <c r="X50" i="27"/>
  <c r="V50" i="27"/>
  <c r="N50" i="27"/>
  <c r="L50" i="27"/>
  <c r="B50" i="27"/>
  <c r="Z49" i="27"/>
  <c r="X49" i="27"/>
  <c r="N49" i="27"/>
  <c r="L49" i="27"/>
  <c r="B49" i="27"/>
  <c r="Z48" i="27"/>
  <c r="X48" i="27"/>
  <c r="N48" i="27"/>
  <c r="L48" i="27"/>
  <c r="B48" i="27"/>
  <c r="Z47" i="27"/>
  <c r="X47" i="27"/>
  <c r="V47" i="27"/>
  <c r="N47" i="27"/>
  <c r="L47" i="27"/>
  <c r="B47" i="27"/>
  <c r="Z46" i="27"/>
  <c r="X46" i="27"/>
  <c r="V46" i="27"/>
  <c r="N46" i="27"/>
  <c r="L46" i="27"/>
  <c r="B46" i="27"/>
  <c r="Z45" i="27"/>
  <c r="X45" i="27"/>
  <c r="N45" i="27"/>
  <c r="L45" i="27"/>
  <c r="B45" i="27"/>
  <c r="Z44" i="27"/>
  <c r="X44" i="27"/>
  <c r="N44" i="27"/>
  <c r="L44" i="27"/>
  <c r="B44" i="27"/>
  <c r="Z43" i="27"/>
  <c r="X43" i="27"/>
  <c r="V43" i="27"/>
  <c r="N43" i="27"/>
  <c r="L43" i="27"/>
  <c r="B43" i="27"/>
  <c r="Z42" i="27"/>
  <c r="X42" i="27"/>
  <c r="V42" i="27"/>
  <c r="N42" i="27"/>
  <c r="L42" i="27"/>
  <c r="B42" i="27"/>
  <c r="Z41" i="27"/>
  <c r="X41" i="27"/>
  <c r="N41" i="27"/>
  <c r="L41" i="27"/>
  <c r="B41" i="27"/>
  <c r="Z40" i="27"/>
  <c r="X40" i="27"/>
  <c r="N40" i="27"/>
  <c r="L40" i="27"/>
  <c r="J40" i="27"/>
  <c r="B40" i="27"/>
  <c r="Z39" i="27"/>
  <c r="X39" i="27"/>
  <c r="V39" i="27"/>
  <c r="N39" i="27"/>
  <c r="L39" i="27"/>
  <c r="B39" i="27"/>
  <c r="Z38" i="27"/>
  <c r="X38" i="27"/>
  <c r="V38" i="27"/>
  <c r="N38" i="27"/>
  <c r="L38" i="27"/>
  <c r="B38" i="27"/>
  <c r="Z37" i="27"/>
  <c r="X37" i="27"/>
  <c r="N37" i="27"/>
  <c r="L37" i="27"/>
  <c r="B37" i="27"/>
  <c r="X36" i="27"/>
  <c r="Z36" i="27" s="1"/>
  <c r="N36" i="27"/>
  <c r="L36" i="27"/>
  <c r="J36" i="27"/>
  <c r="B36" i="27"/>
  <c r="X35" i="27"/>
  <c r="V35" i="27"/>
  <c r="T35" i="27"/>
  <c r="Z35" i="27" s="1"/>
  <c r="P35" i="27"/>
  <c r="L35" i="27"/>
  <c r="H35" i="27"/>
  <c r="D35" i="27"/>
  <c r="Z33" i="27"/>
  <c r="X33" i="27"/>
  <c r="P33" i="27"/>
  <c r="N33" i="27"/>
  <c r="L33" i="27"/>
  <c r="D33" i="27"/>
  <c r="B33" i="27"/>
  <c r="Z32" i="27"/>
  <c r="P32" i="27"/>
  <c r="X32" i="27" s="1"/>
  <c r="N32" i="27"/>
  <c r="L32" i="27"/>
  <c r="D32" i="27"/>
  <c r="B32" i="27"/>
  <c r="Z31" i="27"/>
  <c r="P31" i="27"/>
  <c r="X31" i="27" s="1"/>
  <c r="N31" i="27"/>
  <c r="D31" i="27"/>
  <c r="L31" i="27" s="1"/>
  <c r="B31" i="27"/>
  <c r="Z30" i="27"/>
  <c r="P30" i="27"/>
  <c r="X30" i="27" s="1"/>
  <c r="N30" i="27"/>
  <c r="L30" i="27"/>
  <c r="D30" i="27"/>
  <c r="B30" i="27"/>
  <c r="Z29" i="27"/>
  <c r="P29" i="27"/>
  <c r="X29" i="27" s="1"/>
  <c r="N29" i="27"/>
  <c r="D29" i="27"/>
  <c r="L29" i="27" s="1"/>
  <c r="B29" i="27"/>
  <c r="Z28" i="27"/>
  <c r="P28" i="27"/>
  <c r="X28" i="27" s="1"/>
  <c r="N28" i="27"/>
  <c r="D28" i="27"/>
  <c r="L28" i="27" s="1"/>
  <c r="B28" i="27"/>
  <c r="Z27" i="27"/>
  <c r="X27" i="27"/>
  <c r="P27" i="27"/>
  <c r="N27" i="27"/>
  <c r="D27" i="27"/>
  <c r="L27" i="27" s="1"/>
  <c r="B27" i="27"/>
  <c r="Z26" i="27"/>
  <c r="X26" i="27"/>
  <c r="P26" i="27"/>
  <c r="N26" i="27"/>
  <c r="D26" i="27"/>
  <c r="L26" i="27" s="1"/>
  <c r="B26" i="27"/>
  <c r="Z25" i="27"/>
  <c r="X25" i="27"/>
  <c r="P25" i="27"/>
  <c r="N25" i="27"/>
  <c r="D25" i="27"/>
  <c r="L25" i="27" s="1"/>
  <c r="B25" i="27"/>
  <c r="Z24" i="27"/>
  <c r="X24" i="27"/>
  <c r="P24" i="27"/>
  <c r="N24" i="27"/>
  <c r="L24" i="27"/>
  <c r="D24" i="27"/>
  <c r="B24" i="27"/>
  <c r="Z23" i="27"/>
  <c r="X23" i="27"/>
  <c r="P23" i="27"/>
  <c r="N23" i="27"/>
  <c r="L23" i="27"/>
  <c r="D23" i="27"/>
  <c r="B23" i="27"/>
  <c r="Z22" i="27"/>
  <c r="P22" i="27"/>
  <c r="X22" i="27" s="1"/>
  <c r="N22" i="27"/>
  <c r="L22" i="27"/>
  <c r="D22" i="27"/>
  <c r="B22" i="27"/>
  <c r="Z21" i="27"/>
  <c r="X21" i="27"/>
  <c r="P21" i="27"/>
  <c r="N21" i="27"/>
  <c r="L21" i="27"/>
  <c r="D21" i="27"/>
  <c r="B21" i="27"/>
  <c r="Z20" i="27"/>
  <c r="P20" i="27"/>
  <c r="X20" i="27" s="1"/>
  <c r="N20" i="27"/>
  <c r="L20" i="27"/>
  <c r="D20" i="27"/>
  <c r="B20" i="27"/>
  <c r="Z19" i="27"/>
  <c r="P19" i="27"/>
  <c r="X19" i="27" s="1"/>
  <c r="N19" i="27"/>
  <c r="D19" i="27"/>
  <c r="L19" i="27" s="1"/>
  <c r="B19" i="27"/>
  <c r="Z18" i="27"/>
  <c r="P18" i="27"/>
  <c r="X18" i="27" s="1"/>
  <c r="N18" i="27"/>
  <c r="L18" i="27"/>
  <c r="D18" i="27"/>
  <c r="B18" i="27"/>
  <c r="Z17" i="27"/>
  <c r="P17" i="27"/>
  <c r="X17" i="27" s="1"/>
  <c r="N17" i="27"/>
  <c r="D17" i="27"/>
  <c r="L17" i="27" s="1"/>
  <c r="B17" i="27"/>
  <c r="Z16" i="27"/>
  <c r="P16" i="27"/>
  <c r="X16" i="27" s="1"/>
  <c r="N16" i="27"/>
  <c r="D16" i="27"/>
  <c r="L16" i="27" s="1"/>
  <c r="B16" i="27"/>
  <c r="Z15" i="27"/>
  <c r="X15" i="27"/>
  <c r="P15" i="27"/>
  <c r="N15" i="27"/>
  <c r="D15" i="27"/>
  <c r="L15" i="27" s="1"/>
  <c r="B15" i="27"/>
  <c r="Z14" i="27"/>
  <c r="X14" i="27"/>
  <c r="P14" i="27"/>
  <c r="N14" i="27"/>
  <c r="D14" i="27"/>
  <c r="L14" i="27" s="1"/>
  <c r="B14" i="27"/>
  <c r="X13" i="27"/>
  <c r="Z13" i="27" s="1"/>
  <c r="P13" i="27"/>
  <c r="D13" i="27"/>
  <c r="B13" i="27"/>
  <c r="T12" i="27"/>
  <c r="V102" i="27" s="1"/>
  <c r="H12" i="27"/>
  <c r="D4" i="27"/>
  <c r="Z94" i="24"/>
  <c r="X94" i="24"/>
  <c r="L94" i="24"/>
  <c r="N94" i="24" s="1"/>
  <c r="T90" i="24"/>
  <c r="Z90" i="24" s="1"/>
  <c r="P90" i="24"/>
  <c r="N90" i="24"/>
  <c r="H90" i="24"/>
  <c r="D90" i="24"/>
  <c r="L90" i="24" s="1"/>
  <c r="X88" i="24"/>
  <c r="Z88" i="24" s="1"/>
  <c r="N88" i="24"/>
  <c r="L88" i="24"/>
  <c r="J88" i="24"/>
  <c r="B88" i="24"/>
  <c r="Z87" i="24"/>
  <c r="T87" i="24"/>
  <c r="P87" i="24"/>
  <c r="X87" i="24" s="1"/>
  <c r="H87" i="24"/>
  <c r="D87" i="24"/>
  <c r="B87" i="24"/>
  <c r="Z86" i="24"/>
  <c r="X86" i="24"/>
  <c r="N86" i="24"/>
  <c r="L86" i="24"/>
  <c r="J86" i="24"/>
  <c r="B86" i="24"/>
  <c r="X85" i="24"/>
  <c r="Z85" i="24" s="1"/>
  <c r="N85" i="24"/>
  <c r="L85" i="24"/>
  <c r="J85" i="24"/>
  <c r="B85" i="24"/>
  <c r="T84" i="24"/>
  <c r="P84" i="24"/>
  <c r="X84" i="24" s="1"/>
  <c r="Z84" i="24" s="1"/>
  <c r="L84" i="24"/>
  <c r="H84" i="24"/>
  <c r="N84" i="24" s="1"/>
  <c r="D84" i="24"/>
  <c r="B84" i="24"/>
  <c r="X83" i="24"/>
  <c r="Z83" i="24" s="1"/>
  <c r="N83" i="24"/>
  <c r="L83" i="24"/>
  <c r="J83" i="24"/>
  <c r="B83" i="24"/>
  <c r="X82" i="24"/>
  <c r="Z82" i="24" s="1"/>
  <c r="N82" i="24"/>
  <c r="L82" i="24"/>
  <c r="B82" i="24"/>
  <c r="Z81" i="24"/>
  <c r="X81" i="24"/>
  <c r="N81" i="24"/>
  <c r="L81" i="24"/>
  <c r="B81" i="24"/>
  <c r="X80" i="24"/>
  <c r="Z80" i="24" s="1"/>
  <c r="L80" i="24"/>
  <c r="N80" i="24" s="1"/>
  <c r="B80" i="24"/>
  <c r="X79" i="24"/>
  <c r="Z79" i="24" s="1"/>
  <c r="T79" i="24"/>
  <c r="P79" i="24"/>
  <c r="N79" i="24"/>
  <c r="J79" i="24"/>
  <c r="H79" i="24"/>
  <c r="D79" i="24"/>
  <c r="L79" i="24" s="1"/>
  <c r="B79" i="24"/>
  <c r="Z78" i="24"/>
  <c r="X78" i="24"/>
  <c r="L78" i="24"/>
  <c r="N78" i="24" s="1"/>
  <c r="B78" i="24"/>
  <c r="Z77" i="24"/>
  <c r="X77" i="24"/>
  <c r="N77" i="24"/>
  <c r="L77" i="24"/>
  <c r="J77" i="24"/>
  <c r="B77" i="24"/>
  <c r="T76" i="24"/>
  <c r="P76" i="24"/>
  <c r="N76" i="24"/>
  <c r="H76" i="24"/>
  <c r="D76" i="24"/>
  <c r="L76" i="24" s="1"/>
  <c r="B76" i="24"/>
  <c r="Z75" i="24"/>
  <c r="X75" i="24"/>
  <c r="L75" i="24"/>
  <c r="N75" i="24" s="1"/>
  <c r="B75" i="24"/>
  <c r="Z74" i="24"/>
  <c r="X74" i="24"/>
  <c r="N74" i="24"/>
  <c r="L74" i="24"/>
  <c r="J74" i="24"/>
  <c r="B74" i="24"/>
  <c r="T73" i="24"/>
  <c r="Z73" i="24" s="1"/>
  <c r="P73" i="24"/>
  <c r="X73" i="24" s="1"/>
  <c r="J73" i="24"/>
  <c r="H73" i="24"/>
  <c r="D73" i="24"/>
  <c r="L73" i="24" s="1"/>
  <c r="N73" i="24" s="1"/>
  <c r="B73" i="24"/>
  <c r="X72" i="24"/>
  <c r="Z72" i="24" s="1"/>
  <c r="N72" i="24"/>
  <c r="L72" i="24"/>
  <c r="B72" i="24"/>
  <c r="X71" i="24"/>
  <c r="Z71" i="24" s="1"/>
  <c r="T71" i="24"/>
  <c r="P71" i="24"/>
  <c r="N71" i="24"/>
  <c r="J71" i="24"/>
  <c r="H71" i="24"/>
  <c r="D71" i="24"/>
  <c r="L71" i="24" s="1"/>
  <c r="B71" i="24"/>
  <c r="Z70" i="24"/>
  <c r="X70" i="24"/>
  <c r="N70" i="24"/>
  <c r="L70" i="24"/>
  <c r="B70" i="24"/>
  <c r="T69" i="24"/>
  <c r="P69" i="24"/>
  <c r="N69" i="24"/>
  <c r="J69" i="24"/>
  <c r="H69" i="24"/>
  <c r="D69" i="24"/>
  <c r="L69" i="24" s="1"/>
  <c r="B69" i="24"/>
  <c r="Z68" i="24"/>
  <c r="X68" i="24"/>
  <c r="L68" i="24"/>
  <c r="N68" i="24" s="1"/>
  <c r="B68" i="24"/>
  <c r="T67" i="24"/>
  <c r="P67" i="24"/>
  <c r="X67" i="24" s="1"/>
  <c r="Z67" i="24" s="1"/>
  <c r="J67" i="24"/>
  <c r="H67" i="24"/>
  <c r="D67" i="24"/>
  <c r="L67" i="24" s="1"/>
  <c r="B67" i="24"/>
  <c r="Z66" i="24"/>
  <c r="X66" i="24"/>
  <c r="N66" i="24"/>
  <c r="L66" i="24"/>
  <c r="B66" i="24"/>
  <c r="Z65" i="24"/>
  <c r="X65" i="24"/>
  <c r="N65" i="24"/>
  <c r="L65" i="24"/>
  <c r="B65" i="24"/>
  <c r="T64" i="24"/>
  <c r="P64" i="24"/>
  <c r="L64" i="24"/>
  <c r="J64" i="24"/>
  <c r="H64" i="24"/>
  <c r="D64" i="24"/>
  <c r="B64" i="24"/>
  <c r="Z63" i="24"/>
  <c r="X63" i="24"/>
  <c r="N63" i="24"/>
  <c r="L63" i="24"/>
  <c r="J63" i="24"/>
  <c r="B63" i="24"/>
  <c r="Z62" i="24"/>
  <c r="T62" i="24"/>
  <c r="P62" i="24"/>
  <c r="X62" i="24" s="1"/>
  <c r="H62" i="24"/>
  <c r="D62" i="24"/>
  <c r="B62" i="24"/>
  <c r="Z61" i="24"/>
  <c r="X61" i="24"/>
  <c r="N61" i="24"/>
  <c r="L61" i="24"/>
  <c r="J61" i="24"/>
  <c r="B61" i="24"/>
  <c r="Z60" i="24"/>
  <c r="T60" i="24"/>
  <c r="P60" i="24"/>
  <c r="X60" i="24" s="1"/>
  <c r="L60" i="24"/>
  <c r="H60" i="24"/>
  <c r="D60" i="24"/>
  <c r="B60" i="24"/>
  <c r="X59" i="24"/>
  <c r="Z59" i="24" s="1"/>
  <c r="N59" i="24"/>
  <c r="L59" i="24"/>
  <c r="J59" i="24"/>
  <c r="B59" i="24"/>
  <c r="X58" i="24"/>
  <c r="T58" i="24"/>
  <c r="P58" i="24"/>
  <c r="L58" i="24"/>
  <c r="H58" i="24"/>
  <c r="D58" i="24"/>
  <c r="B58" i="24"/>
  <c r="Z57" i="24"/>
  <c r="X57" i="24"/>
  <c r="N57" i="24"/>
  <c r="L57" i="24"/>
  <c r="J57" i="24"/>
  <c r="B57" i="24"/>
  <c r="Z56" i="24"/>
  <c r="X56" i="24"/>
  <c r="N56" i="24"/>
  <c r="L56" i="24"/>
  <c r="J56" i="24"/>
  <c r="B56" i="24"/>
  <c r="Z55" i="24"/>
  <c r="X55" i="24"/>
  <c r="N55" i="24"/>
  <c r="L55" i="24"/>
  <c r="J55" i="24"/>
  <c r="B55" i="24"/>
  <c r="Z54" i="24"/>
  <c r="X54" i="24"/>
  <c r="N54" i="24"/>
  <c r="L54" i="24"/>
  <c r="J54" i="24"/>
  <c r="B54" i="24"/>
  <c r="Z53" i="24"/>
  <c r="X53" i="24"/>
  <c r="N53" i="24"/>
  <c r="L53" i="24"/>
  <c r="J53" i="24"/>
  <c r="B53" i="24"/>
  <c r="Z52" i="24"/>
  <c r="X52" i="24"/>
  <c r="N52" i="24"/>
  <c r="L52" i="24"/>
  <c r="J52" i="24"/>
  <c r="B52" i="24"/>
  <c r="Z51" i="24"/>
  <c r="X51" i="24"/>
  <c r="N51" i="24"/>
  <c r="L51" i="24"/>
  <c r="J51" i="24"/>
  <c r="B51" i="24"/>
  <c r="Z50" i="24"/>
  <c r="X50" i="24"/>
  <c r="N50" i="24"/>
  <c r="L50" i="24"/>
  <c r="J50" i="24"/>
  <c r="B50" i="24"/>
  <c r="Z49" i="24"/>
  <c r="X49" i="24"/>
  <c r="N49" i="24"/>
  <c r="L49" i="24"/>
  <c r="J49" i="24"/>
  <c r="B49" i="24"/>
  <c r="X48" i="24"/>
  <c r="Z48" i="24" s="1"/>
  <c r="N48" i="24"/>
  <c r="L48" i="24"/>
  <c r="J48" i="24"/>
  <c r="B48" i="24"/>
  <c r="V47" i="24"/>
  <c r="T47" i="24"/>
  <c r="P47" i="24"/>
  <c r="X47" i="24" s="1"/>
  <c r="Z47" i="24" s="1"/>
  <c r="H47" i="24"/>
  <c r="J47" i="24" s="1"/>
  <c r="D47" i="24"/>
  <c r="B47" i="24"/>
  <c r="X46" i="24"/>
  <c r="Z46" i="24" s="1"/>
  <c r="L46" i="24"/>
  <c r="N46" i="24" s="1"/>
  <c r="J46" i="24"/>
  <c r="B46" i="24"/>
  <c r="X45" i="24"/>
  <c r="Z45" i="24" s="1"/>
  <c r="N45" i="24"/>
  <c r="L45" i="24"/>
  <c r="J45" i="24"/>
  <c r="B45" i="24"/>
  <c r="Z44" i="24"/>
  <c r="X44" i="24"/>
  <c r="V44" i="24"/>
  <c r="N44" i="24"/>
  <c r="L44" i="24"/>
  <c r="B44" i="24"/>
  <c r="Z43" i="24"/>
  <c r="X43" i="24"/>
  <c r="L43" i="24"/>
  <c r="N43" i="24" s="1"/>
  <c r="B43" i="24"/>
  <c r="X42" i="24"/>
  <c r="Z42" i="24" s="1"/>
  <c r="L42" i="24"/>
  <c r="N42" i="24" s="1"/>
  <c r="J42" i="24"/>
  <c r="B42" i="24"/>
  <c r="X41" i="24"/>
  <c r="Z41" i="24" s="1"/>
  <c r="N41" i="24"/>
  <c r="L41" i="24"/>
  <c r="J41" i="24"/>
  <c r="B41" i="24"/>
  <c r="Z40" i="24"/>
  <c r="X40" i="24"/>
  <c r="V40" i="24"/>
  <c r="L40" i="24"/>
  <c r="N40" i="24" s="1"/>
  <c r="B40" i="24"/>
  <c r="Z39" i="24"/>
  <c r="X39" i="24"/>
  <c r="L39" i="24"/>
  <c r="N39" i="24" s="1"/>
  <c r="B39" i="24"/>
  <c r="T38" i="24"/>
  <c r="P38" i="24"/>
  <c r="X38" i="24" s="1"/>
  <c r="J38" i="24"/>
  <c r="H38" i="24"/>
  <c r="D38" i="24"/>
  <c r="L38" i="24" s="1"/>
  <c r="N38" i="24" s="1"/>
  <c r="B38" i="24"/>
  <c r="T37" i="24"/>
  <c r="P37" i="24"/>
  <c r="X37" i="24" s="1"/>
  <c r="Z37" i="24" s="1"/>
  <c r="L37" i="24"/>
  <c r="N37" i="24" s="1"/>
  <c r="H37" i="24"/>
  <c r="D37" i="24"/>
  <c r="Z33" i="24"/>
  <c r="X33" i="24"/>
  <c r="N33" i="24"/>
  <c r="L33" i="24"/>
  <c r="J33" i="24"/>
  <c r="B33" i="24"/>
  <c r="Z32" i="24"/>
  <c r="X32" i="24"/>
  <c r="N32" i="24"/>
  <c r="L32" i="24"/>
  <c r="B32" i="24"/>
  <c r="Z31" i="24"/>
  <c r="X31" i="24"/>
  <c r="N31" i="24"/>
  <c r="L31" i="24"/>
  <c r="J31" i="24"/>
  <c r="B31" i="24"/>
  <c r="Z30" i="24"/>
  <c r="X30" i="24"/>
  <c r="N30" i="24"/>
  <c r="L30" i="24"/>
  <c r="B30" i="24"/>
  <c r="Z29" i="24"/>
  <c r="X29" i="24"/>
  <c r="N29" i="24"/>
  <c r="L29" i="24"/>
  <c r="J29" i="24"/>
  <c r="B29" i="24"/>
  <c r="Z28" i="24"/>
  <c r="X28" i="24"/>
  <c r="N28" i="24"/>
  <c r="L28" i="24"/>
  <c r="B28" i="24"/>
  <c r="Z27" i="24"/>
  <c r="X27" i="24"/>
  <c r="N27" i="24"/>
  <c r="L27" i="24"/>
  <c r="J27" i="24"/>
  <c r="B27" i="24"/>
  <c r="X26" i="24"/>
  <c r="Z26" i="24" s="1"/>
  <c r="N26" i="24"/>
  <c r="L26" i="24"/>
  <c r="B26" i="24"/>
  <c r="T25" i="24"/>
  <c r="P25" i="24"/>
  <c r="X25" i="24" s="1"/>
  <c r="Z25" i="24" s="1"/>
  <c r="L25" i="24"/>
  <c r="N25" i="24" s="1"/>
  <c r="H25" i="24"/>
  <c r="D25" i="24"/>
  <c r="Z23" i="24"/>
  <c r="P23" i="24"/>
  <c r="X23" i="24" s="1"/>
  <c r="N23" i="24"/>
  <c r="D23" i="24"/>
  <c r="L23" i="24" s="1"/>
  <c r="B23" i="24"/>
  <c r="Z22" i="24"/>
  <c r="P22" i="24"/>
  <c r="X22" i="24" s="1"/>
  <c r="N22" i="24"/>
  <c r="D22" i="24"/>
  <c r="L22" i="24" s="1"/>
  <c r="B22" i="24"/>
  <c r="Z21" i="24"/>
  <c r="P21" i="24"/>
  <c r="X21" i="24" s="1"/>
  <c r="N21" i="24"/>
  <c r="D21" i="24"/>
  <c r="L21" i="24" s="1"/>
  <c r="B21" i="24"/>
  <c r="X20" i="24"/>
  <c r="Z20" i="24" s="1"/>
  <c r="P20" i="24"/>
  <c r="D20" i="24"/>
  <c r="L20" i="24" s="1"/>
  <c r="N20" i="24" s="1"/>
  <c r="B20" i="24"/>
  <c r="Z19" i="24"/>
  <c r="X19" i="24"/>
  <c r="P19" i="24"/>
  <c r="N19" i="24"/>
  <c r="D19" i="24"/>
  <c r="L19" i="24" s="1"/>
  <c r="B19" i="24"/>
  <c r="Z18" i="24"/>
  <c r="X18" i="24"/>
  <c r="P18" i="24"/>
  <c r="N18" i="24"/>
  <c r="D18" i="24"/>
  <c r="L18" i="24" s="1"/>
  <c r="B18" i="24"/>
  <c r="Z17" i="24"/>
  <c r="X17" i="24"/>
  <c r="P17" i="24"/>
  <c r="N17" i="24"/>
  <c r="L17" i="24"/>
  <c r="D17" i="24"/>
  <c r="B17" i="24"/>
  <c r="Z16" i="24"/>
  <c r="X16" i="24"/>
  <c r="P16" i="24"/>
  <c r="N16" i="24"/>
  <c r="L16" i="24"/>
  <c r="D16" i="24"/>
  <c r="B16" i="24"/>
  <c r="Z15" i="24"/>
  <c r="P15" i="24"/>
  <c r="X15" i="24" s="1"/>
  <c r="N15" i="24"/>
  <c r="L15" i="24"/>
  <c r="D15" i="24"/>
  <c r="B15" i="24"/>
  <c r="Z14" i="24"/>
  <c r="P14" i="24"/>
  <c r="X14" i="24" s="1"/>
  <c r="N14" i="24"/>
  <c r="L14" i="24"/>
  <c r="D14" i="24"/>
  <c r="B14" i="24"/>
  <c r="Z13" i="24"/>
  <c r="P13" i="24"/>
  <c r="N13" i="24"/>
  <c r="L13" i="24"/>
  <c r="D13" i="24"/>
  <c r="B13" i="24"/>
  <c r="T12" i="24"/>
  <c r="V87" i="24" s="1"/>
  <c r="H12" i="24"/>
  <c r="D4" i="24"/>
  <c r="Z108" i="21"/>
  <c r="X108" i="21"/>
  <c r="V108" i="21"/>
  <c r="L108" i="21"/>
  <c r="N108" i="21" s="1"/>
  <c r="Z104" i="21"/>
  <c r="X104" i="21"/>
  <c r="T104" i="21"/>
  <c r="P104" i="21"/>
  <c r="N104" i="21"/>
  <c r="L104" i="21"/>
  <c r="H104" i="21"/>
  <c r="D104" i="21"/>
  <c r="X102" i="21"/>
  <c r="Z102" i="21" s="1"/>
  <c r="V102" i="21"/>
  <c r="L102" i="21"/>
  <c r="N102" i="21" s="1"/>
  <c r="B102" i="21"/>
  <c r="T101" i="21"/>
  <c r="P101" i="21"/>
  <c r="X101" i="21" s="1"/>
  <c r="J101" i="21"/>
  <c r="H101" i="21"/>
  <c r="L101" i="21" s="1"/>
  <c r="D101" i="21"/>
  <c r="B101" i="21"/>
  <c r="Z100" i="21"/>
  <c r="X100" i="21"/>
  <c r="V100" i="21"/>
  <c r="N100" i="21"/>
  <c r="L100" i="21"/>
  <c r="B100" i="21"/>
  <c r="T99" i="21"/>
  <c r="P99" i="21"/>
  <c r="L99" i="21"/>
  <c r="H99" i="21"/>
  <c r="N99" i="21" s="1"/>
  <c r="D99" i="21"/>
  <c r="B99" i="21"/>
  <c r="X98" i="21"/>
  <c r="Z98" i="21" s="1"/>
  <c r="V98" i="21"/>
  <c r="N98" i="21"/>
  <c r="L98" i="21"/>
  <c r="B98" i="21"/>
  <c r="X97" i="21"/>
  <c r="Z97" i="21" s="1"/>
  <c r="V97" i="21"/>
  <c r="T97" i="21"/>
  <c r="P97" i="21"/>
  <c r="L97" i="21"/>
  <c r="H97" i="21"/>
  <c r="N97" i="21" s="1"/>
  <c r="D97" i="21"/>
  <c r="B97" i="21"/>
  <c r="Z96" i="21"/>
  <c r="X96" i="21"/>
  <c r="N96" i="21"/>
  <c r="L96" i="21"/>
  <c r="J96" i="21"/>
  <c r="B96" i="21"/>
  <c r="X95" i="21"/>
  <c r="Z95" i="21" s="1"/>
  <c r="N95" i="21"/>
  <c r="L95" i="21"/>
  <c r="B95" i="21"/>
  <c r="V94" i="21"/>
  <c r="T94" i="21"/>
  <c r="P94" i="21"/>
  <c r="X94" i="21" s="1"/>
  <c r="Z94" i="21" s="1"/>
  <c r="L94" i="21"/>
  <c r="N94" i="21" s="1"/>
  <c r="H94" i="21"/>
  <c r="D94" i="21"/>
  <c r="B94" i="21"/>
  <c r="X93" i="21"/>
  <c r="Z93" i="21" s="1"/>
  <c r="N93" i="21"/>
  <c r="L93" i="21"/>
  <c r="J93" i="21"/>
  <c r="B93" i="21"/>
  <c r="Z92" i="21"/>
  <c r="X92" i="21"/>
  <c r="N92" i="21"/>
  <c r="L92" i="21"/>
  <c r="J92" i="21"/>
  <c r="B92" i="21"/>
  <c r="Z91" i="21"/>
  <c r="X91" i="21"/>
  <c r="N91" i="21"/>
  <c r="L91" i="21"/>
  <c r="B91" i="21"/>
  <c r="Z90" i="21"/>
  <c r="X90" i="21"/>
  <c r="V90" i="21"/>
  <c r="N90" i="21"/>
  <c r="L90" i="21"/>
  <c r="B90" i="21"/>
  <c r="Z89" i="21"/>
  <c r="X89" i="21"/>
  <c r="N89" i="21"/>
  <c r="L89" i="21"/>
  <c r="J89" i="21"/>
  <c r="B89" i="21"/>
  <c r="Z88" i="21"/>
  <c r="X88" i="21"/>
  <c r="V88" i="21"/>
  <c r="N88" i="21"/>
  <c r="L88" i="21"/>
  <c r="B88" i="21"/>
  <c r="Z87" i="21"/>
  <c r="X87" i="21"/>
  <c r="V87" i="21"/>
  <c r="N87" i="21"/>
  <c r="L87" i="21"/>
  <c r="B87" i="21"/>
  <c r="T86" i="21"/>
  <c r="Z86" i="21" s="1"/>
  <c r="P86" i="21"/>
  <c r="X86" i="21" s="1"/>
  <c r="H86" i="21"/>
  <c r="D86" i="21"/>
  <c r="B86" i="21"/>
  <c r="X85" i="21"/>
  <c r="Z85" i="21" s="1"/>
  <c r="L85" i="21"/>
  <c r="N85" i="21" s="1"/>
  <c r="J85" i="21"/>
  <c r="B85" i="21"/>
  <c r="V84" i="21"/>
  <c r="T84" i="21"/>
  <c r="P84" i="21"/>
  <c r="X84" i="21" s="1"/>
  <c r="Z84" i="21" s="1"/>
  <c r="J84" i="21"/>
  <c r="H84" i="21"/>
  <c r="D84" i="21"/>
  <c r="B84" i="21"/>
  <c r="X83" i="21"/>
  <c r="Z83" i="21" s="1"/>
  <c r="V83" i="21"/>
  <c r="N83" i="21"/>
  <c r="L83" i="21"/>
  <c r="B83" i="21"/>
  <c r="Z82" i="21"/>
  <c r="X82" i="21"/>
  <c r="V82" i="21"/>
  <c r="N82" i="21"/>
  <c r="L82" i="21"/>
  <c r="B82" i="21"/>
  <c r="X81" i="21"/>
  <c r="Z81" i="21" s="1"/>
  <c r="V81" i="21"/>
  <c r="L81" i="21"/>
  <c r="N81" i="21" s="1"/>
  <c r="B81" i="21"/>
  <c r="X80" i="21"/>
  <c r="Z80" i="21" s="1"/>
  <c r="N80" i="21"/>
  <c r="L80" i="21"/>
  <c r="B80" i="21"/>
  <c r="X79" i="21"/>
  <c r="V79" i="21"/>
  <c r="T79" i="21"/>
  <c r="P79" i="21"/>
  <c r="J79" i="21"/>
  <c r="H79" i="21"/>
  <c r="D79" i="21"/>
  <c r="L79" i="21" s="1"/>
  <c r="B79" i="21"/>
  <c r="Z78" i="21"/>
  <c r="X78" i="21"/>
  <c r="N78" i="21"/>
  <c r="L78" i="21"/>
  <c r="J78" i="21"/>
  <c r="B78" i="21"/>
  <c r="Z77" i="21"/>
  <c r="X77" i="21"/>
  <c r="N77" i="21"/>
  <c r="L77" i="21"/>
  <c r="B77" i="21"/>
  <c r="Z76" i="21"/>
  <c r="X76" i="21"/>
  <c r="T76" i="21"/>
  <c r="P76" i="21"/>
  <c r="N76" i="21"/>
  <c r="L76" i="21"/>
  <c r="H76" i="21"/>
  <c r="D76" i="21"/>
  <c r="B76" i="21"/>
  <c r="Z75" i="21"/>
  <c r="X75" i="21"/>
  <c r="L75" i="21"/>
  <c r="N75" i="21" s="1"/>
  <c r="J75" i="21"/>
  <c r="B75" i="21"/>
  <c r="Z74" i="21"/>
  <c r="X74" i="21"/>
  <c r="V74" i="21"/>
  <c r="N74" i="21"/>
  <c r="L74" i="21"/>
  <c r="J74" i="21"/>
  <c r="B74" i="21"/>
  <c r="Z73" i="21"/>
  <c r="X73" i="21"/>
  <c r="N73" i="21"/>
  <c r="L73" i="21"/>
  <c r="J73" i="21"/>
  <c r="B73" i="21"/>
  <c r="Z72" i="21"/>
  <c r="X72" i="21"/>
  <c r="V72" i="21"/>
  <c r="N72" i="21"/>
  <c r="L72" i="21"/>
  <c r="B72" i="21"/>
  <c r="T71" i="21"/>
  <c r="P71" i="21"/>
  <c r="H71" i="21"/>
  <c r="D71" i="21"/>
  <c r="L71" i="21" s="1"/>
  <c r="N71" i="21" s="1"/>
  <c r="B71" i="21"/>
  <c r="Z70" i="21"/>
  <c r="X70" i="21"/>
  <c r="V70" i="21"/>
  <c r="N70" i="21"/>
  <c r="L70" i="21"/>
  <c r="B70" i="21"/>
  <c r="V69" i="21"/>
  <c r="T69" i="21"/>
  <c r="Z69" i="21" s="1"/>
  <c r="P69" i="21"/>
  <c r="X69" i="21" s="1"/>
  <c r="L69" i="21"/>
  <c r="J69" i="21"/>
  <c r="H69" i="21"/>
  <c r="N69" i="21" s="1"/>
  <c r="D69" i="21"/>
  <c r="B69" i="21"/>
  <c r="Z68" i="21"/>
  <c r="X68" i="21"/>
  <c r="N68" i="21"/>
  <c r="L68" i="21"/>
  <c r="J68" i="21"/>
  <c r="B68" i="21"/>
  <c r="T67" i="21"/>
  <c r="P67" i="21"/>
  <c r="L67" i="21"/>
  <c r="H67" i="21"/>
  <c r="D67" i="21"/>
  <c r="B67" i="21"/>
  <c r="Z66" i="21"/>
  <c r="X66" i="21"/>
  <c r="V66" i="21"/>
  <c r="N66" i="21"/>
  <c r="L66" i="21"/>
  <c r="J66" i="21"/>
  <c r="B66" i="21"/>
  <c r="T65" i="21"/>
  <c r="P65" i="21"/>
  <c r="X65" i="21" s="1"/>
  <c r="Z65" i="21" s="1"/>
  <c r="H65" i="21"/>
  <c r="D65" i="21"/>
  <c r="L65" i="21" s="1"/>
  <c r="B65" i="21"/>
  <c r="X64" i="21"/>
  <c r="Z64" i="21" s="1"/>
  <c r="N64" i="21"/>
  <c r="L64" i="21"/>
  <c r="B64" i="21"/>
  <c r="X63" i="21"/>
  <c r="V63" i="21"/>
  <c r="T63" i="21"/>
  <c r="Z63" i="21" s="1"/>
  <c r="P63" i="21"/>
  <c r="L63" i="21"/>
  <c r="J63" i="21"/>
  <c r="H63" i="21"/>
  <c r="N63" i="21" s="1"/>
  <c r="D63" i="21"/>
  <c r="B63" i="21"/>
  <c r="Z62" i="21"/>
  <c r="X62" i="21"/>
  <c r="N62" i="21"/>
  <c r="L62" i="21"/>
  <c r="J62" i="21"/>
  <c r="B62" i="21"/>
  <c r="T61" i="21"/>
  <c r="P61" i="21"/>
  <c r="H61" i="21"/>
  <c r="N61" i="21" s="1"/>
  <c r="D61" i="21"/>
  <c r="B61" i="21"/>
  <c r="Z60" i="21"/>
  <c r="X60" i="21"/>
  <c r="V60" i="21"/>
  <c r="L60" i="21"/>
  <c r="N60" i="21" s="1"/>
  <c r="B60" i="21"/>
  <c r="T59" i="21"/>
  <c r="P59" i="21"/>
  <c r="J59" i="21"/>
  <c r="H59" i="21"/>
  <c r="D59" i="21"/>
  <c r="L59" i="21" s="1"/>
  <c r="N59" i="21" s="1"/>
  <c r="B59" i="21"/>
  <c r="Z58" i="21"/>
  <c r="X58" i="21"/>
  <c r="V58" i="21"/>
  <c r="L58" i="21"/>
  <c r="N58" i="21" s="1"/>
  <c r="B58" i="21"/>
  <c r="X57" i="21"/>
  <c r="V57" i="21"/>
  <c r="T57" i="21"/>
  <c r="Z57" i="21" s="1"/>
  <c r="P57" i="21"/>
  <c r="L57" i="21"/>
  <c r="J57" i="21"/>
  <c r="H57" i="21"/>
  <c r="D57" i="21"/>
  <c r="B57" i="21"/>
  <c r="Z56" i="21"/>
  <c r="X56" i="21"/>
  <c r="N56" i="21"/>
  <c r="L56" i="21"/>
  <c r="J56" i="21"/>
  <c r="B56" i="21"/>
  <c r="Z55" i="21"/>
  <c r="X55" i="21"/>
  <c r="N55" i="21"/>
  <c r="L55" i="21"/>
  <c r="B55" i="21"/>
  <c r="X54" i="21"/>
  <c r="Z54" i="21" s="1"/>
  <c r="T54" i="21"/>
  <c r="P54" i="21"/>
  <c r="N54" i="21"/>
  <c r="L54" i="21"/>
  <c r="H54" i="21"/>
  <c r="D54" i="21"/>
  <c r="B54" i="21"/>
  <c r="Z53" i="21"/>
  <c r="X53" i="21"/>
  <c r="V53" i="21"/>
  <c r="L53" i="21"/>
  <c r="N53" i="21" s="1"/>
  <c r="J53" i="21"/>
  <c r="B53" i="21"/>
  <c r="Z52" i="21"/>
  <c r="V52" i="21"/>
  <c r="T52" i="21"/>
  <c r="P52" i="21"/>
  <c r="X52" i="21" s="1"/>
  <c r="J52" i="21"/>
  <c r="H52" i="21"/>
  <c r="D52" i="21"/>
  <c r="B52" i="21"/>
  <c r="X51" i="21"/>
  <c r="Z51" i="21" s="1"/>
  <c r="V51" i="21"/>
  <c r="N51" i="21"/>
  <c r="L51" i="21"/>
  <c r="B51" i="21"/>
  <c r="V50" i="21"/>
  <c r="T50" i="21"/>
  <c r="P50" i="21"/>
  <c r="X50" i="21" s="1"/>
  <c r="Z50" i="21" s="1"/>
  <c r="H50" i="21"/>
  <c r="N50" i="21" s="1"/>
  <c r="D50" i="21"/>
  <c r="L50" i="21" s="1"/>
  <c r="B50" i="21"/>
  <c r="X49" i="21"/>
  <c r="Z49" i="21" s="1"/>
  <c r="N49" i="21"/>
  <c r="L49" i="21"/>
  <c r="J49" i="21"/>
  <c r="B49" i="21"/>
  <c r="Z48" i="21"/>
  <c r="X48" i="21"/>
  <c r="T48" i="21"/>
  <c r="P48" i="21"/>
  <c r="N48" i="21"/>
  <c r="L48" i="21"/>
  <c r="H48" i="21"/>
  <c r="D48" i="21"/>
  <c r="B48" i="21"/>
  <c r="Z47" i="21"/>
  <c r="X47" i="21"/>
  <c r="N47" i="21"/>
  <c r="L47" i="21"/>
  <c r="J47" i="21"/>
  <c r="B47" i="21"/>
  <c r="Z46" i="21"/>
  <c r="X46" i="21"/>
  <c r="V46" i="21"/>
  <c r="N46" i="21"/>
  <c r="L46" i="21"/>
  <c r="J46" i="21"/>
  <c r="B46" i="21"/>
  <c r="Z45" i="21"/>
  <c r="X45" i="21"/>
  <c r="V45" i="21"/>
  <c r="L45" i="21"/>
  <c r="N45" i="21" s="1"/>
  <c r="J45" i="21"/>
  <c r="B45" i="21"/>
  <c r="Z44" i="21"/>
  <c r="X44" i="21"/>
  <c r="V44" i="21"/>
  <c r="N44" i="21"/>
  <c r="L44" i="21"/>
  <c r="B44" i="21"/>
  <c r="Z43" i="21"/>
  <c r="X43" i="21"/>
  <c r="N43" i="21"/>
  <c r="L43" i="21"/>
  <c r="J43" i="21"/>
  <c r="B43" i="21"/>
  <c r="Z42" i="21"/>
  <c r="X42" i="21"/>
  <c r="V42" i="21"/>
  <c r="N42" i="21"/>
  <c r="L42" i="21"/>
  <c r="J42" i="21"/>
  <c r="B42" i="21"/>
  <c r="Z41" i="21"/>
  <c r="X41" i="21"/>
  <c r="V41" i="21"/>
  <c r="L41" i="21"/>
  <c r="N41" i="21" s="1"/>
  <c r="J41" i="21"/>
  <c r="B41" i="21"/>
  <c r="Z40" i="21"/>
  <c r="X40" i="21"/>
  <c r="V40" i="21"/>
  <c r="N40" i="21"/>
  <c r="L40" i="21"/>
  <c r="B40" i="21"/>
  <c r="Z39" i="21"/>
  <c r="X39" i="21"/>
  <c r="L39" i="21"/>
  <c r="N39" i="21" s="1"/>
  <c r="J39" i="21"/>
  <c r="B39" i="21"/>
  <c r="Z38" i="21"/>
  <c r="X38" i="21"/>
  <c r="V38" i="21"/>
  <c r="N38" i="21"/>
  <c r="L38" i="21"/>
  <c r="J38" i="21"/>
  <c r="B38" i="21"/>
  <c r="Z37" i="21"/>
  <c r="V37" i="21"/>
  <c r="T37" i="21"/>
  <c r="P37" i="21"/>
  <c r="X37" i="21" s="1"/>
  <c r="H37" i="21"/>
  <c r="D37" i="21"/>
  <c r="B37" i="21"/>
  <c r="X36" i="21"/>
  <c r="Z36" i="21" s="1"/>
  <c r="N36" i="21"/>
  <c r="L36" i="21"/>
  <c r="B36" i="21"/>
  <c r="X35" i="21"/>
  <c r="Z35" i="21" s="1"/>
  <c r="V35" i="21"/>
  <c r="N35" i="21"/>
  <c r="L35" i="21"/>
  <c r="B35" i="21"/>
  <c r="Z34" i="21"/>
  <c r="X34" i="21"/>
  <c r="V34" i="21"/>
  <c r="N34" i="21"/>
  <c r="L34" i="21"/>
  <c r="B34" i="21"/>
  <c r="Z33" i="21"/>
  <c r="X33" i="21"/>
  <c r="V33" i="21"/>
  <c r="N33" i="21"/>
  <c r="L33" i="21"/>
  <c r="B33" i="21"/>
  <c r="X32" i="21"/>
  <c r="Z32" i="21" s="1"/>
  <c r="L32" i="21"/>
  <c r="N32" i="21" s="1"/>
  <c r="B32" i="21"/>
  <c r="X31" i="21"/>
  <c r="Z31" i="21" s="1"/>
  <c r="V31" i="21"/>
  <c r="N31" i="21"/>
  <c r="L31" i="21"/>
  <c r="B31" i="21"/>
  <c r="Z30" i="21"/>
  <c r="X30" i="21"/>
  <c r="V30" i="21"/>
  <c r="L30" i="21"/>
  <c r="N30" i="21" s="1"/>
  <c r="B30" i="21"/>
  <c r="X29" i="21"/>
  <c r="Z29" i="21" s="1"/>
  <c r="V29" i="21"/>
  <c r="L29" i="21"/>
  <c r="N29" i="21" s="1"/>
  <c r="B29" i="21"/>
  <c r="X28" i="21"/>
  <c r="Z28" i="21" s="1"/>
  <c r="N28" i="21"/>
  <c r="L28" i="21"/>
  <c r="B28" i="21"/>
  <c r="X27" i="21"/>
  <c r="V27" i="21"/>
  <c r="T27" i="21"/>
  <c r="Z27" i="21" s="1"/>
  <c r="P27" i="21"/>
  <c r="L27" i="21"/>
  <c r="J27" i="21"/>
  <c r="H27" i="21"/>
  <c r="D27" i="21"/>
  <c r="B27" i="21"/>
  <c r="Z26" i="21"/>
  <c r="X26" i="21"/>
  <c r="T26" i="21"/>
  <c r="P26" i="21"/>
  <c r="N26" i="21"/>
  <c r="L26" i="21"/>
  <c r="H26" i="21"/>
  <c r="D26" i="21"/>
  <c r="Z22" i="21"/>
  <c r="X22" i="21"/>
  <c r="N22" i="21"/>
  <c r="L22" i="21"/>
  <c r="J22" i="21"/>
  <c r="B22" i="21"/>
  <c r="Z21" i="21"/>
  <c r="X21" i="21"/>
  <c r="N21" i="21"/>
  <c r="L21" i="21"/>
  <c r="J21" i="21"/>
  <c r="B21" i="21"/>
  <c r="Z20" i="21"/>
  <c r="X20" i="21"/>
  <c r="N20" i="21"/>
  <c r="L20" i="21"/>
  <c r="J20" i="21"/>
  <c r="B20" i="21"/>
  <c r="T19" i="21"/>
  <c r="P19" i="21"/>
  <c r="L19" i="21"/>
  <c r="H19" i="21"/>
  <c r="D19" i="21"/>
  <c r="Z17" i="21"/>
  <c r="P17" i="21"/>
  <c r="X17" i="21" s="1"/>
  <c r="N17" i="21"/>
  <c r="L17" i="21"/>
  <c r="D17" i="21"/>
  <c r="B17" i="21"/>
  <c r="Z16" i="21"/>
  <c r="P16" i="21"/>
  <c r="X16" i="21" s="1"/>
  <c r="N16" i="21"/>
  <c r="D16" i="21"/>
  <c r="L16" i="21" s="1"/>
  <c r="B16" i="21"/>
  <c r="P15" i="21"/>
  <c r="D15" i="21"/>
  <c r="L15" i="21" s="1"/>
  <c r="N15" i="21" s="1"/>
  <c r="B15" i="21"/>
  <c r="Z14" i="21"/>
  <c r="X14" i="21"/>
  <c r="P14" i="21"/>
  <c r="N14" i="21"/>
  <c r="D14" i="21"/>
  <c r="L14" i="21" s="1"/>
  <c r="B14" i="21"/>
  <c r="P13" i="21"/>
  <c r="X13" i="21" s="1"/>
  <c r="Z13" i="21" s="1"/>
  <c r="D13" i="21"/>
  <c r="B13" i="21"/>
  <c r="T12" i="21"/>
  <c r="H12" i="21"/>
  <c r="D4" i="21"/>
  <c r="Z244" i="18"/>
  <c r="X244" i="18"/>
  <c r="L244" i="18"/>
  <c r="N244" i="18" s="1"/>
  <c r="Z240" i="18"/>
  <c r="P240" i="18"/>
  <c r="X240" i="18" s="1"/>
  <c r="N240" i="18"/>
  <c r="D240" i="18"/>
  <c r="B240" i="18"/>
  <c r="Z239" i="18"/>
  <c r="P239" i="18"/>
  <c r="X239" i="18" s="1"/>
  <c r="N239" i="18"/>
  <c r="D239" i="18"/>
  <c r="L239" i="18" s="1"/>
  <c r="B239" i="18"/>
  <c r="P238" i="18"/>
  <c r="X238" i="18" s="1"/>
  <c r="Z238" i="18" s="1"/>
  <c r="L238" i="18"/>
  <c r="N238" i="18" s="1"/>
  <c r="D238" i="18"/>
  <c r="B238" i="18"/>
  <c r="X237" i="18"/>
  <c r="Z237" i="18" s="1"/>
  <c r="P237" i="18"/>
  <c r="L237" i="18"/>
  <c r="N237" i="18" s="1"/>
  <c r="D237" i="18"/>
  <c r="B237" i="18"/>
  <c r="Z236" i="18"/>
  <c r="X236" i="18"/>
  <c r="V236" i="18"/>
  <c r="P236" i="18"/>
  <c r="N236" i="18"/>
  <c r="L236" i="18"/>
  <c r="D236" i="18"/>
  <c r="B236" i="18"/>
  <c r="T235" i="18"/>
  <c r="H235" i="18"/>
  <c r="X233" i="18"/>
  <c r="Z233" i="18" s="1"/>
  <c r="L233" i="18"/>
  <c r="N233" i="18" s="1"/>
  <c r="B233" i="18"/>
  <c r="Z232" i="18"/>
  <c r="T232" i="18"/>
  <c r="P232" i="18"/>
  <c r="X232" i="18" s="1"/>
  <c r="H232" i="18"/>
  <c r="D232" i="18"/>
  <c r="L232" i="18" s="1"/>
  <c r="N232" i="18" s="1"/>
  <c r="B232" i="18"/>
  <c r="X231" i="18"/>
  <c r="Z231" i="18" s="1"/>
  <c r="L231" i="18"/>
  <c r="N231" i="18" s="1"/>
  <c r="B231" i="18"/>
  <c r="X230" i="18"/>
  <c r="Z230" i="18" s="1"/>
  <c r="N230" i="18"/>
  <c r="L230" i="18"/>
  <c r="B230" i="18"/>
  <c r="Z229" i="18"/>
  <c r="X229" i="18"/>
  <c r="N229" i="18"/>
  <c r="L229" i="18"/>
  <c r="B229" i="18"/>
  <c r="X228" i="18"/>
  <c r="Z228" i="18" s="1"/>
  <c r="T228" i="18"/>
  <c r="P228" i="18"/>
  <c r="L228" i="18"/>
  <c r="N228" i="18" s="1"/>
  <c r="H228" i="18"/>
  <c r="D228" i="18"/>
  <c r="B228" i="18"/>
  <c r="X227" i="18"/>
  <c r="Z227" i="18" s="1"/>
  <c r="N227" i="18"/>
  <c r="L227" i="18"/>
  <c r="B227" i="18"/>
  <c r="T226" i="18"/>
  <c r="P226" i="18"/>
  <c r="H226" i="18"/>
  <c r="D226" i="18"/>
  <c r="B226" i="18"/>
  <c r="Z225" i="18"/>
  <c r="X225" i="18"/>
  <c r="L225" i="18"/>
  <c r="N225" i="18" s="1"/>
  <c r="B225" i="18"/>
  <c r="Z224" i="18"/>
  <c r="X224" i="18"/>
  <c r="L224" i="18"/>
  <c r="N224" i="18" s="1"/>
  <c r="B224" i="18"/>
  <c r="T223" i="18"/>
  <c r="P223" i="18"/>
  <c r="X223" i="18" s="1"/>
  <c r="Z223" i="18" s="1"/>
  <c r="H223" i="18"/>
  <c r="D223" i="18"/>
  <c r="B223" i="18"/>
  <c r="X222" i="18"/>
  <c r="Z222" i="18" s="1"/>
  <c r="N222" i="18"/>
  <c r="L222" i="18"/>
  <c r="B222" i="18"/>
  <c r="X221" i="18"/>
  <c r="Z221" i="18" s="1"/>
  <c r="V221" i="18"/>
  <c r="L221" i="18"/>
  <c r="N221" i="18" s="1"/>
  <c r="B221" i="18"/>
  <c r="X220" i="18"/>
  <c r="Z220" i="18" s="1"/>
  <c r="L220" i="18"/>
  <c r="N220" i="18" s="1"/>
  <c r="B220" i="18"/>
  <c r="X219" i="18"/>
  <c r="Z219" i="18" s="1"/>
  <c r="N219" i="18"/>
  <c r="L219" i="18"/>
  <c r="B219" i="18"/>
  <c r="X218" i="18"/>
  <c r="Z218" i="18" s="1"/>
  <c r="N218" i="18"/>
  <c r="L218" i="18"/>
  <c r="B218" i="18"/>
  <c r="X217" i="18"/>
  <c r="Z217" i="18" s="1"/>
  <c r="N217" i="18"/>
  <c r="L217" i="18"/>
  <c r="B217" i="18"/>
  <c r="X216" i="18"/>
  <c r="Z216" i="18" s="1"/>
  <c r="L216" i="18"/>
  <c r="N216" i="18" s="1"/>
  <c r="B216" i="18"/>
  <c r="X215" i="18"/>
  <c r="Z215" i="18" s="1"/>
  <c r="N215" i="18"/>
  <c r="L215" i="18"/>
  <c r="B215" i="18"/>
  <c r="X214" i="18"/>
  <c r="Z214" i="18" s="1"/>
  <c r="V214" i="18"/>
  <c r="N214" i="18"/>
  <c r="L214" i="18"/>
  <c r="B214" i="18"/>
  <c r="T213" i="18"/>
  <c r="P213" i="18"/>
  <c r="X213" i="18" s="1"/>
  <c r="H213" i="18"/>
  <c r="D213" i="18"/>
  <c r="L213" i="18" s="1"/>
  <c r="B213" i="18"/>
  <c r="Z212" i="18"/>
  <c r="X212" i="18"/>
  <c r="N212" i="18"/>
  <c r="L212" i="18"/>
  <c r="B212" i="18"/>
  <c r="X211" i="18"/>
  <c r="Z211" i="18" s="1"/>
  <c r="N211" i="18"/>
  <c r="L211" i="18"/>
  <c r="B211" i="18"/>
  <c r="Z210" i="18"/>
  <c r="T210" i="18"/>
  <c r="X210" i="18" s="1"/>
  <c r="P210" i="18"/>
  <c r="L210" i="18"/>
  <c r="H210" i="18"/>
  <c r="D210" i="18"/>
  <c r="B210" i="18"/>
  <c r="Z209" i="18"/>
  <c r="X209" i="18"/>
  <c r="N209" i="18"/>
  <c r="L209" i="18"/>
  <c r="B209" i="18"/>
  <c r="Z208" i="18"/>
  <c r="X208" i="18"/>
  <c r="L208" i="18"/>
  <c r="N208" i="18" s="1"/>
  <c r="B208" i="18"/>
  <c r="Z207" i="18"/>
  <c r="X207" i="18"/>
  <c r="N207" i="18"/>
  <c r="L207" i="18"/>
  <c r="B207" i="18"/>
  <c r="Z206" i="18"/>
  <c r="X206" i="18"/>
  <c r="L206" i="18"/>
  <c r="N206" i="18" s="1"/>
  <c r="J206" i="18"/>
  <c r="B206" i="18"/>
  <c r="T205" i="18"/>
  <c r="P205" i="18"/>
  <c r="X205" i="18" s="1"/>
  <c r="J205" i="18"/>
  <c r="H205" i="18"/>
  <c r="N205" i="18" s="1"/>
  <c r="D205" i="18"/>
  <c r="L205" i="18" s="1"/>
  <c r="B205" i="18"/>
  <c r="X204" i="18"/>
  <c r="Z204" i="18" s="1"/>
  <c r="L204" i="18"/>
  <c r="N204" i="18" s="1"/>
  <c r="B204" i="18"/>
  <c r="X203" i="18"/>
  <c r="Z203" i="18" s="1"/>
  <c r="N203" i="18"/>
  <c r="L203" i="18"/>
  <c r="B203" i="18"/>
  <c r="X202" i="18"/>
  <c r="Z202" i="18" s="1"/>
  <c r="N202" i="18"/>
  <c r="L202" i="18"/>
  <c r="B202" i="18"/>
  <c r="X201" i="18"/>
  <c r="Z201" i="18" s="1"/>
  <c r="L201" i="18"/>
  <c r="N201" i="18" s="1"/>
  <c r="B201" i="18"/>
  <c r="T200" i="18"/>
  <c r="P200" i="18"/>
  <c r="X200" i="18" s="1"/>
  <c r="L200" i="18"/>
  <c r="J200" i="18"/>
  <c r="H200" i="18"/>
  <c r="N200" i="18" s="1"/>
  <c r="D200" i="18"/>
  <c r="B200" i="18"/>
  <c r="X199" i="18"/>
  <c r="Z199" i="18" s="1"/>
  <c r="N199" i="18"/>
  <c r="L199" i="18"/>
  <c r="B199" i="18"/>
  <c r="Z198" i="18"/>
  <c r="X198" i="18"/>
  <c r="N198" i="18"/>
  <c r="L198" i="18"/>
  <c r="B198" i="18"/>
  <c r="Z197" i="18"/>
  <c r="X197" i="18"/>
  <c r="N197" i="18"/>
  <c r="L197" i="18"/>
  <c r="J197" i="18"/>
  <c r="B197" i="18"/>
  <c r="X196" i="18"/>
  <c r="Z196" i="18" s="1"/>
  <c r="N196" i="18"/>
  <c r="L196" i="18"/>
  <c r="B196" i="18"/>
  <c r="X195" i="18"/>
  <c r="Z195" i="18" s="1"/>
  <c r="T195" i="18"/>
  <c r="P195" i="18"/>
  <c r="H195" i="18"/>
  <c r="L195" i="18" s="1"/>
  <c r="N195" i="18" s="1"/>
  <c r="D195" i="18"/>
  <c r="B195" i="18"/>
  <c r="Z194" i="18"/>
  <c r="X194" i="18"/>
  <c r="L194" i="18"/>
  <c r="N194" i="18" s="1"/>
  <c r="B194" i="18"/>
  <c r="T193" i="18"/>
  <c r="P193" i="18"/>
  <c r="H193" i="18"/>
  <c r="D193" i="18"/>
  <c r="B193" i="18"/>
  <c r="X192" i="18"/>
  <c r="Z192" i="18" s="1"/>
  <c r="V192" i="18"/>
  <c r="N192" i="18"/>
  <c r="L192" i="18"/>
  <c r="B192" i="18"/>
  <c r="T191" i="18"/>
  <c r="P191" i="18"/>
  <c r="X191" i="18" s="1"/>
  <c r="H191" i="18"/>
  <c r="N191" i="18" s="1"/>
  <c r="D191" i="18"/>
  <c r="L191" i="18" s="1"/>
  <c r="B191" i="18"/>
  <c r="Z190" i="18"/>
  <c r="X190" i="18"/>
  <c r="N190" i="18"/>
  <c r="L190" i="18"/>
  <c r="B190" i="18"/>
  <c r="X189" i="18"/>
  <c r="Z189" i="18" s="1"/>
  <c r="T189" i="18"/>
  <c r="P189" i="18"/>
  <c r="L189" i="18"/>
  <c r="N189" i="18" s="1"/>
  <c r="H189" i="18"/>
  <c r="D189" i="18"/>
  <c r="B189" i="18"/>
  <c r="Z188" i="18"/>
  <c r="X188" i="18"/>
  <c r="L188" i="18"/>
  <c r="N188" i="18" s="1"/>
  <c r="B188" i="18"/>
  <c r="V187" i="18"/>
  <c r="T187" i="18"/>
  <c r="Z187" i="18" s="1"/>
  <c r="P187" i="18"/>
  <c r="X187" i="18" s="1"/>
  <c r="H187" i="18"/>
  <c r="D187" i="18"/>
  <c r="B187" i="18"/>
  <c r="X186" i="18"/>
  <c r="Z186" i="18" s="1"/>
  <c r="N186" i="18"/>
  <c r="L186" i="18"/>
  <c r="B186" i="18"/>
  <c r="X185" i="18"/>
  <c r="Z185" i="18" s="1"/>
  <c r="N185" i="18"/>
  <c r="L185" i="18"/>
  <c r="B185" i="18"/>
  <c r="X184" i="18"/>
  <c r="Z184" i="18" s="1"/>
  <c r="N184" i="18"/>
  <c r="L184" i="18"/>
  <c r="B184" i="18"/>
  <c r="T183" i="18"/>
  <c r="P183" i="18"/>
  <c r="X183" i="18" s="1"/>
  <c r="H183" i="18"/>
  <c r="N183" i="18" s="1"/>
  <c r="D183" i="18"/>
  <c r="L183" i="18" s="1"/>
  <c r="B183" i="18"/>
  <c r="Z182" i="18"/>
  <c r="X182" i="18"/>
  <c r="N182" i="18"/>
  <c r="L182" i="18"/>
  <c r="B182" i="18"/>
  <c r="X181" i="18"/>
  <c r="Z181" i="18" s="1"/>
  <c r="N181" i="18"/>
  <c r="L181" i="18"/>
  <c r="J181" i="18"/>
  <c r="B181" i="18"/>
  <c r="T180" i="18"/>
  <c r="P180" i="18"/>
  <c r="H180" i="18"/>
  <c r="L180" i="18" s="1"/>
  <c r="D180" i="18"/>
  <c r="B180" i="18"/>
  <c r="Z179" i="18"/>
  <c r="X179" i="18"/>
  <c r="V179" i="18"/>
  <c r="L179" i="18"/>
  <c r="N179" i="18" s="1"/>
  <c r="B179" i="18"/>
  <c r="T178" i="18"/>
  <c r="P178" i="18"/>
  <c r="X178" i="18" s="1"/>
  <c r="Z178" i="18" s="1"/>
  <c r="H178" i="18"/>
  <c r="D178" i="18"/>
  <c r="L178" i="18" s="1"/>
  <c r="N178" i="18" s="1"/>
  <c r="B178" i="18"/>
  <c r="Z177" i="18"/>
  <c r="X177" i="18"/>
  <c r="L177" i="18"/>
  <c r="N177" i="18" s="1"/>
  <c r="B177" i="18"/>
  <c r="T176" i="18"/>
  <c r="P176" i="18"/>
  <c r="X176" i="18" s="1"/>
  <c r="L176" i="18"/>
  <c r="N176" i="18" s="1"/>
  <c r="J176" i="18"/>
  <c r="H176" i="18"/>
  <c r="D176" i="18"/>
  <c r="B176" i="18"/>
  <c r="X175" i="18"/>
  <c r="Z175" i="18" s="1"/>
  <c r="N175" i="18"/>
  <c r="L175" i="18"/>
  <c r="B175" i="18"/>
  <c r="Z174" i="18"/>
  <c r="X174" i="18"/>
  <c r="N174" i="18"/>
  <c r="L174" i="18"/>
  <c r="B174" i="18"/>
  <c r="X173" i="18"/>
  <c r="Z173" i="18" s="1"/>
  <c r="T173" i="18"/>
  <c r="P173" i="18"/>
  <c r="L173" i="18"/>
  <c r="N173" i="18" s="1"/>
  <c r="H173" i="18"/>
  <c r="D173" i="18"/>
  <c r="B173" i="18"/>
  <c r="Z172" i="18"/>
  <c r="X172" i="18"/>
  <c r="N172" i="18"/>
  <c r="L172" i="18"/>
  <c r="J172" i="18"/>
  <c r="B172" i="18"/>
  <c r="Z171" i="18"/>
  <c r="X171" i="18"/>
  <c r="L171" i="18"/>
  <c r="N171" i="18" s="1"/>
  <c r="B171" i="18"/>
  <c r="Z170" i="18"/>
  <c r="T170" i="18"/>
  <c r="P170" i="18"/>
  <c r="X170" i="18" s="1"/>
  <c r="J170" i="18"/>
  <c r="H170" i="18"/>
  <c r="D170" i="18"/>
  <c r="L170" i="18" s="1"/>
  <c r="N170" i="18" s="1"/>
  <c r="B170" i="18"/>
  <c r="X169" i="18"/>
  <c r="Z169" i="18" s="1"/>
  <c r="N169" i="18"/>
  <c r="L169" i="18"/>
  <c r="B169" i="18"/>
  <c r="Z168" i="18"/>
  <c r="X168" i="18"/>
  <c r="V168" i="18"/>
  <c r="N168" i="18"/>
  <c r="L168" i="18"/>
  <c r="B168" i="18"/>
  <c r="T167" i="18"/>
  <c r="P167" i="18"/>
  <c r="X167" i="18" s="1"/>
  <c r="H167" i="18"/>
  <c r="D167" i="18"/>
  <c r="L167" i="18" s="1"/>
  <c r="B167" i="18"/>
  <c r="Z166" i="18"/>
  <c r="X166" i="18"/>
  <c r="N166" i="18"/>
  <c r="L166" i="18"/>
  <c r="B166" i="18"/>
  <c r="X165" i="18"/>
  <c r="Z165" i="18" s="1"/>
  <c r="T165" i="18"/>
  <c r="P165" i="18"/>
  <c r="L165" i="18"/>
  <c r="N165" i="18" s="1"/>
  <c r="H165" i="18"/>
  <c r="D165" i="18"/>
  <c r="B165" i="18"/>
  <c r="Z164" i="18"/>
  <c r="X164" i="18"/>
  <c r="L164" i="18"/>
  <c r="N164" i="18" s="1"/>
  <c r="B164" i="18"/>
  <c r="Z163" i="18"/>
  <c r="X163" i="18"/>
  <c r="L163" i="18"/>
  <c r="N163" i="18" s="1"/>
  <c r="B163" i="18"/>
  <c r="T162" i="18"/>
  <c r="P162" i="18"/>
  <c r="N162" i="18"/>
  <c r="H162" i="18"/>
  <c r="D162" i="18"/>
  <c r="L162" i="18" s="1"/>
  <c r="B162" i="18"/>
  <c r="X161" i="18"/>
  <c r="Z161" i="18" s="1"/>
  <c r="L161" i="18"/>
  <c r="N161" i="18" s="1"/>
  <c r="B161" i="18"/>
  <c r="T160" i="18"/>
  <c r="P160" i="18"/>
  <c r="X160" i="18" s="1"/>
  <c r="Z160" i="18" s="1"/>
  <c r="L160" i="18"/>
  <c r="J160" i="18"/>
  <c r="H160" i="18"/>
  <c r="N160" i="18" s="1"/>
  <c r="D160" i="18"/>
  <c r="B160" i="18"/>
  <c r="Z159" i="18"/>
  <c r="X159" i="18"/>
  <c r="N159" i="18"/>
  <c r="L159" i="18"/>
  <c r="B159" i="18"/>
  <c r="Z158" i="18"/>
  <c r="X158" i="18"/>
  <c r="N158" i="18"/>
  <c r="L158" i="18"/>
  <c r="B158" i="18"/>
  <c r="X157" i="18"/>
  <c r="Z157" i="18" s="1"/>
  <c r="N157" i="18"/>
  <c r="L157" i="18"/>
  <c r="J157" i="18"/>
  <c r="B157" i="18"/>
  <c r="X156" i="18"/>
  <c r="Z156" i="18" s="1"/>
  <c r="N156" i="18"/>
  <c r="L156" i="18"/>
  <c r="B156" i="18"/>
  <c r="Z155" i="18"/>
  <c r="X155" i="18"/>
  <c r="N155" i="18"/>
  <c r="L155" i="18"/>
  <c r="B155" i="18"/>
  <c r="Z154" i="18"/>
  <c r="X154" i="18"/>
  <c r="N154" i="18"/>
  <c r="L154" i="18"/>
  <c r="B154" i="18"/>
  <c r="X153" i="18"/>
  <c r="Z153" i="18" s="1"/>
  <c r="N153" i="18"/>
  <c r="L153" i="18"/>
  <c r="B153" i="18"/>
  <c r="Z152" i="18"/>
  <c r="X152" i="18"/>
  <c r="N152" i="18"/>
  <c r="L152" i="18"/>
  <c r="J152" i="18"/>
  <c r="B152" i="18"/>
  <c r="Z151" i="18"/>
  <c r="X151" i="18"/>
  <c r="N151" i="18"/>
  <c r="L151" i="18"/>
  <c r="J151" i="18"/>
  <c r="B151" i="18"/>
  <c r="Z150" i="18"/>
  <c r="X150" i="18"/>
  <c r="N150" i="18"/>
  <c r="L150" i="18"/>
  <c r="B150" i="18"/>
  <c r="T149" i="18"/>
  <c r="P149" i="18"/>
  <c r="L149" i="18"/>
  <c r="N149" i="18" s="1"/>
  <c r="H149" i="18"/>
  <c r="D149" i="18"/>
  <c r="B149" i="18"/>
  <c r="X148" i="18"/>
  <c r="Z148" i="18" s="1"/>
  <c r="L148" i="18"/>
  <c r="N148" i="18" s="1"/>
  <c r="B148" i="18"/>
  <c r="X147" i="18"/>
  <c r="Z147" i="18" s="1"/>
  <c r="L147" i="18"/>
  <c r="N147" i="18" s="1"/>
  <c r="B147" i="18"/>
  <c r="Z146" i="18"/>
  <c r="X146" i="18"/>
  <c r="L146" i="18"/>
  <c r="N146" i="18" s="1"/>
  <c r="B146" i="18"/>
  <c r="Z145" i="18"/>
  <c r="X145" i="18"/>
  <c r="V145" i="18"/>
  <c r="N145" i="18"/>
  <c r="L145" i="18"/>
  <c r="J145" i="18"/>
  <c r="B145" i="18"/>
  <c r="Z144" i="18"/>
  <c r="X144" i="18"/>
  <c r="N144" i="18"/>
  <c r="L144" i="18"/>
  <c r="B144" i="18"/>
  <c r="Z143" i="18"/>
  <c r="X143" i="18"/>
  <c r="V143" i="18"/>
  <c r="N143" i="18"/>
  <c r="L143" i="18"/>
  <c r="B143" i="18"/>
  <c r="X142" i="18"/>
  <c r="Z142" i="18" s="1"/>
  <c r="L142" i="18"/>
  <c r="N142" i="18" s="1"/>
  <c r="B142" i="18"/>
  <c r="Z141" i="18"/>
  <c r="X141" i="18"/>
  <c r="V141" i="18"/>
  <c r="L141" i="18"/>
  <c r="N141" i="18" s="1"/>
  <c r="J141" i="18"/>
  <c r="B141" i="18"/>
  <c r="X140" i="18"/>
  <c r="Z140" i="18" s="1"/>
  <c r="L140" i="18"/>
  <c r="N140" i="18" s="1"/>
  <c r="B140" i="18"/>
  <c r="Z139" i="18"/>
  <c r="X139" i="18"/>
  <c r="V139" i="18"/>
  <c r="N139" i="18"/>
  <c r="L139" i="18"/>
  <c r="B139" i="18"/>
  <c r="T138" i="18"/>
  <c r="P138" i="18"/>
  <c r="H138" i="18"/>
  <c r="D138" i="18"/>
  <c r="L138" i="18" s="1"/>
  <c r="B138" i="18"/>
  <c r="X137" i="18"/>
  <c r="Z137" i="18" s="1"/>
  <c r="V137" i="18"/>
  <c r="T137" i="18"/>
  <c r="P137" i="18"/>
  <c r="H137" i="18"/>
  <c r="D137" i="18"/>
  <c r="L137" i="18" s="1"/>
  <c r="Z133" i="18"/>
  <c r="X133" i="18"/>
  <c r="V133" i="18"/>
  <c r="N133" i="18"/>
  <c r="L133" i="18"/>
  <c r="B133" i="18"/>
  <c r="Z132" i="18"/>
  <c r="X132" i="18"/>
  <c r="N132" i="18"/>
  <c r="L132" i="18"/>
  <c r="B132" i="18"/>
  <c r="Z131" i="18"/>
  <c r="X131" i="18"/>
  <c r="N131" i="18"/>
  <c r="L131" i="18"/>
  <c r="B131" i="18"/>
  <c r="Z130" i="18"/>
  <c r="X130" i="18"/>
  <c r="N130" i="18"/>
  <c r="L130" i="18"/>
  <c r="B130" i="18"/>
  <c r="Z129" i="18"/>
  <c r="X129" i="18"/>
  <c r="V129" i="18"/>
  <c r="N129" i="18"/>
  <c r="L129" i="18"/>
  <c r="B129" i="18"/>
  <c r="Z128" i="18"/>
  <c r="X128" i="18"/>
  <c r="N128" i="18"/>
  <c r="L128" i="18"/>
  <c r="B128" i="18"/>
  <c r="Z127" i="18"/>
  <c r="X127" i="18"/>
  <c r="N127" i="18"/>
  <c r="L127" i="18"/>
  <c r="B127" i="18"/>
  <c r="Z126" i="18"/>
  <c r="X126" i="18"/>
  <c r="N126" i="18"/>
  <c r="L126" i="18"/>
  <c r="B126" i="18"/>
  <c r="Z125" i="18"/>
  <c r="X125" i="18"/>
  <c r="V125" i="18"/>
  <c r="N125" i="18"/>
  <c r="L125" i="18"/>
  <c r="B125" i="18"/>
  <c r="Z124" i="18"/>
  <c r="X124" i="18"/>
  <c r="N124" i="18"/>
  <c r="L124" i="18"/>
  <c r="B124" i="18"/>
  <c r="Z123" i="18"/>
  <c r="X123" i="18"/>
  <c r="N123" i="18"/>
  <c r="L123" i="18"/>
  <c r="B123" i="18"/>
  <c r="Z122" i="18"/>
  <c r="X122" i="18"/>
  <c r="N122" i="18"/>
  <c r="L122" i="18"/>
  <c r="B122" i="18"/>
  <c r="Z121" i="18"/>
  <c r="X121" i="18"/>
  <c r="V121" i="18"/>
  <c r="N121" i="18"/>
  <c r="L121" i="18"/>
  <c r="B121" i="18"/>
  <c r="Z120" i="18"/>
  <c r="X120" i="18"/>
  <c r="N120" i="18"/>
  <c r="L120" i="18"/>
  <c r="B120" i="18"/>
  <c r="Z119" i="18"/>
  <c r="X119" i="18"/>
  <c r="N119" i="18"/>
  <c r="L119" i="18"/>
  <c r="B119" i="18"/>
  <c r="Z118" i="18"/>
  <c r="X118" i="18"/>
  <c r="N118" i="18"/>
  <c r="L118" i="18"/>
  <c r="B118" i="18"/>
  <c r="Z117" i="18"/>
  <c r="X117" i="18"/>
  <c r="V117" i="18"/>
  <c r="N117" i="18"/>
  <c r="L117" i="18"/>
  <c r="B117" i="18"/>
  <c r="Z116" i="18"/>
  <c r="X116" i="18"/>
  <c r="N116" i="18"/>
  <c r="L116" i="18"/>
  <c r="B116" i="18"/>
  <c r="Z115" i="18"/>
  <c r="X115" i="18"/>
  <c r="N115" i="18"/>
  <c r="L115" i="18"/>
  <c r="B115" i="18"/>
  <c r="Z114" i="18"/>
  <c r="X114" i="18"/>
  <c r="N114" i="18"/>
  <c r="L114" i="18"/>
  <c r="B114" i="18"/>
  <c r="Z113" i="18"/>
  <c r="X113" i="18"/>
  <c r="V113" i="18"/>
  <c r="N113" i="18"/>
  <c r="L113" i="18"/>
  <c r="B113" i="18"/>
  <c r="Z112" i="18"/>
  <c r="X112" i="18"/>
  <c r="N112" i="18"/>
  <c r="L112" i="18"/>
  <c r="B112" i="18"/>
  <c r="Z111" i="18"/>
  <c r="X111" i="18"/>
  <c r="N111" i="18"/>
  <c r="L111" i="18"/>
  <c r="B111" i="18"/>
  <c r="Z110" i="18"/>
  <c r="X110" i="18"/>
  <c r="N110" i="18"/>
  <c r="L110" i="18"/>
  <c r="B110" i="18"/>
  <c r="Z109" i="18"/>
  <c r="X109" i="18"/>
  <c r="V109" i="18"/>
  <c r="N109" i="18"/>
  <c r="L109" i="18"/>
  <c r="B109" i="18"/>
  <c r="Z108" i="18"/>
  <c r="X108" i="18"/>
  <c r="N108" i="18"/>
  <c r="L108" i="18"/>
  <c r="B108" i="18"/>
  <c r="Z107" i="18"/>
  <c r="X107" i="18"/>
  <c r="N107" i="18"/>
  <c r="L107" i="18"/>
  <c r="B107" i="18"/>
  <c r="Z106" i="18"/>
  <c r="X106" i="18"/>
  <c r="N106" i="18"/>
  <c r="L106" i="18"/>
  <c r="B106" i="18"/>
  <c r="Z105" i="18"/>
  <c r="X105" i="18"/>
  <c r="V105" i="18"/>
  <c r="N105" i="18"/>
  <c r="L105" i="18"/>
  <c r="B105" i="18"/>
  <c r="Z104" i="18"/>
  <c r="X104" i="18"/>
  <c r="N104" i="18"/>
  <c r="L104" i="18"/>
  <c r="B104" i="18"/>
  <c r="Z103" i="18"/>
  <c r="X103" i="18"/>
  <c r="N103" i="18"/>
  <c r="L103" i="18"/>
  <c r="B103" i="18"/>
  <c r="Z102" i="18"/>
  <c r="X102" i="18"/>
  <c r="N102" i="18"/>
  <c r="L102" i="18"/>
  <c r="B102" i="18"/>
  <c r="Z101" i="18"/>
  <c r="X101" i="18"/>
  <c r="V101" i="18"/>
  <c r="N101" i="18"/>
  <c r="L101" i="18"/>
  <c r="B101" i="18"/>
  <c r="Z100" i="18"/>
  <c r="X100" i="18"/>
  <c r="N100" i="18"/>
  <c r="L100" i="18"/>
  <c r="B100" i="18"/>
  <c r="Z99" i="18"/>
  <c r="X99" i="18"/>
  <c r="N99" i="18"/>
  <c r="L99" i="18"/>
  <c r="B99" i="18"/>
  <c r="Z98" i="18"/>
  <c r="X98" i="18"/>
  <c r="N98" i="18"/>
  <c r="L98" i="18"/>
  <c r="B98" i="18"/>
  <c r="Z97" i="18"/>
  <c r="X97" i="18"/>
  <c r="V97" i="18"/>
  <c r="N97" i="18"/>
  <c r="L97" i="18"/>
  <c r="B97" i="18"/>
  <c r="Z96" i="18"/>
  <c r="X96" i="18"/>
  <c r="N96" i="18"/>
  <c r="L96" i="18"/>
  <c r="B96" i="18"/>
  <c r="Z95" i="18"/>
  <c r="X95" i="18"/>
  <c r="N95" i="18"/>
  <c r="L95" i="18"/>
  <c r="B95" i="18"/>
  <c r="Z94" i="18"/>
  <c r="X94" i="18"/>
  <c r="N94" i="18"/>
  <c r="L94" i="18"/>
  <c r="B94" i="18"/>
  <c r="Z93" i="18"/>
  <c r="X93" i="18"/>
  <c r="V93" i="18"/>
  <c r="N93" i="18"/>
  <c r="L93" i="18"/>
  <c r="B93" i="18"/>
  <c r="Z92" i="18"/>
  <c r="X92" i="18"/>
  <c r="N92" i="18"/>
  <c r="L92" i="18"/>
  <c r="B92" i="18"/>
  <c r="X91" i="18"/>
  <c r="Z91" i="18" s="1"/>
  <c r="N91" i="18"/>
  <c r="L91" i="18"/>
  <c r="B91" i="18"/>
  <c r="X90" i="18"/>
  <c r="T90" i="18"/>
  <c r="Z90" i="18" s="1"/>
  <c r="P90" i="18"/>
  <c r="H90" i="18"/>
  <c r="D90" i="18"/>
  <c r="L90" i="18" s="1"/>
  <c r="N90" i="18" s="1"/>
  <c r="Z88" i="18"/>
  <c r="X88" i="18"/>
  <c r="P88" i="18"/>
  <c r="N88" i="18"/>
  <c r="D88" i="18"/>
  <c r="L88" i="18" s="1"/>
  <c r="B88" i="18"/>
  <c r="Z87" i="18"/>
  <c r="X87" i="18"/>
  <c r="P87" i="18"/>
  <c r="N87" i="18"/>
  <c r="L87" i="18"/>
  <c r="D87" i="18"/>
  <c r="B87" i="18"/>
  <c r="Z86" i="18"/>
  <c r="P86" i="18"/>
  <c r="X86" i="18" s="1"/>
  <c r="N86" i="18"/>
  <c r="D86" i="18"/>
  <c r="L86" i="18" s="1"/>
  <c r="B86" i="18"/>
  <c r="Z85" i="18"/>
  <c r="P85" i="18"/>
  <c r="X85" i="18" s="1"/>
  <c r="N85" i="18"/>
  <c r="L85" i="18"/>
  <c r="D85" i="18"/>
  <c r="B85" i="18"/>
  <c r="Z84" i="18"/>
  <c r="P84" i="18"/>
  <c r="X84" i="18" s="1"/>
  <c r="N84" i="18"/>
  <c r="L84" i="18"/>
  <c r="D84" i="18"/>
  <c r="B84" i="18"/>
  <c r="Z83" i="18"/>
  <c r="P83" i="18"/>
  <c r="X83" i="18" s="1"/>
  <c r="N83" i="18"/>
  <c r="L83" i="18"/>
  <c r="D83" i="18"/>
  <c r="B83" i="18"/>
  <c r="Z82" i="18"/>
  <c r="X82" i="18"/>
  <c r="P82" i="18"/>
  <c r="N82" i="18"/>
  <c r="D82" i="18"/>
  <c r="L82" i="18" s="1"/>
  <c r="B82" i="18"/>
  <c r="Z81" i="18"/>
  <c r="X81" i="18"/>
  <c r="P81" i="18"/>
  <c r="N81" i="18"/>
  <c r="D81" i="18"/>
  <c r="L81" i="18" s="1"/>
  <c r="B81" i="18"/>
  <c r="Z80" i="18"/>
  <c r="P80" i="18"/>
  <c r="X80" i="18" s="1"/>
  <c r="N80" i="18"/>
  <c r="D80" i="18"/>
  <c r="L80" i="18" s="1"/>
  <c r="B80" i="18"/>
  <c r="Z79" i="18"/>
  <c r="P79" i="18"/>
  <c r="X79" i="18" s="1"/>
  <c r="N79" i="18"/>
  <c r="L79" i="18"/>
  <c r="D79" i="18"/>
  <c r="B79" i="18"/>
  <c r="Z78" i="18"/>
  <c r="X78" i="18"/>
  <c r="P78" i="18"/>
  <c r="N78" i="18"/>
  <c r="L78" i="18"/>
  <c r="D78" i="18"/>
  <c r="B78" i="18"/>
  <c r="Z77" i="18"/>
  <c r="P77" i="18"/>
  <c r="X77" i="18" s="1"/>
  <c r="N77" i="18"/>
  <c r="D77" i="18"/>
  <c r="L77" i="18" s="1"/>
  <c r="B77" i="18"/>
  <c r="Z76" i="18"/>
  <c r="X76" i="18"/>
  <c r="P76" i="18"/>
  <c r="N76" i="18"/>
  <c r="D76" i="18"/>
  <c r="L76" i="18" s="1"/>
  <c r="B76" i="18"/>
  <c r="Z75" i="18"/>
  <c r="X75" i="18"/>
  <c r="P75" i="18"/>
  <c r="N75" i="18"/>
  <c r="L75" i="18"/>
  <c r="D75" i="18"/>
  <c r="B75" i="18"/>
  <c r="Z74" i="18"/>
  <c r="P74" i="18"/>
  <c r="X74" i="18" s="1"/>
  <c r="N74" i="18"/>
  <c r="D74" i="18"/>
  <c r="L74" i="18" s="1"/>
  <c r="B74" i="18"/>
  <c r="Z73" i="18"/>
  <c r="P73" i="18"/>
  <c r="X73" i="18" s="1"/>
  <c r="N73" i="18"/>
  <c r="L73" i="18"/>
  <c r="D73" i="18"/>
  <c r="B73" i="18"/>
  <c r="Z72" i="18"/>
  <c r="P72" i="18"/>
  <c r="X72" i="18" s="1"/>
  <c r="N72" i="18"/>
  <c r="L72" i="18"/>
  <c r="D72" i="18"/>
  <c r="B72" i="18"/>
  <c r="Z71" i="18"/>
  <c r="P71" i="18"/>
  <c r="X71" i="18" s="1"/>
  <c r="N71" i="18"/>
  <c r="D71" i="18"/>
  <c r="L71" i="18" s="1"/>
  <c r="B71" i="18"/>
  <c r="Z70" i="18"/>
  <c r="X70" i="18"/>
  <c r="P70" i="18"/>
  <c r="N70" i="18"/>
  <c r="D70" i="18"/>
  <c r="L70" i="18" s="1"/>
  <c r="B70" i="18"/>
  <c r="Z69" i="18"/>
  <c r="X69" i="18"/>
  <c r="P69" i="18"/>
  <c r="N69" i="18"/>
  <c r="D69" i="18"/>
  <c r="L69" i="18" s="1"/>
  <c r="B69" i="18"/>
  <c r="Z68" i="18"/>
  <c r="P68" i="18"/>
  <c r="X68" i="18" s="1"/>
  <c r="N68" i="18"/>
  <c r="D68" i="18"/>
  <c r="L68" i="18" s="1"/>
  <c r="B68" i="18"/>
  <c r="Z67" i="18"/>
  <c r="P67" i="18"/>
  <c r="X67" i="18" s="1"/>
  <c r="N67" i="18"/>
  <c r="L67" i="18"/>
  <c r="D67" i="18"/>
  <c r="B67" i="18"/>
  <c r="Z66" i="18"/>
  <c r="X66" i="18"/>
  <c r="P66" i="18"/>
  <c r="N66" i="18"/>
  <c r="L66" i="18"/>
  <c r="D66" i="18"/>
  <c r="B66" i="18"/>
  <c r="Z65" i="18"/>
  <c r="P65" i="18"/>
  <c r="X65" i="18" s="1"/>
  <c r="N65" i="18"/>
  <c r="L65" i="18"/>
  <c r="D65" i="18"/>
  <c r="B65" i="18"/>
  <c r="Z64" i="18"/>
  <c r="X64" i="18"/>
  <c r="P64" i="18"/>
  <c r="N64" i="18"/>
  <c r="D64" i="18"/>
  <c r="L64" i="18" s="1"/>
  <c r="B64" i="18"/>
  <c r="Z63" i="18"/>
  <c r="P63" i="18"/>
  <c r="X63" i="18" s="1"/>
  <c r="N63" i="18"/>
  <c r="L63" i="18"/>
  <c r="D63" i="18"/>
  <c r="B63" i="18"/>
  <c r="Z62" i="18"/>
  <c r="P62" i="18"/>
  <c r="X62" i="18" s="1"/>
  <c r="N62" i="18"/>
  <c r="D62" i="18"/>
  <c r="L62" i="18" s="1"/>
  <c r="B62" i="18"/>
  <c r="Z61" i="18"/>
  <c r="P61" i="18"/>
  <c r="X61" i="18" s="1"/>
  <c r="N61" i="18"/>
  <c r="L61" i="18"/>
  <c r="D61" i="18"/>
  <c r="B61" i="18"/>
  <c r="Z60" i="18"/>
  <c r="P60" i="18"/>
  <c r="X60" i="18" s="1"/>
  <c r="N60" i="18"/>
  <c r="D60" i="18"/>
  <c r="L60" i="18" s="1"/>
  <c r="B60" i="18"/>
  <c r="Z59" i="18"/>
  <c r="P59" i="18"/>
  <c r="X59" i="18" s="1"/>
  <c r="N59" i="18"/>
  <c r="D59" i="18"/>
  <c r="L59" i="18" s="1"/>
  <c r="B59" i="18"/>
  <c r="Z58" i="18"/>
  <c r="X58" i="18"/>
  <c r="P58" i="18"/>
  <c r="N58" i="18"/>
  <c r="D58" i="18"/>
  <c r="L58" i="18" s="1"/>
  <c r="B58" i="18"/>
  <c r="Z57" i="18"/>
  <c r="X57" i="18"/>
  <c r="P57" i="18"/>
  <c r="N57" i="18"/>
  <c r="D57" i="18"/>
  <c r="L57" i="18" s="1"/>
  <c r="B57" i="18"/>
  <c r="Z56" i="18"/>
  <c r="P56" i="18"/>
  <c r="X56" i="18" s="1"/>
  <c r="N56" i="18"/>
  <c r="D56" i="18"/>
  <c r="L56" i="18" s="1"/>
  <c r="B56" i="18"/>
  <c r="Z55" i="18"/>
  <c r="P55" i="18"/>
  <c r="X55" i="18" s="1"/>
  <c r="N55" i="18"/>
  <c r="L55" i="18"/>
  <c r="D55" i="18"/>
  <c r="B55" i="18"/>
  <c r="Z54" i="18"/>
  <c r="X54" i="18"/>
  <c r="P54" i="18"/>
  <c r="N54" i="18"/>
  <c r="L54" i="18"/>
  <c r="D54" i="18"/>
  <c r="B54" i="18"/>
  <c r="Z53" i="18"/>
  <c r="P53" i="18"/>
  <c r="X53" i="18" s="1"/>
  <c r="N53" i="18"/>
  <c r="D53" i="18"/>
  <c r="L53" i="18" s="1"/>
  <c r="B53" i="18"/>
  <c r="Z52" i="18"/>
  <c r="X52" i="18"/>
  <c r="P52" i="18"/>
  <c r="N52" i="18"/>
  <c r="D52" i="18"/>
  <c r="L52" i="18" s="1"/>
  <c r="B52" i="18"/>
  <c r="Z51" i="18"/>
  <c r="P51" i="18"/>
  <c r="X51" i="18" s="1"/>
  <c r="N51" i="18"/>
  <c r="L51" i="18"/>
  <c r="D51" i="18"/>
  <c r="B51" i="18"/>
  <c r="Z50" i="18"/>
  <c r="P50" i="18"/>
  <c r="X50" i="18" s="1"/>
  <c r="N50" i="18"/>
  <c r="D50" i="18"/>
  <c r="L50" i="18" s="1"/>
  <c r="B50" i="18"/>
  <c r="Z49" i="18"/>
  <c r="P49" i="18"/>
  <c r="X49" i="18" s="1"/>
  <c r="N49" i="18"/>
  <c r="L49" i="18"/>
  <c r="D49" i="18"/>
  <c r="B49" i="18"/>
  <c r="Z48" i="18"/>
  <c r="P48" i="18"/>
  <c r="X48" i="18" s="1"/>
  <c r="N48" i="18"/>
  <c r="D48" i="18"/>
  <c r="L48" i="18" s="1"/>
  <c r="B48" i="18"/>
  <c r="Z47" i="18"/>
  <c r="P47" i="18"/>
  <c r="X47" i="18" s="1"/>
  <c r="N47" i="18"/>
  <c r="D47" i="18"/>
  <c r="L47" i="18" s="1"/>
  <c r="B47" i="18"/>
  <c r="Z46" i="18"/>
  <c r="X46" i="18"/>
  <c r="P46" i="18"/>
  <c r="N46" i="18"/>
  <c r="D46" i="18"/>
  <c r="L46" i="18" s="1"/>
  <c r="B46" i="18"/>
  <c r="Z45" i="18"/>
  <c r="X45" i="18"/>
  <c r="P45" i="18"/>
  <c r="N45" i="18"/>
  <c r="D45" i="18"/>
  <c r="L45" i="18" s="1"/>
  <c r="B45" i="18"/>
  <c r="Z44" i="18"/>
  <c r="P44" i="18"/>
  <c r="X44" i="18" s="1"/>
  <c r="N44" i="18"/>
  <c r="D44" i="18"/>
  <c r="L44" i="18" s="1"/>
  <c r="B44" i="18"/>
  <c r="Z43" i="18"/>
  <c r="P43" i="18"/>
  <c r="X43" i="18" s="1"/>
  <c r="N43" i="18"/>
  <c r="L43" i="18"/>
  <c r="D43" i="18"/>
  <c r="B43" i="18"/>
  <c r="Z42" i="18"/>
  <c r="X42" i="18"/>
  <c r="P42" i="18"/>
  <c r="N42" i="18"/>
  <c r="L42" i="18"/>
  <c r="D42" i="18"/>
  <c r="B42" i="18"/>
  <c r="Z41" i="18"/>
  <c r="P41" i="18"/>
  <c r="X41" i="18" s="1"/>
  <c r="N41" i="18"/>
  <c r="D41" i="18"/>
  <c r="L41" i="18" s="1"/>
  <c r="B41" i="18"/>
  <c r="Z40" i="18"/>
  <c r="X40" i="18"/>
  <c r="P40" i="18"/>
  <c r="N40" i="18"/>
  <c r="D40" i="18"/>
  <c r="L40" i="18" s="1"/>
  <c r="B40" i="18"/>
  <c r="Z39" i="18"/>
  <c r="P39" i="18"/>
  <c r="X39" i="18" s="1"/>
  <c r="N39" i="18"/>
  <c r="L39" i="18"/>
  <c r="D39" i="18"/>
  <c r="B39" i="18"/>
  <c r="Z38" i="18"/>
  <c r="P38" i="18"/>
  <c r="X38" i="18" s="1"/>
  <c r="N38" i="18"/>
  <c r="D38" i="18"/>
  <c r="L38" i="18" s="1"/>
  <c r="B38" i="18"/>
  <c r="P37" i="18"/>
  <c r="X37" i="18" s="1"/>
  <c r="Z37" i="18" s="1"/>
  <c r="L37" i="18"/>
  <c r="N37" i="18" s="1"/>
  <c r="D37" i="18"/>
  <c r="B37" i="18"/>
  <c r="Z36" i="18"/>
  <c r="P36" i="18"/>
  <c r="X36" i="18" s="1"/>
  <c r="N36" i="18"/>
  <c r="D36" i="18"/>
  <c r="L36" i="18" s="1"/>
  <c r="B36" i="18"/>
  <c r="Z35" i="18"/>
  <c r="P35" i="18"/>
  <c r="X35" i="18" s="1"/>
  <c r="N35" i="18"/>
  <c r="D35" i="18"/>
  <c r="L35" i="18" s="1"/>
  <c r="B35" i="18"/>
  <c r="Z34" i="18"/>
  <c r="X34" i="18"/>
  <c r="P34" i="18"/>
  <c r="N34" i="18"/>
  <c r="D34" i="18"/>
  <c r="L34" i="18" s="1"/>
  <c r="B34" i="18"/>
  <c r="Z33" i="18"/>
  <c r="X33" i="18"/>
  <c r="P33" i="18"/>
  <c r="N33" i="18"/>
  <c r="D33" i="18"/>
  <c r="L33" i="18" s="1"/>
  <c r="B33" i="18"/>
  <c r="Z32" i="18"/>
  <c r="P32" i="18"/>
  <c r="X32" i="18" s="1"/>
  <c r="N32" i="18"/>
  <c r="D32" i="18"/>
  <c r="L32" i="18" s="1"/>
  <c r="B32" i="18"/>
  <c r="Z31" i="18"/>
  <c r="P31" i="18"/>
  <c r="X31" i="18" s="1"/>
  <c r="N31" i="18"/>
  <c r="L31" i="18"/>
  <c r="D31" i="18"/>
  <c r="B31" i="18"/>
  <c r="Z30" i="18"/>
  <c r="X30" i="18"/>
  <c r="P30" i="18"/>
  <c r="N30" i="18"/>
  <c r="L30" i="18"/>
  <c r="D30" i="18"/>
  <c r="B30" i="18"/>
  <c r="Z29" i="18"/>
  <c r="P29" i="18"/>
  <c r="X29" i="18" s="1"/>
  <c r="N29" i="18"/>
  <c r="D29" i="18"/>
  <c r="L29" i="18" s="1"/>
  <c r="B29" i="18"/>
  <c r="Z28" i="18"/>
  <c r="X28" i="18"/>
  <c r="P28" i="18"/>
  <c r="N28" i="18"/>
  <c r="D28" i="18"/>
  <c r="L28" i="18" s="1"/>
  <c r="B28" i="18"/>
  <c r="Z27" i="18"/>
  <c r="P27" i="18"/>
  <c r="X27" i="18" s="1"/>
  <c r="N27" i="18"/>
  <c r="L27" i="18"/>
  <c r="D27" i="18"/>
  <c r="B27" i="18"/>
  <c r="Z26" i="18"/>
  <c r="P26" i="18"/>
  <c r="X26" i="18" s="1"/>
  <c r="N26" i="18"/>
  <c r="D26" i="18"/>
  <c r="L26" i="18" s="1"/>
  <c r="B26" i="18"/>
  <c r="Z25" i="18"/>
  <c r="P25" i="18"/>
  <c r="X25" i="18" s="1"/>
  <c r="N25" i="18"/>
  <c r="L25" i="18"/>
  <c r="D25" i="18"/>
  <c r="B25" i="18"/>
  <c r="Z24" i="18"/>
  <c r="P24" i="18"/>
  <c r="X24" i="18" s="1"/>
  <c r="N24" i="18"/>
  <c r="D24" i="18"/>
  <c r="L24" i="18" s="1"/>
  <c r="B24" i="18"/>
  <c r="Z23" i="18"/>
  <c r="P23" i="18"/>
  <c r="X23" i="18" s="1"/>
  <c r="N23" i="18"/>
  <c r="D23" i="18"/>
  <c r="L23" i="18" s="1"/>
  <c r="B23" i="18"/>
  <c r="Z22" i="18"/>
  <c r="X22" i="18"/>
  <c r="P22" i="18"/>
  <c r="N22" i="18"/>
  <c r="D22" i="18"/>
  <c r="L22" i="18" s="1"/>
  <c r="B22" i="18"/>
  <c r="Z21" i="18"/>
  <c r="X21" i="18"/>
  <c r="P21" i="18"/>
  <c r="N21" i="18"/>
  <c r="D21" i="18"/>
  <c r="L21" i="18" s="1"/>
  <c r="B21" i="18"/>
  <c r="Z20" i="18"/>
  <c r="P20" i="18"/>
  <c r="X20" i="18" s="1"/>
  <c r="N20" i="18"/>
  <c r="D20" i="18"/>
  <c r="L20" i="18" s="1"/>
  <c r="B20" i="18"/>
  <c r="Z19" i="18"/>
  <c r="P19" i="18"/>
  <c r="X19" i="18" s="1"/>
  <c r="N19" i="18"/>
  <c r="L19" i="18"/>
  <c r="D19" i="18"/>
  <c r="B19" i="18"/>
  <c r="Z18" i="18"/>
  <c r="X18" i="18"/>
  <c r="P18" i="18"/>
  <c r="N18" i="18"/>
  <c r="L18" i="18"/>
  <c r="D18" i="18"/>
  <c r="B18" i="18"/>
  <c r="Z17" i="18"/>
  <c r="P17" i="18"/>
  <c r="X17" i="18" s="1"/>
  <c r="N17" i="18"/>
  <c r="D17" i="18"/>
  <c r="L17" i="18" s="1"/>
  <c r="B17" i="18"/>
  <c r="Z16" i="18"/>
  <c r="X16" i="18"/>
  <c r="P16" i="18"/>
  <c r="N16" i="18"/>
  <c r="L16" i="18"/>
  <c r="D16" i="18"/>
  <c r="B16" i="18"/>
  <c r="Z15" i="18"/>
  <c r="P15" i="18"/>
  <c r="X15" i="18" s="1"/>
  <c r="N15" i="18"/>
  <c r="L15" i="18"/>
  <c r="D15" i="18"/>
  <c r="B15" i="18"/>
  <c r="Z14" i="18"/>
  <c r="P14" i="18"/>
  <c r="X14" i="18" s="1"/>
  <c r="N14" i="18"/>
  <c r="D14" i="18"/>
  <c r="L14" i="18" s="1"/>
  <c r="B14" i="18"/>
  <c r="P13" i="18"/>
  <c r="L13" i="18"/>
  <c r="N13" i="18" s="1"/>
  <c r="D13" i="18"/>
  <c r="B13" i="18"/>
  <c r="T12" i="18"/>
  <c r="V230" i="18" s="1"/>
  <c r="H12" i="18"/>
  <c r="J235" i="18" s="1"/>
  <c r="D4" i="18"/>
  <c r="X220" i="15"/>
  <c r="Z220" i="15" s="1"/>
  <c r="N220" i="15"/>
  <c r="L220" i="15"/>
  <c r="Z216" i="15"/>
  <c r="X216" i="15"/>
  <c r="V216" i="15"/>
  <c r="P216" i="15"/>
  <c r="N216" i="15"/>
  <c r="D216" i="15"/>
  <c r="L216" i="15" s="1"/>
  <c r="B216" i="15"/>
  <c r="Z215" i="15"/>
  <c r="X215" i="15"/>
  <c r="P215" i="15"/>
  <c r="N215" i="15"/>
  <c r="D215" i="15"/>
  <c r="L215" i="15" s="1"/>
  <c r="B215" i="15"/>
  <c r="V214" i="15"/>
  <c r="P214" i="15"/>
  <c r="D214" i="15"/>
  <c r="L214" i="15" s="1"/>
  <c r="N214" i="15" s="1"/>
  <c r="B214" i="15"/>
  <c r="P213" i="15"/>
  <c r="X213" i="15" s="1"/>
  <c r="Z213" i="15" s="1"/>
  <c r="N213" i="15"/>
  <c r="L213" i="15"/>
  <c r="D213" i="15"/>
  <c r="B213" i="15"/>
  <c r="T212" i="15"/>
  <c r="H212" i="15"/>
  <c r="Z210" i="15"/>
  <c r="X210" i="15"/>
  <c r="N210" i="15"/>
  <c r="L210" i="15"/>
  <c r="B210" i="15"/>
  <c r="T209" i="15"/>
  <c r="P209" i="15"/>
  <c r="X209" i="15" s="1"/>
  <c r="H209" i="15"/>
  <c r="D209" i="15"/>
  <c r="B209" i="15"/>
  <c r="X208" i="15"/>
  <c r="Z208" i="15" s="1"/>
  <c r="L208" i="15"/>
  <c r="N208" i="15" s="1"/>
  <c r="B208" i="15"/>
  <c r="X207" i="15"/>
  <c r="Z207" i="15" s="1"/>
  <c r="L207" i="15"/>
  <c r="N207" i="15" s="1"/>
  <c r="B207" i="15"/>
  <c r="Z206" i="15"/>
  <c r="X206" i="15"/>
  <c r="V206" i="15"/>
  <c r="N206" i="15"/>
  <c r="L206" i="15"/>
  <c r="B206" i="15"/>
  <c r="T205" i="15"/>
  <c r="P205" i="15"/>
  <c r="H205" i="15"/>
  <c r="N205" i="15" s="1"/>
  <c r="D205" i="15"/>
  <c r="L205" i="15" s="1"/>
  <c r="B205" i="15"/>
  <c r="X204" i="15"/>
  <c r="Z204" i="15" s="1"/>
  <c r="V204" i="15"/>
  <c r="N204" i="15"/>
  <c r="L204" i="15"/>
  <c r="B204" i="15"/>
  <c r="T203" i="15"/>
  <c r="P203" i="15"/>
  <c r="X203" i="15" s="1"/>
  <c r="Z203" i="15" s="1"/>
  <c r="L203" i="15"/>
  <c r="N203" i="15" s="1"/>
  <c r="H203" i="15"/>
  <c r="D203" i="15"/>
  <c r="B203" i="15"/>
  <c r="Z202" i="15"/>
  <c r="X202" i="15"/>
  <c r="N202" i="15"/>
  <c r="L202" i="15"/>
  <c r="B202" i="15"/>
  <c r="X201" i="15"/>
  <c r="Z201" i="15" s="1"/>
  <c r="L201" i="15"/>
  <c r="N201" i="15" s="1"/>
  <c r="B201" i="15"/>
  <c r="T200" i="15"/>
  <c r="P200" i="15"/>
  <c r="X200" i="15" s="1"/>
  <c r="Z200" i="15" s="1"/>
  <c r="H200" i="15"/>
  <c r="D200" i="15"/>
  <c r="L200" i="15" s="1"/>
  <c r="N200" i="15" s="1"/>
  <c r="B200" i="15"/>
  <c r="X199" i="15"/>
  <c r="Z199" i="15" s="1"/>
  <c r="L199" i="15"/>
  <c r="N199" i="15" s="1"/>
  <c r="B199" i="15"/>
  <c r="Z198" i="15"/>
  <c r="X198" i="15"/>
  <c r="V198" i="15"/>
  <c r="N198" i="15"/>
  <c r="L198" i="15"/>
  <c r="B198" i="15"/>
  <c r="X197" i="15"/>
  <c r="Z197" i="15" s="1"/>
  <c r="L197" i="15"/>
  <c r="N197" i="15" s="1"/>
  <c r="B197" i="15"/>
  <c r="X196" i="15"/>
  <c r="Z196" i="15" s="1"/>
  <c r="N196" i="15"/>
  <c r="L196" i="15"/>
  <c r="B196" i="15"/>
  <c r="X195" i="15"/>
  <c r="Z195" i="15" s="1"/>
  <c r="L195" i="15"/>
  <c r="N195" i="15" s="1"/>
  <c r="B195" i="15"/>
  <c r="Z194" i="15"/>
  <c r="X194" i="15"/>
  <c r="V194" i="15"/>
  <c r="L194" i="15"/>
  <c r="N194" i="15" s="1"/>
  <c r="B194" i="15"/>
  <c r="X193" i="15"/>
  <c r="Z193" i="15" s="1"/>
  <c r="L193" i="15"/>
  <c r="N193" i="15" s="1"/>
  <c r="B193" i="15"/>
  <c r="X192" i="15"/>
  <c r="Z192" i="15" s="1"/>
  <c r="L192" i="15"/>
  <c r="N192" i="15" s="1"/>
  <c r="B192" i="15"/>
  <c r="X191" i="15"/>
  <c r="Z191" i="15" s="1"/>
  <c r="L191" i="15"/>
  <c r="N191" i="15" s="1"/>
  <c r="B191" i="15"/>
  <c r="Z190" i="15"/>
  <c r="X190" i="15"/>
  <c r="V190" i="15"/>
  <c r="T190" i="15"/>
  <c r="P190" i="15"/>
  <c r="L190" i="15"/>
  <c r="H190" i="15"/>
  <c r="N190" i="15" s="1"/>
  <c r="D190" i="15"/>
  <c r="B190" i="15"/>
  <c r="Z189" i="15"/>
  <c r="X189" i="15"/>
  <c r="N189" i="15"/>
  <c r="L189" i="15"/>
  <c r="B189" i="15"/>
  <c r="X188" i="15"/>
  <c r="Z188" i="15" s="1"/>
  <c r="V188" i="15"/>
  <c r="N188" i="15"/>
  <c r="L188" i="15"/>
  <c r="B188" i="15"/>
  <c r="T187" i="15"/>
  <c r="P187" i="15"/>
  <c r="X187" i="15" s="1"/>
  <c r="Z187" i="15" s="1"/>
  <c r="L187" i="15"/>
  <c r="N187" i="15" s="1"/>
  <c r="H187" i="15"/>
  <c r="D187" i="15"/>
  <c r="B187" i="15"/>
  <c r="Z186" i="15"/>
  <c r="X186" i="15"/>
  <c r="N186" i="15"/>
  <c r="L186" i="15"/>
  <c r="B186" i="15"/>
  <c r="Z185" i="15"/>
  <c r="X185" i="15"/>
  <c r="L185" i="15"/>
  <c r="N185" i="15" s="1"/>
  <c r="B185" i="15"/>
  <c r="Z184" i="15"/>
  <c r="X184" i="15"/>
  <c r="N184" i="15"/>
  <c r="L184" i="15"/>
  <c r="B184" i="15"/>
  <c r="X183" i="15"/>
  <c r="Z183" i="15" s="1"/>
  <c r="L183" i="15"/>
  <c r="N183" i="15" s="1"/>
  <c r="B183" i="15"/>
  <c r="T182" i="15"/>
  <c r="P182" i="15"/>
  <c r="X182" i="15" s="1"/>
  <c r="Z182" i="15" s="1"/>
  <c r="H182" i="15"/>
  <c r="D182" i="15"/>
  <c r="L182" i="15" s="1"/>
  <c r="N182" i="15" s="1"/>
  <c r="B182" i="15"/>
  <c r="X181" i="15"/>
  <c r="Z181" i="15" s="1"/>
  <c r="L181" i="15"/>
  <c r="N181" i="15" s="1"/>
  <c r="B181" i="15"/>
  <c r="X180" i="15"/>
  <c r="Z180" i="15" s="1"/>
  <c r="V180" i="15"/>
  <c r="L180" i="15"/>
  <c r="N180" i="15" s="1"/>
  <c r="B180" i="15"/>
  <c r="X179" i="15"/>
  <c r="Z179" i="15" s="1"/>
  <c r="L179" i="15"/>
  <c r="N179" i="15" s="1"/>
  <c r="B179" i="15"/>
  <c r="Z178" i="15"/>
  <c r="X178" i="15"/>
  <c r="V178" i="15"/>
  <c r="L178" i="15"/>
  <c r="N178" i="15" s="1"/>
  <c r="B178" i="15"/>
  <c r="T177" i="15"/>
  <c r="P177" i="15"/>
  <c r="X177" i="15" s="1"/>
  <c r="H177" i="15"/>
  <c r="D177" i="15"/>
  <c r="L177" i="15" s="1"/>
  <c r="B177" i="15"/>
  <c r="X176" i="15"/>
  <c r="Z176" i="15" s="1"/>
  <c r="V176" i="15"/>
  <c r="N176" i="15"/>
  <c r="L176" i="15"/>
  <c r="B176" i="15"/>
  <c r="X175" i="15"/>
  <c r="Z175" i="15" s="1"/>
  <c r="L175" i="15"/>
  <c r="N175" i="15" s="1"/>
  <c r="B175" i="15"/>
  <c r="Z174" i="15"/>
  <c r="X174" i="15"/>
  <c r="N174" i="15"/>
  <c r="L174" i="15"/>
  <c r="B174" i="15"/>
  <c r="X173" i="15"/>
  <c r="Z173" i="15" s="1"/>
  <c r="N173" i="15"/>
  <c r="L173" i="15"/>
  <c r="B173" i="15"/>
  <c r="V172" i="15"/>
  <c r="T172" i="15"/>
  <c r="P172" i="15"/>
  <c r="H172" i="15"/>
  <c r="D172" i="15"/>
  <c r="L172" i="15" s="1"/>
  <c r="B172" i="15"/>
  <c r="X171" i="15"/>
  <c r="Z171" i="15" s="1"/>
  <c r="N171" i="15"/>
  <c r="L171" i="15"/>
  <c r="B171" i="15"/>
  <c r="T170" i="15"/>
  <c r="P170" i="15"/>
  <c r="X170" i="15" s="1"/>
  <c r="Z170" i="15" s="1"/>
  <c r="H170" i="15"/>
  <c r="D170" i="15"/>
  <c r="L170" i="15" s="1"/>
  <c r="N170" i="15" s="1"/>
  <c r="B170" i="15"/>
  <c r="X169" i="15"/>
  <c r="Z169" i="15" s="1"/>
  <c r="N169" i="15"/>
  <c r="L169" i="15"/>
  <c r="B169" i="15"/>
  <c r="X168" i="15"/>
  <c r="V168" i="15"/>
  <c r="T168" i="15"/>
  <c r="Z168" i="15" s="1"/>
  <c r="P168" i="15"/>
  <c r="N168" i="15"/>
  <c r="L168" i="15"/>
  <c r="J168" i="15"/>
  <c r="H168" i="15"/>
  <c r="D168" i="15"/>
  <c r="B168" i="15"/>
  <c r="X167" i="15"/>
  <c r="Z167" i="15" s="1"/>
  <c r="L167" i="15"/>
  <c r="N167" i="15" s="1"/>
  <c r="B167" i="15"/>
  <c r="T166" i="15"/>
  <c r="Z166" i="15" s="1"/>
  <c r="P166" i="15"/>
  <c r="X166" i="15" s="1"/>
  <c r="H166" i="15"/>
  <c r="D166" i="15"/>
  <c r="B166" i="15"/>
  <c r="Z165" i="15"/>
  <c r="X165" i="15"/>
  <c r="L165" i="15"/>
  <c r="N165" i="15" s="1"/>
  <c r="B165" i="15"/>
  <c r="Z164" i="15"/>
  <c r="T164" i="15"/>
  <c r="P164" i="15"/>
  <c r="X164" i="15" s="1"/>
  <c r="H164" i="15"/>
  <c r="D164" i="15"/>
  <c r="L164" i="15" s="1"/>
  <c r="N164" i="15" s="1"/>
  <c r="B164" i="15"/>
  <c r="Z163" i="15"/>
  <c r="X163" i="15"/>
  <c r="L163" i="15"/>
  <c r="N163" i="15" s="1"/>
  <c r="B163" i="15"/>
  <c r="Z162" i="15"/>
  <c r="X162" i="15"/>
  <c r="V162" i="15"/>
  <c r="N162" i="15"/>
  <c r="L162" i="15"/>
  <c r="B162" i="15"/>
  <c r="X161" i="15"/>
  <c r="Z161" i="15" s="1"/>
  <c r="N161" i="15"/>
  <c r="L161" i="15"/>
  <c r="B161" i="15"/>
  <c r="X160" i="15"/>
  <c r="V160" i="15"/>
  <c r="T160" i="15"/>
  <c r="Z160" i="15" s="1"/>
  <c r="P160" i="15"/>
  <c r="N160" i="15"/>
  <c r="L160" i="15"/>
  <c r="J160" i="15"/>
  <c r="H160" i="15"/>
  <c r="D160" i="15"/>
  <c r="B160" i="15"/>
  <c r="X159" i="15"/>
  <c r="Z159" i="15" s="1"/>
  <c r="L159" i="15"/>
  <c r="N159" i="15" s="1"/>
  <c r="B159" i="15"/>
  <c r="X158" i="15"/>
  <c r="Z158" i="15" s="1"/>
  <c r="N158" i="15"/>
  <c r="L158" i="15"/>
  <c r="B158" i="15"/>
  <c r="X157" i="15"/>
  <c r="Z157" i="15" s="1"/>
  <c r="T157" i="15"/>
  <c r="P157" i="15"/>
  <c r="H157" i="15"/>
  <c r="D157" i="15"/>
  <c r="L157" i="15" s="1"/>
  <c r="N157" i="15" s="1"/>
  <c r="B157" i="15"/>
  <c r="Z156" i="15"/>
  <c r="X156" i="15"/>
  <c r="L156" i="15"/>
  <c r="N156" i="15" s="1"/>
  <c r="B156" i="15"/>
  <c r="T155" i="15"/>
  <c r="P155" i="15"/>
  <c r="H155" i="15"/>
  <c r="D155" i="15"/>
  <c r="L155" i="15" s="1"/>
  <c r="B155" i="15"/>
  <c r="Z154" i="15"/>
  <c r="X154" i="15"/>
  <c r="V154" i="15"/>
  <c r="L154" i="15"/>
  <c r="N154" i="15" s="1"/>
  <c r="B154" i="15"/>
  <c r="T153" i="15"/>
  <c r="P153" i="15"/>
  <c r="X153" i="15" s="1"/>
  <c r="H153" i="15"/>
  <c r="D153" i="15"/>
  <c r="L153" i="15" s="1"/>
  <c r="N153" i="15" s="1"/>
  <c r="B153" i="15"/>
  <c r="X152" i="15"/>
  <c r="Z152" i="15" s="1"/>
  <c r="V152" i="15"/>
  <c r="N152" i="15"/>
  <c r="L152" i="15"/>
  <c r="B152" i="15"/>
  <c r="Z151" i="15"/>
  <c r="X151" i="15"/>
  <c r="N151" i="15"/>
  <c r="L151" i="15"/>
  <c r="B151" i="15"/>
  <c r="T150" i="15"/>
  <c r="P150" i="15"/>
  <c r="X150" i="15" s="1"/>
  <c r="H150" i="15"/>
  <c r="D150" i="15"/>
  <c r="B150" i="15"/>
  <c r="Z149" i="15"/>
  <c r="X149" i="15"/>
  <c r="N149" i="15"/>
  <c r="L149" i="15"/>
  <c r="B149" i="15"/>
  <c r="Z148" i="15"/>
  <c r="X148" i="15"/>
  <c r="L148" i="15"/>
  <c r="N148" i="15" s="1"/>
  <c r="B148" i="15"/>
  <c r="X147" i="15"/>
  <c r="T147" i="15"/>
  <c r="P147" i="15"/>
  <c r="H147" i="15"/>
  <c r="D147" i="15"/>
  <c r="L147" i="15" s="1"/>
  <c r="B147" i="15"/>
  <c r="Z146" i="15"/>
  <c r="X146" i="15"/>
  <c r="V146" i="15"/>
  <c r="N146" i="15"/>
  <c r="L146" i="15"/>
  <c r="B146" i="15"/>
  <c r="Z145" i="15"/>
  <c r="X145" i="15"/>
  <c r="N145" i="15"/>
  <c r="L145" i="15"/>
  <c r="B145" i="15"/>
  <c r="X144" i="15"/>
  <c r="V144" i="15"/>
  <c r="T144" i="15"/>
  <c r="Z144" i="15" s="1"/>
  <c r="P144" i="15"/>
  <c r="N144" i="15"/>
  <c r="L144" i="15"/>
  <c r="H144" i="15"/>
  <c r="D144" i="15"/>
  <c r="B144" i="15"/>
  <c r="X143" i="15"/>
  <c r="Z143" i="15" s="1"/>
  <c r="L143" i="15"/>
  <c r="N143" i="15" s="1"/>
  <c r="B143" i="15"/>
  <c r="T142" i="15"/>
  <c r="Z142" i="15" s="1"/>
  <c r="P142" i="15"/>
  <c r="X142" i="15" s="1"/>
  <c r="J142" i="15"/>
  <c r="H142" i="15"/>
  <c r="D142" i="15"/>
  <c r="B142" i="15"/>
  <c r="Z141" i="15"/>
  <c r="X141" i="15"/>
  <c r="L141" i="15"/>
  <c r="N141" i="15" s="1"/>
  <c r="B141" i="15"/>
  <c r="Z140" i="15"/>
  <c r="X140" i="15"/>
  <c r="L140" i="15"/>
  <c r="N140" i="15" s="1"/>
  <c r="B140" i="15"/>
  <c r="X139" i="15"/>
  <c r="T139" i="15"/>
  <c r="P139" i="15"/>
  <c r="H139" i="15"/>
  <c r="D139" i="15"/>
  <c r="L139" i="15" s="1"/>
  <c r="B139" i="15"/>
  <c r="Z138" i="15"/>
  <c r="X138" i="15"/>
  <c r="V138" i="15"/>
  <c r="L138" i="15"/>
  <c r="N138" i="15" s="1"/>
  <c r="B138" i="15"/>
  <c r="T137" i="15"/>
  <c r="P137" i="15"/>
  <c r="X137" i="15" s="1"/>
  <c r="H137" i="15"/>
  <c r="D137" i="15"/>
  <c r="L137" i="15" s="1"/>
  <c r="B137" i="15"/>
  <c r="Z136" i="15"/>
  <c r="X136" i="15"/>
  <c r="V136" i="15"/>
  <c r="N136" i="15"/>
  <c r="L136" i="15"/>
  <c r="B136" i="15"/>
  <c r="Z135" i="15"/>
  <c r="X135" i="15"/>
  <c r="N135" i="15"/>
  <c r="L135" i="15"/>
  <c r="B135" i="15"/>
  <c r="Z134" i="15"/>
  <c r="X134" i="15"/>
  <c r="N134" i="15"/>
  <c r="L134" i="15"/>
  <c r="B134" i="15"/>
  <c r="X133" i="15"/>
  <c r="Z133" i="15" s="1"/>
  <c r="L133" i="15"/>
  <c r="N133" i="15" s="1"/>
  <c r="B133" i="15"/>
  <c r="Z132" i="15"/>
  <c r="X132" i="15"/>
  <c r="V132" i="15"/>
  <c r="N132" i="15"/>
  <c r="L132" i="15"/>
  <c r="B132" i="15"/>
  <c r="X131" i="15"/>
  <c r="Z131" i="15" s="1"/>
  <c r="L131" i="15"/>
  <c r="N131" i="15" s="1"/>
  <c r="B131" i="15"/>
  <c r="X130" i="15"/>
  <c r="Z130" i="15" s="1"/>
  <c r="N130" i="15"/>
  <c r="L130" i="15"/>
  <c r="B130" i="15"/>
  <c r="Z129" i="15"/>
  <c r="X129" i="15"/>
  <c r="N129" i="15"/>
  <c r="L129" i="15"/>
  <c r="B129" i="15"/>
  <c r="Z128" i="15"/>
  <c r="X128" i="15"/>
  <c r="V128" i="15"/>
  <c r="N128" i="15"/>
  <c r="L128" i="15"/>
  <c r="B128" i="15"/>
  <c r="X127" i="15"/>
  <c r="Z127" i="15" s="1"/>
  <c r="L127" i="15"/>
  <c r="N127" i="15" s="1"/>
  <c r="B127" i="15"/>
  <c r="T126" i="15"/>
  <c r="P126" i="15"/>
  <c r="X126" i="15" s="1"/>
  <c r="H126" i="15"/>
  <c r="D126" i="15"/>
  <c r="B126" i="15"/>
  <c r="X125" i="15"/>
  <c r="Z125" i="15" s="1"/>
  <c r="L125" i="15"/>
  <c r="N125" i="15" s="1"/>
  <c r="B125" i="15"/>
  <c r="Z124" i="15"/>
  <c r="X124" i="15"/>
  <c r="L124" i="15"/>
  <c r="N124" i="15" s="1"/>
  <c r="B124" i="15"/>
  <c r="X123" i="15"/>
  <c r="Z123" i="15" s="1"/>
  <c r="N123" i="15"/>
  <c r="L123" i="15"/>
  <c r="B123" i="15"/>
  <c r="Z122" i="15"/>
  <c r="X122" i="15"/>
  <c r="N122" i="15"/>
  <c r="L122" i="15"/>
  <c r="B122" i="15"/>
  <c r="Z121" i="15"/>
  <c r="X121" i="15"/>
  <c r="N121" i="15"/>
  <c r="L121" i="15"/>
  <c r="B121" i="15"/>
  <c r="Z120" i="15"/>
  <c r="X120" i="15"/>
  <c r="L120" i="15"/>
  <c r="N120" i="15" s="1"/>
  <c r="B120" i="15"/>
  <c r="X119" i="15"/>
  <c r="Z119" i="15" s="1"/>
  <c r="N119" i="15"/>
  <c r="L119" i="15"/>
  <c r="B119" i="15"/>
  <c r="Z118" i="15"/>
  <c r="X118" i="15"/>
  <c r="N118" i="15"/>
  <c r="L118" i="15"/>
  <c r="B118" i="15"/>
  <c r="X117" i="15"/>
  <c r="Z117" i="15" s="1"/>
  <c r="L117" i="15"/>
  <c r="N117" i="15" s="1"/>
  <c r="B117" i="15"/>
  <c r="Z116" i="15"/>
  <c r="X116" i="15"/>
  <c r="L116" i="15"/>
  <c r="N116" i="15" s="1"/>
  <c r="B116" i="15"/>
  <c r="X115" i="15"/>
  <c r="T115" i="15"/>
  <c r="P115" i="15"/>
  <c r="H115" i="15"/>
  <c r="D115" i="15"/>
  <c r="L115" i="15" s="1"/>
  <c r="B115" i="15"/>
  <c r="Z114" i="15"/>
  <c r="X114" i="15"/>
  <c r="V114" i="15"/>
  <c r="T114" i="15"/>
  <c r="P114" i="15"/>
  <c r="L114" i="15"/>
  <c r="H114" i="15"/>
  <c r="N114" i="15" s="1"/>
  <c r="D114" i="15"/>
  <c r="Z110" i="15"/>
  <c r="X110" i="15"/>
  <c r="V110" i="15"/>
  <c r="N110" i="15"/>
  <c r="L110" i="15"/>
  <c r="B110" i="15"/>
  <c r="Z109" i="15"/>
  <c r="X109" i="15"/>
  <c r="N109" i="15"/>
  <c r="L109" i="15"/>
  <c r="B109" i="15"/>
  <c r="Z108" i="15"/>
  <c r="X108" i="15"/>
  <c r="V108" i="15"/>
  <c r="N108" i="15"/>
  <c r="L108" i="15"/>
  <c r="B108" i="15"/>
  <c r="Z107" i="15"/>
  <c r="X107" i="15"/>
  <c r="N107" i="15"/>
  <c r="L107" i="15"/>
  <c r="B107" i="15"/>
  <c r="Z106" i="15"/>
  <c r="X106" i="15"/>
  <c r="V106" i="15"/>
  <c r="N106" i="15"/>
  <c r="L106" i="15"/>
  <c r="B106" i="15"/>
  <c r="Z105" i="15"/>
  <c r="X105" i="15"/>
  <c r="N105" i="15"/>
  <c r="L105" i="15"/>
  <c r="B105" i="15"/>
  <c r="Z104" i="15"/>
  <c r="X104" i="15"/>
  <c r="V104" i="15"/>
  <c r="N104" i="15"/>
  <c r="L104" i="15"/>
  <c r="B104" i="15"/>
  <c r="Z103" i="15"/>
  <c r="X103" i="15"/>
  <c r="N103" i="15"/>
  <c r="L103" i="15"/>
  <c r="B103" i="15"/>
  <c r="Z102" i="15"/>
  <c r="X102" i="15"/>
  <c r="V102" i="15"/>
  <c r="N102" i="15"/>
  <c r="L102" i="15"/>
  <c r="B102" i="15"/>
  <c r="Z101" i="15"/>
  <c r="X101" i="15"/>
  <c r="N101" i="15"/>
  <c r="L101" i="15"/>
  <c r="B101" i="15"/>
  <c r="Z100" i="15"/>
  <c r="X100" i="15"/>
  <c r="V100" i="15"/>
  <c r="N100" i="15"/>
  <c r="L100" i="15"/>
  <c r="B100" i="15"/>
  <c r="Z99" i="15"/>
  <c r="X99" i="15"/>
  <c r="N99" i="15"/>
  <c r="L99" i="15"/>
  <c r="B99" i="15"/>
  <c r="Z98" i="15"/>
  <c r="X98" i="15"/>
  <c r="V98" i="15"/>
  <c r="N98" i="15"/>
  <c r="L98" i="15"/>
  <c r="B98" i="15"/>
  <c r="Z97" i="15"/>
  <c r="X97" i="15"/>
  <c r="N97" i="15"/>
  <c r="L97" i="15"/>
  <c r="B97" i="15"/>
  <c r="Z96" i="15"/>
  <c r="X96" i="15"/>
  <c r="V96" i="15"/>
  <c r="N96" i="15"/>
  <c r="L96" i="15"/>
  <c r="B96" i="15"/>
  <c r="Z95" i="15"/>
  <c r="X95" i="15"/>
  <c r="N95" i="15"/>
  <c r="L95" i="15"/>
  <c r="B95" i="15"/>
  <c r="Z94" i="15"/>
  <c r="X94" i="15"/>
  <c r="V94" i="15"/>
  <c r="N94" i="15"/>
  <c r="L94" i="15"/>
  <c r="B94" i="15"/>
  <c r="Z93" i="15"/>
  <c r="X93" i="15"/>
  <c r="N93" i="15"/>
  <c r="L93" i="15"/>
  <c r="B93" i="15"/>
  <c r="Z92" i="15"/>
  <c r="X92" i="15"/>
  <c r="V92" i="15"/>
  <c r="N92" i="15"/>
  <c r="L92" i="15"/>
  <c r="B92" i="15"/>
  <c r="Z91" i="15"/>
  <c r="X91" i="15"/>
  <c r="N91" i="15"/>
  <c r="L91" i="15"/>
  <c r="B91" i="15"/>
  <c r="Z90" i="15"/>
  <c r="X90" i="15"/>
  <c r="V90" i="15"/>
  <c r="N90" i="15"/>
  <c r="L90" i="15"/>
  <c r="B90" i="15"/>
  <c r="Z89" i="15"/>
  <c r="X89" i="15"/>
  <c r="N89" i="15"/>
  <c r="L89" i="15"/>
  <c r="B89" i="15"/>
  <c r="Z88" i="15"/>
  <c r="X88" i="15"/>
  <c r="V88" i="15"/>
  <c r="N88" i="15"/>
  <c r="L88" i="15"/>
  <c r="B88" i="15"/>
  <c r="Z87" i="15"/>
  <c r="X87" i="15"/>
  <c r="N87" i="15"/>
  <c r="L87" i="15"/>
  <c r="B87" i="15"/>
  <c r="Z86" i="15"/>
  <c r="X86" i="15"/>
  <c r="V86" i="15"/>
  <c r="N86" i="15"/>
  <c r="L86" i="15"/>
  <c r="B86" i="15"/>
  <c r="Z85" i="15"/>
  <c r="X85" i="15"/>
  <c r="N85" i="15"/>
  <c r="L85" i="15"/>
  <c r="B85" i="15"/>
  <c r="Z84" i="15"/>
  <c r="X84" i="15"/>
  <c r="V84" i="15"/>
  <c r="N84" i="15"/>
  <c r="L84" i="15"/>
  <c r="B84" i="15"/>
  <c r="Z83" i="15"/>
  <c r="X83" i="15"/>
  <c r="N83" i="15"/>
  <c r="L83" i="15"/>
  <c r="B83" i="15"/>
  <c r="Z82" i="15"/>
  <c r="X82" i="15"/>
  <c r="V82" i="15"/>
  <c r="N82" i="15"/>
  <c r="L82" i="15"/>
  <c r="B82" i="15"/>
  <c r="Z81" i="15"/>
  <c r="X81" i="15"/>
  <c r="N81" i="15"/>
  <c r="L81" i="15"/>
  <c r="B81" i="15"/>
  <c r="Z80" i="15"/>
  <c r="X80" i="15"/>
  <c r="V80" i="15"/>
  <c r="N80" i="15"/>
  <c r="L80" i="15"/>
  <c r="B80" i="15"/>
  <c r="Z79" i="15"/>
  <c r="X79" i="15"/>
  <c r="N79" i="15"/>
  <c r="L79" i="15"/>
  <c r="B79" i="15"/>
  <c r="Z78" i="15"/>
  <c r="X78" i="15"/>
  <c r="V78" i="15"/>
  <c r="N78" i="15"/>
  <c r="L78" i="15"/>
  <c r="B78" i="15"/>
  <c r="X77" i="15"/>
  <c r="Z77" i="15" s="1"/>
  <c r="L77" i="15"/>
  <c r="N77" i="15" s="1"/>
  <c r="B77" i="15"/>
  <c r="X76" i="15"/>
  <c r="V76" i="15"/>
  <c r="T76" i="15"/>
  <c r="Z76" i="15" s="1"/>
  <c r="P76" i="15"/>
  <c r="N76" i="15"/>
  <c r="L76" i="15"/>
  <c r="J76" i="15"/>
  <c r="H76" i="15"/>
  <c r="D76" i="15"/>
  <c r="Z74" i="15"/>
  <c r="P74" i="15"/>
  <c r="X74" i="15" s="1"/>
  <c r="N74" i="15"/>
  <c r="D74" i="15"/>
  <c r="L74" i="15" s="1"/>
  <c r="B74" i="15"/>
  <c r="Z73" i="15"/>
  <c r="X73" i="15"/>
  <c r="P73" i="15"/>
  <c r="N73" i="15"/>
  <c r="L73" i="15"/>
  <c r="D73" i="15"/>
  <c r="B73" i="15"/>
  <c r="Z72" i="15"/>
  <c r="P72" i="15"/>
  <c r="X72" i="15" s="1"/>
  <c r="N72" i="15"/>
  <c r="L72" i="15"/>
  <c r="D72" i="15"/>
  <c r="B72" i="15"/>
  <c r="Z71" i="15"/>
  <c r="P71" i="15"/>
  <c r="X71" i="15" s="1"/>
  <c r="N71" i="15"/>
  <c r="D71" i="15"/>
  <c r="L71" i="15" s="1"/>
  <c r="B71" i="15"/>
  <c r="Z70" i="15"/>
  <c r="P70" i="15"/>
  <c r="X70" i="15" s="1"/>
  <c r="N70" i="15"/>
  <c r="L70" i="15"/>
  <c r="D70" i="15"/>
  <c r="B70" i="15"/>
  <c r="Z69" i="15"/>
  <c r="P69" i="15"/>
  <c r="X69" i="15" s="1"/>
  <c r="N69" i="15"/>
  <c r="D69" i="15"/>
  <c r="L69" i="15" s="1"/>
  <c r="B69" i="15"/>
  <c r="Z68" i="15"/>
  <c r="P68" i="15"/>
  <c r="X68" i="15" s="1"/>
  <c r="N68" i="15"/>
  <c r="D68" i="15"/>
  <c r="L68" i="15" s="1"/>
  <c r="B68" i="15"/>
  <c r="Z67" i="15"/>
  <c r="X67" i="15"/>
  <c r="P67" i="15"/>
  <c r="N67" i="15"/>
  <c r="D67" i="15"/>
  <c r="L67" i="15" s="1"/>
  <c r="B67" i="15"/>
  <c r="Z66" i="15"/>
  <c r="X66" i="15"/>
  <c r="P66" i="15"/>
  <c r="N66" i="15"/>
  <c r="D66" i="15"/>
  <c r="L66" i="15" s="1"/>
  <c r="B66" i="15"/>
  <c r="Z65" i="15"/>
  <c r="P65" i="15"/>
  <c r="X65" i="15" s="1"/>
  <c r="N65" i="15"/>
  <c r="D65" i="15"/>
  <c r="L65" i="15" s="1"/>
  <c r="B65" i="15"/>
  <c r="Z64" i="15"/>
  <c r="X64" i="15"/>
  <c r="P64" i="15"/>
  <c r="N64" i="15"/>
  <c r="L64" i="15"/>
  <c r="D64" i="15"/>
  <c r="B64" i="15"/>
  <c r="Z63" i="15"/>
  <c r="X63" i="15"/>
  <c r="P63" i="15"/>
  <c r="N63" i="15"/>
  <c r="L63" i="15"/>
  <c r="D63" i="15"/>
  <c r="B63" i="15"/>
  <c r="Z62" i="15"/>
  <c r="P62" i="15"/>
  <c r="X62" i="15" s="1"/>
  <c r="N62" i="15"/>
  <c r="D62" i="15"/>
  <c r="L62" i="15" s="1"/>
  <c r="B62" i="15"/>
  <c r="Z61" i="15"/>
  <c r="X61" i="15"/>
  <c r="P61" i="15"/>
  <c r="N61" i="15"/>
  <c r="L61" i="15"/>
  <c r="D61" i="15"/>
  <c r="B61" i="15"/>
  <c r="Z60" i="15"/>
  <c r="P60" i="15"/>
  <c r="X60" i="15" s="1"/>
  <c r="N60" i="15"/>
  <c r="L60" i="15"/>
  <c r="D60" i="15"/>
  <c r="B60" i="15"/>
  <c r="Z59" i="15"/>
  <c r="P59" i="15"/>
  <c r="X59" i="15" s="1"/>
  <c r="N59" i="15"/>
  <c r="D59" i="15"/>
  <c r="L59" i="15" s="1"/>
  <c r="B59" i="15"/>
  <c r="Z58" i="15"/>
  <c r="P58" i="15"/>
  <c r="X58" i="15" s="1"/>
  <c r="N58" i="15"/>
  <c r="L58" i="15"/>
  <c r="D58" i="15"/>
  <c r="B58" i="15"/>
  <c r="Z57" i="15"/>
  <c r="P57" i="15"/>
  <c r="X57" i="15" s="1"/>
  <c r="N57" i="15"/>
  <c r="D57" i="15"/>
  <c r="L57" i="15" s="1"/>
  <c r="B57" i="15"/>
  <c r="Z56" i="15"/>
  <c r="P56" i="15"/>
  <c r="X56" i="15" s="1"/>
  <c r="N56" i="15"/>
  <c r="D56" i="15"/>
  <c r="L56" i="15" s="1"/>
  <c r="B56" i="15"/>
  <c r="Z55" i="15"/>
  <c r="X55" i="15"/>
  <c r="P55" i="15"/>
  <c r="N55" i="15"/>
  <c r="D55" i="15"/>
  <c r="L55" i="15" s="1"/>
  <c r="B55" i="15"/>
  <c r="Z54" i="15"/>
  <c r="X54" i="15"/>
  <c r="P54" i="15"/>
  <c r="N54" i="15"/>
  <c r="D54" i="15"/>
  <c r="L54" i="15" s="1"/>
  <c r="B54" i="15"/>
  <c r="Z53" i="15"/>
  <c r="P53" i="15"/>
  <c r="X53" i="15" s="1"/>
  <c r="N53" i="15"/>
  <c r="D53" i="15"/>
  <c r="L53" i="15" s="1"/>
  <c r="B53" i="15"/>
  <c r="Z52" i="15"/>
  <c r="X52" i="15"/>
  <c r="P52" i="15"/>
  <c r="N52" i="15"/>
  <c r="L52" i="15"/>
  <c r="D52" i="15"/>
  <c r="B52" i="15"/>
  <c r="Z51" i="15"/>
  <c r="X51" i="15"/>
  <c r="P51" i="15"/>
  <c r="N51" i="15"/>
  <c r="L51" i="15"/>
  <c r="D51" i="15"/>
  <c r="B51" i="15"/>
  <c r="Z50" i="15"/>
  <c r="P50" i="15"/>
  <c r="X50" i="15" s="1"/>
  <c r="N50" i="15"/>
  <c r="D50" i="15"/>
  <c r="L50" i="15" s="1"/>
  <c r="B50" i="15"/>
  <c r="Z49" i="15"/>
  <c r="X49" i="15"/>
  <c r="P49" i="15"/>
  <c r="N49" i="15"/>
  <c r="L49" i="15"/>
  <c r="D49" i="15"/>
  <c r="B49" i="15"/>
  <c r="Z48" i="15"/>
  <c r="P48" i="15"/>
  <c r="X48" i="15" s="1"/>
  <c r="N48" i="15"/>
  <c r="L48" i="15"/>
  <c r="D48" i="15"/>
  <c r="B48" i="15"/>
  <c r="Z47" i="15"/>
  <c r="P47" i="15"/>
  <c r="X47" i="15" s="1"/>
  <c r="N47" i="15"/>
  <c r="D47" i="15"/>
  <c r="L47" i="15" s="1"/>
  <c r="B47" i="15"/>
  <c r="Z46" i="15"/>
  <c r="P46" i="15"/>
  <c r="X46" i="15" s="1"/>
  <c r="N46" i="15"/>
  <c r="L46" i="15"/>
  <c r="D46" i="15"/>
  <c r="B46" i="15"/>
  <c r="Z45" i="15"/>
  <c r="P45" i="15"/>
  <c r="X45" i="15" s="1"/>
  <c r="N45" i="15"/>
  <c r="D45" i="15"/>
  <c r="L45" i="15" s="1"/>
  <c r="B45" i="15"/>
  <c r="Z44" i="15"/>
  <c r="P44" i="15"/>
  <c r="X44" i="15" s="1"/>
  <c r="N44" i="15"/>
  <c r="D44" i="15"/>
  <c r="L44" i="15" s="1"/>
  <c r="B44" i="15"/>
  <c r="Z43" i="15"/>
  <c r="X43" i="15"/>
  <c r="P43" i="15"/>
  <c r="N43" i="15"/>
  <c r="D43" i="15"/>
  <c r="L43" i="15" s="1"/>
  <c r="B43" i="15"/>
  <c r="Z42" i="15"/>
  <c r="X42" i="15"/>
  <c r="P42" i="15"/>
  <c r="N42" i="15"/>
  <c r="D42" i="15"/>
  <c r="L42" i="15" s="1"/>
  <c r="B42" i="15"/>
  <c r="Z41" i="15"/>
  <c r="P41" i="15"/>
  <c r="X41" i="15" s="1"/>
  <c r="N41" i="15"/>
  <c r="D41" i="15"/>
  <c r="L41" i="15" s="1"/>
  <c r="B41" i="15"/>
  <c r="Z40" i="15"/>
  <c r="X40" i="15"/>
  <c r="P40" i="15"/>
  <c r="N40" i="15"/>
  <c r="L40" i="15"/>
  <c r="D40" i="15"/>
  <c r="B40" i="15"/>
  <c r="Z39" i="15"/>
  <c r="X39" i="15"/>
  <c r="P39" i="15"/>
  <c r="N39" i="15"/>
  <c r="L39" i="15"/>
  <c r="D39" i="15"/>
  <c r="B39" i="15"/>
  <c r="Z38" i="15"/>
  <c r="P38" i="15"/>
  <c r="X38" i="15" s="1"/>
  <c r="N38" i="15"/>
  <c r="L38" i="15"/>
  <c r="D38" i="15"/>
  <c r="B38" i="15"/>
  <c r="Z37" i="15"/>
  <c r="X37" i="15"/>
  <c r="P37" i="15"/>
  <c r="N37" i="15"/>
  <c r="L37" i="15"/>
  <c r="D37" i="15"/>
  <c r="B37" i="15"/>
  <c r="Z36" i="15"/>
  <c r="P36" i="15"/>
  <c r="X36" i="15" s="1"/>
  <c r="N36" i="15"/>
  <c r="L36" i="15"/>
  <c r="D36" i="15"/>
  <c r="B36" i="15"/>
  <c r="Z35" i="15"/>
  <c r="P35" i="15"/>
  <c r="X35" i="15" s="1"/>
  <c r="N35" i="15"/>
  <c r="D35" i="15"/>
  <c r="L35" i="15" s="1"/>
  <c r="B35" i="15"/>
  <c r="P34" i="15"/>
  <c r="X34" i="15" s="1"/>
  <c r="Z34" i="15" s="1"/>
  <c r="L34" i="15"/>
  <c r="N34" i="15" s="1"/>
  <c r="D34" i="15"/>
  <c r="B34" i="15"/>
  <c r="Z33" i="15"/>
  <c r="P33" i="15"/>
  <c r="X33" i="15" s="1"/>
  <c r="N33" i="15"/>
  <c r="D33" i="15"/>
  <c r="L33" i="15" s="1"/>
  <c r="B33" i="15"/>
  <c r="Z32" i="15"/>
  <c r="P32" i="15"/>
  <c r="X32" i="15" s="1"/>
  <c r="N32" i="15"/>
  <c r="D32" i="15"/>
  <c r="L32" i="15" s="1"/>
  <c r="B32" i="15"/>
  <c r="Z31" i="15"/>
  <c r="X31" i="15"/>
  <c r="P31" i="15"/>
  <c r="N31" i="15"/>
  <c r="D31" i="15"/>
  <c r="L31" i="15" s="1"/>
  <c r="B31" i="15"/>
  <c r="Z30" i="15"/>
  <c r="X30" i="15"/>
  <c r="P30" i="15"/>
  <c r="N30" i="15"/>
  <c r="D30" i="15"/>
  <c r="L30" i="15" s="1"/>
  <c r="B30" i="15"/>
  <c r="Z29" i="15"/>
  <c r="X29" i="15"/>
  <c r="P29" i="15"/>
  <c r="N29" i="15"/>
  <c r="D29" i="15"/>
  <c r="L29" i="15" s="1"/>
  <c r="B29" i="15"/>
  <c r="Z28" i="15"/>
  <c r="X28" i="15"/>
  <c r="P28" i="15"/>
  <c r="N28" i="15"/>
  <c r="L28" i="15"/>
  <c r="D28" i="15"/>
  <c r="B28" i="15"/>
  <c r="Z27" i="15"/>
  <c r="X27" i="15"/>
  <c r="P27" i="15"/>
  <c r="N27" i="15"/>
  <c r="L27" i="15"/>
  <c r="D27" i="15"/>
  <c r="B27" i="15"/>
  <c r="Z26" i="15"/>
  <c r="P26" i="15"/>
  <c r="X26" i="15" s="1"/>
  <c r="N26" i="15"/>
  <c r="L26" i="15"/>
  <c r="D26" i="15"/>
  <c r="B26" i="15"/>
  <c r="Z25" i="15"/>
  <c r="X25" i="15"/>
  <c r="P25" i="15"/>
  <c r="N25" i="15"/>
  <c r="L25" i="15"/>
  <c r="D25" i="15"/>
  <c r="B25" i="15"/>
  <c r="Z24" i="15"/>
  <c r="P24" i="15"/>
  <c r="X24" i="15" s="1"/>
  <c r="N24" i="15"/>
  <c r="L24" i="15"/>
  <c r="D24" i="15"/>
  <c r="B24" i="15"/>
  <c r="Z23" i="15"/>
  <c r="P23" i="15"/>
  <c r="X23" i="15" s="1"/>
  <c r="N23" i="15"/>
  <c r="D23" i="15"/>
  <c r="L23" i="15" s="1"/>
  <c r="B23" i="15"/>
  <c r="Z22" i="15"/>
  <c r="P22" i="15"/>
  <c r="X22" i="15" s="1"/>
  <c r="N22" i="15"/>
  <c r="L22" i="15"/>
  <c r="D22" i="15"/>
  <c r="B22" i="15"/>
  <c r="Z21" i="15"/>
  <c r="P21" i="15"/>
  <c r="X21" i="15" s="1"/>
  <c r="N21" i="15"/>
  <c r="D21" i="15"/>
  <c r="L21" i="15" s="1"/>
  <c r="B21" i="15"/>
  <c r="Z20" i="15"/>
  <c r="P20" i="15"/>
  <c r="X20" i="15" s="1"/>
  <c r="N20" i="15"/>
  <c r="D20" i="15"/>
  <c r="L20" i="15" s="1"/>
  <c r="B20" i="15"/>
  <c r="Z19" i="15"/>
  <c r="X19" i="15"/>
  <c r="P19" i="15"/>
  <c r="N19" i="15"/>
  <c r="D19" i="15"/>
  <c r="L19" i="15" s="1"/>
  <c r="B19" i="15"/>
  <c r="Z18" i="15"/>
  <c r="X18" i="15"/>
  <c r="P18" i="15"/>
  <c r="N18" i="15"/>
  <c r="D18" i="15"/>
  <c r="L18" i="15" s="1"/>
  <c r="B18" i="15"/>
  <c r="Z17" i="15"/>
  <c r="X17" i="15"/>
  <c r="P17" i="15"/>
  <c r="N17" i="15"/>
  <c r="D17" i="15"/>
  <c r="L17" i="15" s="1"/>
  <c r="B17" i="15"/>
  <c r="Z16" i="15"/>
  <c r="X16" i="15"/>
  <c r="P16" i="15"/>
  <c r="N16" i="15"/>
  <c r="L16" i="15"/>
  <c r="D16" i="15"/>
  <c r="B16" i="15"/>
  <c r="Z15" i="15"/>
  <c r="X15" i="15"/>
  <c r="P15" i="15"/>
  <c r="N15" i="15"/>
  <c r="L15" i="15"/>
  <c r="D15" i="15"/>
  <c r="B15" i="15"/>
  <c r="Z14" i="15"/>
  <c r="P14" i="15"/>
  <c r="N14" i="15"/>
  <c r="L14" i="15"/>
  <c r="D14" i="15"/>
  <c r="B14" i="15"/>
  <c r="X13" i="15"/>
  <c r="Z13" i="15" s="1"/>
  <c r="P13" i="15"/>
  <c r="L13" i="15"/>
  <c r="N13" i="15" s="1"/>
  <c r="D13" i="15"/>
  <c r="B13" i="15"/>
  <c r="T12" i="15"/>
  <c r="V189" i="15" s="1"/>
  <c r="H12" i="15"/>
  <c r="J208" i="15" s="1"/>
  <c r="D4" i="15"/>
  <c r="X227" i="12"/>
  <c r="Z227" i="12" s="1"/>
  <c r="L227" i="12"/>
  <c r="N227" i="12" s="1"/>
  <c r="Z223" i="12"/>
  <c r="P223" i="12"/>
  <c r="X223" i="12" s="1"/>
  <c r="N223" i="12"/>
  <c r="D223" i="12"/>
  <c r="B223" i="12"/>
  <c r="Z222" i="12"/>
  <c r="X222" i="12"/>
  <c r="P222" i="12"/>
  <c r="N222" i="12"/>
  <c r="L222" i="12"/>
  <c r="D222" i="12"/>
  <c r="B222" i="12"/>
  <c r="X221" i="12"/>
  <c r="Z221" i="12" s="1"/>
  <c r="P221" i="12"/>
  <c r="P219" i="12" s="1"/>
  <c r="L221" i="12"/>
  <c r="N221" i="12" s="1"/>
  <c r="J221" i="12"/>
  <c r="D221" i="12"/>
  <c r="B221" i="12"/>
  <c r="Z220" i="12"/>
  <c r="X220" i="12"/>
  <c r="V220" i="12"/>
  <c r="P220" i="12"/>
  <c r="D220" i="12"/>
  <c r="L220" i="12" s="1"/>
  <c r="N220" i="12" s="1"/>
  <c r="B220" i="12"/>
  <c r="X219" i="12"/>
  <c r="T219" i="12"/>
  <c r="H219" i="12"/>
  <c r="X217" i="12"/>
  <c r="Z217" i="12" s="1"/>
  <c r="N217" i="12"/>
  <c r="L217" i="12"/>
  <c r="B217" i="12"/>
  <c r="Z216" i="12"/>
  <c r="T216" i="12"/>
  <c r="P216" i="12"/>
  <c r="X216" i="12" s="1"/>
  <c r="H216" i="12"/>
  <c r="D216" i="12"/>
  <c r="L216" i="12" s="1"/>
  <c r="N216" i="12" s="1"/>
  <c r="B216" i="12"/>
  <c r="X215" i="12"/>
  <c r="Z215" i="12" s="1"/>
  <c r="L215" i="12"/>
  <c r="N215" i="12" s="1"/>
  <c r="B215" i="12"/>
  <c r="X214" i="12"/>
  <c r="Z214" i="12" s="1"/>
  <c r="V214" i="12"/>
  <c r="N214" i="12"/>
  <c r="L214" i="12"/>
  <c r="J214" i="12"/>
  <c r="B214" i="12"/>
  <c r="Z213" i="12"/>
  <c r="X213" i="12"/>
  <c r="N213" i="12"/>
  <c r="L213" i="12"/>
  <c r="B213" i="12"/>
  <c r="Z212" i="12"/>
  <c r="X212" i="12"/>
  <c r="V212" i="12"/>
  <c r="T212" i="12"/>
  <c r="P212" i="12"/>
  <c r="L212" i="12"/>
  <c r="H212" i="12"/>
  <c r="N212" i="12" s="1"/>
  <c r="D212" i="12"/>
  <c r="B212" i="12"/>
  <c r="X211" i="12"/>
  <c r="Z211" i="12" s="1"/>
  <c r="N211" i="12"/>
  <c r="L211" i="12"/>
  <c r="B211" i="12"/>
  <c r="V210" i="12"/>
  <c r="T210" i="12"/>
  <c r="X210" i="12" s="1"/>
  <c r="Z210" i="12" s="1"/>
  <c r="P210" i="12"/>
  <c r="H210" i="12"/>
  <c r="D210" i="12"/>
  <c r="B210" i="12"/>
  <c r="X209" i="12"/>
  <c r="Z209" i="12" s="1"/>
  <c r="N209" i="12"/>
  <c r="L209" i="12"/>
  <c r="B209" i="12"/>
  <c r="Z208" i="12"/>
  <c r="X208" i="12"/>
  <c r="N208" i="12"/>
  <c r="L208" i="12"/>
  <c r="B208" i="12"/>
  <c r="T207" i="12"/>
  <c r="P207" i="12"/>
  <c r="X207" i="12" s="1"/>
  <c r="H207" i="12"/>
  <c r="D207" i="12"/>
  <c r="B207" i="12"/>
  <c r="X206" i="12"/>
  <c r="Z206" i="12" s="1"/>
  <c r="V206" i="12"/>
  <c r="N206" i="12"/>
  <c r="L206" i="12"/>
  <c r="B206" i="12"/>
  <c r="X205" i="12"/>
  <c r="Z205" i="12" s="1"/>
  <c r="L205" i="12"/>
  <c r="N205" i="12" s="1"/>
  <c r="B205" i="12"/>
  <c r="Z204" i="12"/>
  <c r="X204" i="12"/>
  <c r="V204" i="12"/>
  <c r="L204" i="12"/>
  <c r="N204" i="12" s="1"/>
  <c r="B204" i="12"/>
  <c r="X203" i="12"/>
  <c r="Z203" i="12" s="1"/>
  <c r="N203" i="12"/>
  <c r="L203" i="12"/>
  <c r="B203" i="12"/>
  <c r="X202" i="12"/>
  <c r="Z202" i="12" s="1"/>
  <c r="V202" i="12"/>
  <c r="N202" i="12"/>
  <c r="L202" i="12"/>
  <c r="J202" i="12"/>
  <c r="B202" i="12"/>
  <c r="X201" i="12"/>
  <c r="Z201" i="12" s="1"/>
  <c r="L201" i="12"/>
  <c r="N201" i="12" s="1"/>
  <c r="B201" i="12"/>
  <c r="Z200" i="12"/>
  <c r="X200" i="12"/>
  <c r="V200" i="12"/>
  <c r="L200" i="12"/>
  <c r="N200" i="12" s="1"/>
  <c r="B200" i="12"/>
  <c r="X199" i="12"/>
  <c r="Z199" i="12" s="1"/>
  <c r="L199" i="12"/>
  <c r="N199" i="12" s="1"/>
  <c r="B199" i="12"/>
  <c r="X198" i="12"/>
  <c r="Z198" i="12" s="1"/>
  <c r="V198" i="12"/>
  <c r="N198" i="12"/>
  <c r="L198" i="12"/>
  <c r="B198" i="12"/>
  <c r="T197" i="12"/>
  <c r="Z197" i="12" s="1"/>
  <c r="P197" i="12"/>
  <c r="X197" i="12" s="1"/>
  <c r="H197" i="12"/>
  <c r="D197" i="12"/>
  <c r="L197" i="12" s="1"/>
  <c r="B197" i="12"/>
  <c r="X196" i="12"/>
  <c r="Z196" i="12" s="1"/>
  <c r="N196" i="12"/>
  <c r="L196" i="12"/>
  <c r="B196" i="12"/>
  <c r="X195" i="12"/>
  <c r="Z195" i="12" s="1"/>
  <c r="N195" i="12"/>
  <c r="L195" i="12"/>
  <c r="B195" i="12"/>
  <c r="V194" i="12"/>
  <c r="T194" i="12"/>
  <c r="X194" i="12" s="1"/>
  <c r="Z194" i="12" s="1"/>
  <c r="P194" i="12"/>
  <c r="H194" i="12"/>
  <c r="D194" i="12"/>
  <c r="B194" i="12"/>
  <c r="X193" i="12"/>
  <c r="Z193" i="12" s="1"/>
  <c r="N193" i="12"/>
  <c r="L193" i="12"/>
  <c r="B193" i="12"/>
  <c r="Z192" i="12"/>
  <c r="X192" i="12"/>
  <c r="N192" i="12"/>
  <c r="L192" i="12"/>
  <c r="B192" i="12"/>
  <c r="Z191" i="12"/>
  <c r="X191" i="12"/>
  <c r="L191" i="12"/>
  <c r="N191" i="12" s="1"/>
  <c r="B191" i="12"/>
  <c r="Z190" i="12"/>
  <c r="X190" i="12"/>
  <c r="N190" i="12"/>
  <c r="L190" i="12"/>
  <c r="B190" i="12"/>
  <c r="X189" i="12"/>
  <c r="Z189" i="12" s="1"/>
  <c r="N189" i="12"/>
  <c r="L189" i="12"/>
  <c r="B189" i="12"/>
  <c r="Z188" i="12"/>
  <c r="T188" i="12"/>
  <c r="P188" i="12"/>
  <c r="X188" i="12" s="1"/>
  <c r="H188" i="12"/>
  <c r="D188" i="12"/>
  <c r="L188" i="12" s="1"/>
  <c r="N188" i="12" s="1"/>
  <c r="B188" i="12"/>
  <c r="X187" i="12"/>
  <c r="Z187" i="12" s="1"/>
  <c r="L187" i="12"/>
  <c r="N187" i="12" s="1"/>
  <c r="B187" i="12"/>
  <c r="X186" i="12"/>
  <c r="Z186" i="12" s="1"/>
  <c r="V186" i="12"/>
  <c r="N186" i="12"/>
  <c r="L186" i="12"/>
  <c r="J186" i="12"/>
  <c r="B186" i="12"/>
  <c r="Z185" i="12"/>
  <c r="X185" i="12"/>
  <c r="L185" i="12"/>
  <c r="N185" i="12" s="1"/>
  <c r="B185" i="12"/>
  <c r="Z184" i="12"/>
  <c r="X184" i="12"/>
  <c r="V184" i="12"/>
  <c r="L184" i="12"/>
  <c r="N184" i="12" s="1"/>
  <c r="B184" i="12"/>
  <c r="T183" i="12"/>
  <c r="P183" i="12"/>
  <c r="X183" i="12" s="1"/>
  <c r="H183" i="12"/>
  <c r="D183" i="12"/>
  <c r="L183" i="12" s="1"/>
  <c r="B183" i="12"/>
  <c r="Z182" i="12"/>
  <c r="X182" i="12"/>
  <c r="V182" i="12"/>
  <c r="N182" i="12"/>
  <c r="L182" i="12"/>
  <c r="B182" i="12"/>
  <c r="X181" i="12"/>
  <c r="Z181" i="12" s="1"/>
  <c r="L181" i="12"/>
  <c r="N181" i="12" s="1"/>
  <c r="B181" i="12"/>
  <c r="X180" i="12"/>
  <c r="Z180" i="12" s="1"/>
  <c r="N180" i="12"/>
  <c r="L180" i="12"/>
  <c r="B180" i="12"/>
  <c r="X179" i="12"/>
  <c r="Z179" i="12" s="1"/>
  <c r="N179" i="12"/>
  <c r="L179" i="12"/>
  <c r="B179" i="12"/>
  <c r="V178" i="12"/>
  <c r="T178" i="12"/>
  <c r="X178" i="12" s="1"/>
  <c r="Z178" i="12" s="1"/>
  <c r="P178" i="12"/>
  <c r="H178" i="12"/>
  <c r="D178" i="12"/>
  <c r="B178" i="12"/>
  <c r="X177" i="12"/>
  <c r="Z177" i="12" s="1"/>
  <c r="N177" i="12"/>
  <c r="L177" i="12"/>
  <c r="B177" i="12"/>
  <c r="Z176" i="12"/>
  <c r="T176" i="12"/>
  <c r="P176" i="12"/>
  <c r="X176" i="12" s="1"/>
  <c r="H176" i="12"/>
  <c r="D176" i="12"/>
  <c r="L176" i="12" s="1"/>
  <c r="N176" i="12" s="1"/>
  <c r="B176" i="12"/>
  <c r="X175" i="12"/>
  <c r="Z175" i="12" s="1"/>
  <c r="N175" i="12"/>
  <c r="L175" i="12"/>
  <c r="B175" i="12"/>
  <c r="X174" i="12"/>
  <c r="V174" i="12"/>
  <c r="T174" i="12"/>
  <c r="Z174" i="12" s="1"/>
  <c r="P174" i="12"/>
  <c r="N174" i="12"/>
  <c r="L174" i="12"/>
  <c r="H174" i="12"/>
  <c r="D174" i="12"/>
  <c r="B174" i="12"/>
  <c r="X173" i="12"/>
  <c r="Z173" i="12" s="1"/>
  <c r="L173" i="12"/>
  <c r="N173" i="12" s="1"/>
  <c r="B173" i="12"/>
  <c r="T172" i="12"/>
  <c r="P172" i="12"/>
  <c r="H172" i="12"/>
  <c r="L172" i="12" s="1"/>
  <c r="N172" i="12" s="1"/>
  <c r="D172" i="12"/>
  <c r="B172" i="12"/>
  <c r="Z171" i="12"/>
  <c r="X171" i="12"/>
  <c r="L171" i="12"/>
  <c r="N171" i="12" s="1"/>
  <c r="B171" i="12"/>
  <c r="Z170" i="12"/>
  <c r="T170" i="12"/>
  <c r="P170" i="12"/>
  <c r="X170" i="12" s="1"/>
  <c r="N170" i="12"/>
  <c r="H170" i="12"/>
  <c r="D170" i="12"/>
  <c r="L170" i="12" s="1"/>
  <c r="B170" i="12"/>
  <c r="Z169" i="12"/>
  <c r="X169" i="12"/>
  <c r="L169" i="12"/>
  <c r="N169" i="12" s="1"/>
  <c r="B169" i="12"/>
  <c r="Z168" i="12"/>
  <c r="X168" i="12"/>
  <c r="V168" i="12"/>
  <c r="T168" i="12"/>
  <c r="P168" i="12"/>
  <c r="L168" i="12"/>
  <c r="H168" i="12"/>
  <c r="N168" i="12" s="1"/>
  <c r="D168" i="12"/>
  <c r="B168" i="12"/>
  <c r="X167" i="12"/>
  <c r="Z167" i="12" s="1"/>
  <c r="N167" i="12"/>
  <c r="L167" i="12"/>
  <c r="B167" i="12"/>
  <c r="Z166" i="12"/>
  <c r="X166" i="12"/>
  <c r="V166" i="12"/>
  <c r="N166" i="12"/>
  <c r="L166" i="12"/>
  <c r="B166" i="12"/>
  <c r="X165" i="12"/>
  <c r="Z165" i="12" s="1"/>
  <c r="N165" i="12"/>
  <c r="L165" i="12"/>
  <c r="B165" i="12"/>
  <c r="T164" i="12"/>
  <c r="P164" i="12"/>
  <c r="J164" i="12"/>
  <c r="H164" i="12"/>
  <c r="L164" i="12" s="1"/>
  <c r="N164" i="12" s="1"/>
  <c r="D164" i="12"/>
  <c r="B164" i="12"/>
  <c r="Z163" i="12"/>
  <c r="X163" i="12"/>
  <c r="L163" i="12"/>
  <c r="N163" i="12" s="1"/>
  <c r="B163" i="12"/>
  <c r="Z162" i="12"/>
  <c r="X162" i="12"/>
  <c r="L162" i="12"/>
  <c r="N162" i="12" s="1"/>
  <c r="J162" i="12"/>
  <c r="B162" i="12"/>
  <c r="X161" i="12"/>
  <c r="T161" i="12"/>
  <c r="P161" i="12"/>
  <c r="H161" i="12"/>
  <c r="D161" i="12"/>
  <c r="L161" i="12" s="1"/>
  <c r="B161" i="12"/>
  <c r="Z160" i="12"/>
  <c r="X160" i="12"/>
  <c r="V160" i="12"/>
  <c r="L160" i="12"/>
  <c r="N160" i="12" s="1"/>
  <c r="B160" i="12"/>
  <c r="T159" i="12"/>
  <c r="P159" i="12"/>
  <c r="X159" i="12" s="1"/>
  <c r="H159" i="12"/>
  <c r="N159" i="12" s="1"/>
  <c r="D159" i="12"/>
  <c r="L159" i="12" s="1"/>
  <c r="B159" i="12"/>
  <c r="Z158" i="12"/>
  <c r="X158" i="12"/>
  <c r="V158" i="12"/>
  <c r="N158" i="12"/>
  <c r="L158" i="12"/>
  <c r="B158" i="12"/>
  <c r="T157" i="12"/>
  <c r="P157" i="12"/>
  <c r="X157" i="12" s="1"/>
  <c r="L157" i="12"/>
  <c r="N157" i="12" s="1"/>
  <c r="H157" i="12"/>
  <c r="D157" i="12"/>
  <c r="B157" i="12"/>
  <c r="Z156" i="12"/>
  <c r="X156" i="12"/>
  <c r="V156" i="12"/>
  <c r="N156" i="12"/>
  <c r="L156" i="12"/>
  <c r="J156" i="12"/>
  <c r="B156" i="12"/>
  <c r="Z155" i="12"/>
  <c r="X155" i="12"/>
  <c r="V155" i="12"/>
  <c r="N155" i="12"/>
  <c r="L155" i="12"/>
  <c r="B155" i="12"/>
  <c r="T154" i="12"/>
  <c r="P154" i="12"/>
  <c r="X154" i="12" s="1"/>
  <c r="Z154" i="12" s="1"/>
  <c r="H154" i="12"/>
  <c r="D154" i="12"/>
  <c r="L154" i="12" s="1"/>
  <c r="N154" i="12" s="1"/>
  <c r="B154" i="12"/>
  <c r="Z153" i="12"/>
  <c r="X153" i="12"/>
  <c r="N153" i="12"/>
  <c r="L153" i="12"/>
  <c r="B153" i="12"/>
  <c r="Z152" i="12"/>
  <c r="X152" i="12"/>
  <c r="V152" i="12"/>
  <c r="L152" i="12"/>
  <c r="N152" i="12" s="1"/>
  <c r="B152" i="12"/>
  <c r="T151" i="12"/>
  <c r="P151" i="12"/>
  <c r="X151" i="12" s="1"/>
  <c r="H151" i="12"/>
  <c r="N151" i="12" s="1"/>
  <c r="D151" i="12"/>
  <c r="L151" i="12" s="1"/>
  <c r="B151" i="12"/>
  <c r="Z150" i="12"/>
  <c r="X150" i="12"/>
  <c r="V150" i="12"/>
  <c r="N150" i="12"/>
  <c r="L150" i="12"/>
  <c r="B150" i="12"/>
  <c r="Z149" i="12"/>
  <c r="X149" i="12"/>
  <c r="N149" i="12"/>
  <c r="L149" i="12"/>
  <c r="B149" i="12"/>
  <c r="T148" i="12"/>
  <c r="P148" i="12"/>
  <c r="J148" i="12"/>
  <c r="H148" i="12"/>
  <c r="L148" i="12" s="1"/>
  <c r="N148" i="12" s="1"/>
  <c r="D148" i="12"/>
  <c r="B148" i="12"/>
  <c r="X147" i="12"/>
  <c r="Z147" i="12" s="1"/>
  <c r="V147" i="12"/>
  <c r="L147" i="12"/>
  <c r="N147" i="12" s="1"/>
  <c r="B147" i="12"/>
  <c r="Z146" i="12"/>
  <c r="T146" i="12"/>
  <c r="P146" i="12"/>
  <c r="X146" i="12" s="1"/>
  <c r="N146" i="12"/>
  <c r="H146" i="12"/>
  <c r="D146" i="12"/>
  <c r="L146" i="12" s="1"/>
  <c r="B146" i="12"/>
  <c r="X145" i="12"/>
  <c r="Z145" i="12" s="1"/>
  <c r="L145" i="12"/>
  <c r="N145" i="12" s="1"/>
  <c r="B145" i="12"/>
  <c r="Z144" i="12"/>
  <c r="X144" i="12"/>
  <c r="V144" i="12"/>
  <c r="L144" i="12"/>
  <c r="N144" i="12" s="1"/>
  <c r="B144" i="12"/>
  <c r="T143" i="12"/>
  <c r="P143" i="12"/>
  <c r="H143" i="12"/>
  <c r="D143" i="12"/>
  <c r="L143" i="12" s="1"/>
  <c r="B143" i="12"/>
  <c r="Z142" i="12"/>
  <c r="X142" i="12"/>
  <c r="V142" i="12"/>
  <c r="N142" i="12"/>
  <c r="L142" i="12"/>
  <c r="B142" i="12"/>
  <c r="X141" i="12"/>
  <c r="T141" i="12"/>
  <c r="P141" i="12"/>
  <c r="L141" i="12"/>
  <c r="N141" i="12" s="1"/>
  <c r="H141" i="12"/>
  <c r="D141" i="12"/>
  <c r="B141" i="12"/>
  <c r="Z140" i="12"/>
  <c r="X140" i="12"/>
  <c r="V140" i="12"/>
  <c r="N140" i="12"/>
  <c r="L140" i="12"/>
  <c r="J140" i="12"/>
  <c r="B140" i="12"/>
  <c r="Z139" i="12"/>
  <c r="X139" i="12"/>
  <c r="V139" i="12"/>
  <c r="N139" i="12"/>
  <c r="L139" i="12"/>
  <c r="B139" i="12"/>
  <c r="Z138" i="12"/>
  <c r="X138" i="12"/>
  <c r="L138" i="12"/>
  <c r="N138" i="12" s="1"/>
  <c r="B138" i="12"/>
  <c r="X137" i="12"/>
  <c r="Z137" i="12" s="1"/>
  <c r="L137" i="12"/>
  <c r="N137" i="12" s="1"/>
  <c r="B137" i="12"/>
  <c r="Z136" i="12"/>
  <c r="X136" i="12"/>
  <c r="V136" i="12"/>
  <c r="N136" i="12"/>
  <c r="L136" i="12"/>
  <c r="J136" i="12"/>
  <c r="B136" i="12"/>
  <c r="X135" i="12"/>
  <c r="Z135" i="12" s="1"/>
  <c r="V135" i="12"/>
  <c r="L135" i="12"/>
  <c r="N135" i="12" s="1"/>
  <c r="B135" i="12"/>
  <c r="Z134" i="12"/>
  <c r="X134" i="12"/>
  <c r="L134" i="12"/>
  <c r="N134" i="12" s="1"/>
  <c r="B134" i="12"/>
  <c r="Z133" i="12"/>
  <c r="X133" i="12"/>
  <c r="N133" i="12"/>
  <c r="L133" i="12"/>
  <c r="B133" i="12"/>
  <c r="Z132" i="12"/>
  <c r="X132" i="12"/>
  <c r="V132" i="12"/>
  <c r="N132" i="12"/>
  <c r="L132" i="12"/>
  <c r="J132" i="12"/>
  <c r="B132" i="12"/>
  <c r="X131" i="12"/>
  <c r="Z131" i="12" s="1"/>
  <c r="V131" i="12"/>
  <c r="L131" i="12"/>
  <c r="N131" i="12" s="1"/>
  <c r="B131" i="12"/>
  <c r="T130" i="12"/>
  <c r="P130" i="12"/>
  <c r="X130" i="12" s="1"/>
  <c r="Z130" i="12" s="1"/>
  <c r="J130" i="12"/>
  <c r="H130" i="12"/>
  <c r="D130" i="12"/>
  <c r="L130" i="12" s="1"/>
  <c r="N130" i="12" s="1"/>
  <c r="B130" i="12"/>
  <c r="X129" i="12"/>
  <c r="Z129" i="12" s="1"/>
  <c r="L129" i="12"/>
  <c r="N129" i="12" s="1"/>
  <c r="B129" i="12"/>
  <c r="Z128" i="12"/>
  <c r="X128" i="12"/>
  <c r="V128" i="12"/>
  <c r="N128" i="12"/>
  <c r="L128" i="12"/>
  <c r="B128" i="12"/>
  <c r="X127" i="12"/>
  <c r="Z127" i="12" s="1"/>
  <c r="L127" i="12"/>
  <c r="N127" i="12" s="1"/>
  <c r="B127" i="12"/>
  <c r="Z126" i="12"/>
  <c r="X126" i="12"/>
  <c r="V126" i="12"/>
  <c r="N126" i="12"/>
  <c r="L126" i="12"/>
  <c r="B126" i="12"/>
  <c r="Z125" i="12"/>
  <c r="X125" i="12"/>
  <c r="N125" i="12"/>
  <c r="L125" i="12"/>
  <c r="B125" i="12"/>
  <c r="Z124" i="12"/>
  <c r="X124" i="12"/>
  <c r="V124" i="12"/>
  <c r="N124" i="12"/>
  <c r="L124" i="12"/>
  <c r="B124" i="12"/>
  <c r="X123" i="12"/>
  <c r="Z123" i="12" s="1"/>
  <c r="L123" i="12"/>
  <c r="N123" i="12" s="1"/>
  <c r="B123" i="12"/>
  <c r="X122" i="12"/>
  <c r="Z122" i="12" s="1"/>
  <c r="V122" i="12"/>
  <c r="N122" i="12"/>
  <c r="L122" i="12"/>
  <c r="B122" i="12"/>
  <c r="X121" i="12"/>
  <c r="Z121" i="12" s="1"/>
  <c r="N121" i="12"/>
  <c r="L121" i="12"/>
  <c r="B121" i="12"/>
  <c r="Z120" i="12"/>
  <c r="X120" i="12"/>
  <c r="V120" i="12"/>
  <c r="N120" i="12"/>
  <c r="L120" i="12"/>
  <c r="B120" i="12"/>
  <c r="T119" i="12"/>
  <c r="P119" i="12"/>
  <c r="H119" i="12"/>
  <c r="D119" i="12"/>
  <c r="L119" i="12" s="1"/>
  <c r="B119" i="12"/>
  <c r="V118" i="12"/>
  <c r="T118" i="12"/>
  <c r="X118" i="12" s="1"/>
  <c r="Z118" i="12" s="1"/>
  <c r="P118" i="12"/>
  <c r="H118" i="12"/>
  <c r="D118" i="12"/>
  <c r="Z114" i="12"/>
  <c r="X114" i="12"/>
  <c r="V114" i="12"/>
  <c r="N114" i="12"/>
  <c r="L114" i="12"/>
  <c r="B114" i="12"/>
  <c r="Z113" i="12"/>
  <c r="X113" i="12"/>
  <c r="N113" i="12"/>
  <c r="L113" i="12"/>
  <c r="J113" i="12"/>
  <c r="B113" i="12"/>
  <c r="Z112" i="12"/>
  <c r="X112" i="12"/>
  <c r="N112" i="12"/>
  <c r="L112" i="12"/>
  <c r="B112" i="12"/>
  <c r="Z111" i="12"/>
  <c r="X111" i="12"/>
  <c r="N111" i="12"/>
  <c r="L111" i="12"/>
  <c r="J111" i="12"/>
  <c r="B111" i="12"/>
  <c r="Z110" i="12"/>
  <c r="X110" i="12"/>
  <c r="V110" i="12"/>
  <c r="N110" i="12"/>
  <c r="L110" i="12"/>
  <c r="B110" i="12"/>
  <c r="Z109" i="12"/>
  <c r="X109" i="12"/>
  <c r="N109" i="12"/>
  <c r="L109" i="12"/>
  <c r="B109" i="12"/>
  <c r="Z108" i="12"/>
  <c r="X108" i="12"/>
  <c r="N108" i="12"/>
  <c r="L108" i="12"/>
  <c r="B108" i="12"/>
  <c r="Z107" i="12"/>
  <c r="X107" i="12"/>
  <c r="N107" i="12"/>
  <c r="L107" i="12"/>
  <c r="B107" i="12"/>
  <c r="Z106" i="12"/>
  <c r="X106" i="12"/>
  <c r="V106" i="12"/>
  <c r="N106" i="12"/>
  <c r="L106" i="12"/>
  <c r="B106" i="12"/>
  <c r="Z105" i="12"/>
  <c r="X105" i="12"/>
  <c r="N105" i="12"/>
  <c r="L105" i="12"/>
  <c r="J105" i="12"/>
  <c r="B105" i="12"/>
  <c r="Z104" i="12"/>
  <c r="X104" i="12"/>
  <c r="N104" i="12"/>
  <c r="L104" i="12"/>
  <c r="J104" i="12"/>
  <c r="B104" i="12"/>
  <c r="Z103" i="12"/>
  <c r="X103" i="12"/>
  <c r="N103" i="12"/>
  <c r="L103" i="12"/>
  <c r="J103" i="12"/>
  <c r="B103" i="12"/>
  <c r="Z102" i="12"/>
  <c r="X102" i="12"/>
  <c r="V102" i="12"/>
  <c r="N102" i="12"/>
  <c r="L102" i="12"/>
  <c r="B102" i="12"/>
  <c r="Z101" i="12"/>
  <c r="X101" i="12"/>
  <c r="N101" i="12"/>
  <c r="L101" i="12"/>
  <c r="B101" i="12"/>
  <c r="Z100" i="12"/>
  <c r="X100" i="12"/>
  <c r="V100" i="12"/>
  <c r="N100" i="12"/>
  <c r="L100" i="12"/>
  <c r="J100" i="12"/>
  <c r="B100" i="12"/>
  <c r="Z99" i="12"/>
  <c r="X99" i="12"/>
  <c r="N99" i="12"/>
  <c r="L99" i="12"/>
  <c r="J99" i="12"/>
  <c r="B99" i="12"/>
  <c r="Z98" i="12"/>
  <c r="X98" i="12"/>
  <c r="V98" i="12"/>
  <c r="N98" i="12"/>
  <c r="L98" i="12"/>
  <c r="B98" i="12"/>
  <c r="Z97" i="12"/>
  <c r="X97" i="12"/>
  <c r="N97" i="12"/>
  <c r="L97" i="12"/>
  <c r="J97" i="12"/>
  <c r="B97" i="12"/>
  <c r="Z96" i="12"/>
  <c r="X96" i="12"/>
  <c r="V96" i="12"/>
  <c r="N96" i="12"/>
  <c r="L96" i="12"/>
  <c r="J96" i="12"/>
  <c r="B96" i="12"/>
  <c r="Z95" i="12"/>
  <c r="X95" i="12"/>
  <c r="N95" i="12"/>
  <c r="L95" i="12"/>
  <c r="J95" i="12"/>
  <c r="B95" i="12"/>
  <c r="Z94" i="12"/>
  <c r="X94" i="12"/>
  <c r="V94" i="12"/>
  <c r="N94" i="12"/>
  <c r="L94" i="12"/>
  <c r="B94" i="12"/>
  <c r="Z93" i="12"/>
  <c r="X93" i="12"/>
  <c r="N93" i="12"/>
  <c r="L93" i="12"/>
  <c r="B93" i="12"/>
  <c r="Z92" i="12"/>
  <c r="X92" i="12"/>
  <c r="V92" i="12"/>
  <c r="N92" i="12"/>
  <c r="L92" i="12"/>
  <c r="J92" i="12"/>
  <c r="B92" i="12"/>
  <c r="Z91" i="12"/>
  <c r="X91" i="12"/>
  <c r="N91" i="12"/>
  <c r="L91" i="12"/>
  <c r="J91" i="12"/>
  <c r="B91" i="12"/>
  <c r="Z90" i="12"/>
  <c r="X90" i="12"/>
  <c r="V90" i="12"/>
  <c r="N90" i="12"/>
  <c r="L90" i="12"/>
  <c r="B90" i="12"/>
  <c r="Z89" i="12"/>
  <c r="X89" i="12"/>
  <c r="N89" i="12"/>
  <c r="L89" i="12"/>
  <c r="J89" i="12"/>
  <c r="B89" i="12"/>
  <c r="Z88" i="12"/>
  <c r="X88" i="12"/>
  <c r="V88" i="12"/>
  <c r="N88" i="12"/>
  <c r="L88" i="12"/>
  <c r="J88" i="12"/>
  <c r="B88" i="12"/>
  <c r="Z87" i="12"/>
  <c r="X87" i="12"/>
  <c r="N87" i="12"/>
  <c r="L87" i="12"/>
  <c r="J87" i="12"/>
  <c r="B87" i="12"/>
  <c r="Z86" i="12"/>
  <c r="X86" i="12"/>
  <c r="V86" i="12"/>
  <c r="N86" i="12"/>
  <c r="L86" i="12"/>
  <c r="B86" i="12"/>
  <c r="Z85" i="12"/>
  <c r="X85" i="12"/>
  <c r="N85" i="12"/>
  <c r="L85" i="12"/>
  <c r="B85" i="12"/>
  <c r="Z84" i="12"/>
  <c r="X84" i="12"/>
  <c r="V84" i="12"/>
  <c r="N84" i="12"/>
  <c r="L84" i="12"/>
  <c r="J84" i="12"/>
  <c r="B84" i="12"/>
  <c r="Z83" i="12"/>
  <c r="X83" i="12"/>
  <c r="N83" i="12"/>
  <c r="L83" i="12"/>
  <c r="J83" i="12"/>
  <c r="B83" i="12"/>
  <c r="Z82" i="12"/>
  <c r="X82" i="12"/>
  <c r="V82" i="12"/>
  <c r="N82" i="12"/>
  <c r="L82" i="12"/>
  <c r="B82" i="12"/>
  <c r="Z81" i="12"/>
  <c r="X81" i="12"/>
  <c r="N81" i="12"/>
  <c r="L81" i="12"/>
  <c r="J81" i="12"/>
  <c r="B81" i="12"/>
  <c r="Z80" i="12"/>
  <c r="X80" i="12"/>
  <c r="V80" i="12"/>
  <c r="N80" i="12"/>
  <c r="L80" i="12"/>
  <c r="J80" i="12"/>
  <c r="B80" i="12"/>
  <c r="X79" i="12"/>
  <c r="Z79" i="12" s="1"/>
  <c r="L79" i="12"/>
  <c r="N79" i="12" s="1"/>
  <c r="B79" i="12"/>
  <c r="V78" i="12"/>
  <c r="T78" i="12"/>
  <c r="P78" i="12"/>
  <c r="H78" i="12"/>
  <c r="D78" i="12"/>
  <c r="L78" i="12" s="1"/>
  <c r="Z76" i="12"/>
  <c r="P76" i="12"/>
  <c r="X76" i="12" s="1"/>
  <c r="N76" i="12"/>
  <c r="L76" i="12"/>
  <c r="D76" i="12"/>
  <c r="B76" i="12"/>
  <c r="Z75" i="12"/>
  <c r="X75" i="12"/>
  <c r="P75" i="12"/>
  <c r="N75" i="12"/>
  <c r="D75" i="12"/>
  <c r="L75" i="12" s="1"/>
  <c r="B75" i="12"/>
  <c r="Z74" i="12"/>
  <c r="X74" i="12"/>
  <c r="P74" i="12"/>
  <c r="N74" i="12"/>
  <c r="D74" i="12"/>
  <c r="L74" i="12" s="1"/>
  <c r="B74" i="12"/>
  <c r="Z73" i="12"/>
  <c r="X73" i="12"/>
  <c r="P73" i="12"/>
  <c r="N73" i="12"/>
  <c r="D73" i="12"/>
  <c r="L73" i="12" s="1"/>
  <c r="B73" i="12"/>
  <c r="Z72" i="12"/>
  <c r="X72" i="12"/>
  <c r="P72" i="12"/>
  <c r="N72" i="12"/>
  <c r="D72" i="12"/>
  <c r="L72" i="12" s="1"/>
  <c r="B72" i="12"/>
  <c r="Z71" i="12"/>
  <c r="X71" i="12"/>
  <c r="P71" i="12"/>
  <c r="N71" i="12"/>
  <c r="L71" i="12"/>
  <c r="D71" i="12"/>
  <c r="B71" i="12"/>
  <c r="Z70" i="12"/>
  <c r="P70" i="12"/>
  <c r="X70" i="12" s="1"/>
  <c r="N70" i="12"/>
  <c r="L70" i="12"/>
  <c r="D70" i="12"/>
  <c r="B70" i="12"/>
  <c r="Z69" i="12"/>
  <c r="P69" i="12"/>
  <c r="X69" i="12" s="1"/>
  <c r="N69" i="12"/>
  <c r="L69" i="12"/>
  <c r="D69" i="12"/>
  <c r="B69" i="12"/>
  <c r="Z68" i="12"/>
  <c r="P68" i="12"/>
  <c r="X68" i="12" s="1"/>
  <c r="N68" i="12"/>
  <c r="L68" i="12"/>
  <c r="D68" i="12"/>
  <c r="B68" i="12"/>
  <c r="Z67" i="12"/>
  <c r="X67" i="12"/>
  <c r="P67" i="12"/>
  <c r="N67" i="12"/>
  <c r="D67" i="12"/>
  <c r="L67" i="12" s="1"/>
  <c r="B67" i="12"/>
  <c r="Z66" i="12"/>
  <c r="P66" i="12"/>
  <c r="X66" i="12" s="1"/>
  <c r="N66" i="12"/>
  <c r="L66" i="12"/>
  <c r="D66" i="12"/>
  <c r="B66" i="12"/>
  <c r="Z65" i="12"/>
  <c r="P65" i="12"/>
  <c r="X65" i="12" s="1"/>
  <c r="N65" i="12"/>
  <c r="L65" i="12"/>
  <c r="D65" i="12"/>
  <c r="B65" i="12"/>
  <c r="Z64" i="12"/>
  <c r="P64" i="12"/>
  <c r="X64" i="12" s="1"/>
  <c r="N64" i="12"/>
  <c r="L64" i="12"/>
  <c r="D64" i="12"/>
  <c r="B64" i="12"/>
  <c r="Z63" i="12"/>
  <c r="X63" i="12"/>
  <c r="P63" i="12"/>
  <c r="N63" i="12"/>
  <c r="D63" i="12"/>
  <c r="L63" i="12" s="1"/>
  <c r="B63" i="12"/>
  <c r="Z62" i="12"/>
  <c r="P62" i="12"/>
  <c r="X62" i="12" s="1"/>
  <c r="N62" i="12"/>
  <c r="D62" i="12"/>
  <c r="L62" i="12" s="1"/>
  <c r="B62" i="12"/>
  <c r="Z61" i="12"/>
  <c r="X61" i="12"/>
  <c r="P61" i="12"/>
  <c r="N61" i="12"/>
  <c r="D61" i="12"/>
  <c r="L61" i="12" s="1"/>
  <c r="B61" i="12"/>
  <c r="Z60" i="12"/>
  <c r="X60" i="12"/>
  <c r="P60" i="12"/>
  <c r="N60" i="12"/>
  <c r="D60" i="12"/>
  <c r="L60" i="12" s="1"/>
  <c r="B60" i="12"/>
  <c r="Z59" i="12"/>
  <c r="X59" i="12"/>
  <c r="P59" i="12"/>
  <c r="N59" i="12"/>
  <c r="L59" i="12"/>
  <c r="D59" i="12"/>
  <c r="B59" i="12"/>
  <c r="Z58" i="12"/>
  <c r="P58" i="12"/>
  <c r="X58" i="12" s="1"/>
  <c r="N58" i="12"/>
  <c r="L58" i="12"/>
  <c r="D58" i="12"/>
  <c r="B58" i="12"/>
  <c r="Z57" i="12"/>
  <c r="X57" i="12"/>
  <c r="P57" i="12"/>
  <c r="N57" i="12"/>
  <c r="L57" i="12"/>
  <c r="D57" i="12"/>
  <c r="B57" i="12"/>
  <c r="Z56" i="12"/>
  <c r="P56" i="12"/>
  <c r="X56" i="12" s="1"/>
  <c r="N56" i="12"/>
  <c r="L56" i="12"/>
  <c r="D56" i="12"/>
  <c r="B56" i="12"/>
  <c r="Z55" i="12"/>
  <c r="X55" i="12"/>
  <c r="P55" i="12"/>
  <c r="N55" i="12"/>
  <c r="D55" i="12"/>
  <c r="L55" i="12" s="1"/>
  <c r="B55" i="12"/>
  <c r="Z54" i="12"/>
  <c r="P54" i="12"/>
  <c r="X54" i="12" s="1"/>
  <c r="N54" i="12"/>
  <c r="L54" i="12"/>
  <c r="D54" i="12"/>
  <c r="B54" i="12"/>
  <c r="Z53" i="12"/>
  <c r="P53" i="12"/>
  <c r="X53" i="12" s="1"/>
  <c r="N53" i="12"/>
  <c r="D53" i="12"/>
  <c r="L53" i="12" s="1"/>
  <c r="B53" i="12"/>
  <c r="Z52" i="12"/>
  <c r="P52" i="12"/>
  <c r="X52" i="12" s="1"/>
  <c r="N52" i="12"/>
  <c r="L52" i="12"/>
  <c r="D52" i="12"/>
  <c r="B52" i="12"/>
  <c r="Z51" i="12"/>
  <c r="X51" i="12"/>
  <c r="P51" i="12"/>
  <c r="N51" i="12"/>
  <c r="D51" i="12"/>
  <c r="L51" i="12" s="1"/>
  <c r="B51" i="12"/>
  <c r="Z50" i="12"/>
  <c r="P50" i="12"/>
  <c r="X50" i="12" s="1"/>
  <c r="N50" i="12"/>
  <c r="D50" i="12"/>
  <c r="L50" i="12" s="1"/>
  <c r="B50" i="12"/>
  <c r="Z49" i="12"/>
  <c r="X49" i="12"/>
  <c r="P49" i="12"/>
  <c r="N49" i="12"/>
  <c r="D49" i="12"/>
  <c r="L49" i="12" s="1"/>
  <c r="B49" i="12"/>
  <c r="Z48" i="12"/>
  <c r="X48" i="12"/>
  <c r="P48" i="12"/>
  <c r="N48" i="12"/>
  <c r="D48" i="12"/>
  <c r="L48" i="12" s="1"/>
  <c r="B48" i="12"/>
  <c r="Z47" i="12"/>
  <c r="X47" i="12"/>
  <c r="P47" i="12"/>
  <c r="N47" i="12"/>
  <c r="L47" i="12"/>
  <c r="D47" i="12"/>
  <c r="B47" i="12"/>
  <c r="Z46" i="12"/>
  <c r="P46" i="12"/>
  <c r="X46" i="12" s="1"/>
  <c r="N46" i="12"/>
  <c r="L46" i="12"/>
  <c r="D46" i="12"/>
  <c r="B46" i="12"/>
  <c r="Z45" i="12"/>
  <c r="P45" i="12"/>
  <c r="X45" i="12" s="1"/>
  <c r="N45" i="12"/>
  <c r="L45" i="12"/>
  <c r="D45" i="12"/>
  <c r="B45" i="12"/>
  <c r="Z44" i="12"/>
  <c r="P44" i="12"/>
  <c r="X44" i="12" s="1"/>
  <c r="N44" i="12"/>
  <c r="L44" i="12"/>
  <c r="D44" i="12"/>
  <c r="B44" i="12"/>
  <c r="Z43" i="12"/>
  <c r="X43" i="12"/>
  <c r="P43" i="12"/>
  <c r="N43" i="12"/>
  <c r="D43" i="12"/>
  <c r="L43" i="12" s="1"/>
  <c r="B43" i="12"/>
  <c r="Z42" i="12"/>
  <c r="P42" i="12"/>
  <c r="X42" i="12" s="1"/>
  <c r="N42" i="12"/>
  <c r="L42" i="12"/>
  <c r="D42" i="12"/>
  <c r="B42" i="12"/>
  <c r="Z41" i="12"/>
  <c r="P41" i="12"/>
  <c r="X41" i="12" s="1"/>
  <c r="N41" i="12"/>
  <c r="D41" i="12"/>
  <c r="L41" i="12" s="1"/>
  <c r="B41" i="12"/>
  <c r="Z40" i="12"/>
  <c r="X40" i="12"/>
  <c r="P40" i="12"/>
  <c r="N40" i="12"/>
  <c r="L40" i="12"/>
  <c r="D40" i="12"/>
  <c r="B40" i="12"/>
  <c r="Z39" i="12"/>
  <c r="P39" i="12"/>
  <c r="X39" i="12" s="1"/>
  <c r="N39" i="12"/>
  <c r="D39" i="12"/>
  <c r="L39" i="12" s="1"/>
  <c r="B39" i="12"/>
  <c r="Z38" i="12"/>
  <c r="P38" i="12"/>
  <c r="X38" i="12" s="1"/>
  <c r="N38" i="12"/>
  <c r="D38" i="12"/>
  <c r="L38" i="12" s="1"/>
  <c r="B38" i="12"/>
  <c r="Z37" i="12"/>
  <c r="X37" i="12"/>
  <c r="P37" i="12"/>
  <c r="N37" i="12"/>
  <c r="L37" i="12"/>
  <c r="D37" i="12"/>
  <c r="B37" i="12"/>
  <c r="Z36" i="12"/>
  <c r="X36" i="12"/>
  <c r="P36" i="12"/>
  <c r="N36" i="12"/>
  <c r="D36" i="12"/>
  <c r="L36" i="12" s="1"/>
  <c r="B36" i="12"/>
  <c r="P35" i="12"/>
  <c r="X35" i="12" s="1"/>
  <c r="Z35" i="12" s="1"/>
  <c r="D35" i="12"/>
  <c r="L35" i="12" s="1"/>
  <c r="N35" i="12" s="1"/>
  <c r="B35" i="12"/>
  <c r="Z34" i="12"/>
  <c r="P34" i="12"/>
  <c r="X34" i="12" s="1"/>
  <c r="N34" i="12"/>
  <c r="L34" i="12"/>
  <c r="D34" i="12"/>
  <c r="B34" i="12"/>
  <c r="Z33" i="12"/>
  <c r="P33" i="12"/>
  <c r="X33" i="12" s="1"/>
  <c r="N33" i="12"/>
  <c r="L33" i="12"/>
  <c r="D33" i="12"/>
  <c r="B33" i="12"/>
  <c r="Z32" i="12"/>
  <c r="P32" i="12"/>
  <c r="X32" i="12" s="1"/>
  <c r="N32" i="12"/>
  <c r="D32" i="12"/>
  <c r="L32" i="12" s="1"/>
  <c r="B32" i="12"/>
  <c r="Z31" i="12"/>
  <c r="X31" i="12"/>
  <c r="P31" i="12"/>
  <c r="N31" i="12"/>
  <c r="D31" i="12"/>
  <c r="L31" i="12" s="1"/>
  <c r="B31" i="12"/>
  <c r="Z30" i="12"/>
  <c r="P30" i="12"/>
  <c r="X30" i="12" s="1"/>
  <c r="N30" i="12"/>
  <c r="D30" i="12"/>
  <c r="L30" i="12" s="1"/>
  <c r="B30" i="12"/>
  <c r="Z29" i="12"/>
  <c r="P29" i="12"/>
  <c r="X29" i="12" s="1"/>
  <c r="N29" i="12"/>
  <c r="D29" i="12"/>
  <c r="L29" i="12" s="1"/>
  <c r="B29" i="12"/>
  <c r="Z28" i="12"/>
  <c r="P28" i="12"/>
  <c r="X28" i="12" s="1"/>
  <c r="N28" i="12"/>
  <c r="L28" i="12"/>
  <c r="D28" i="12"/>
  <c r="B28" i="12"/>
  <c r="Z27" i="12"/>
  <c r="X27" i="12"/>
  <c r="P27" i="12"/>
  <c r="N27" i="12"/>
  <c r="D27" i="12"/>
  <c r="L27" i="12" s="1"/>
  <c r="B27" i="12"/>
  <c r="Z26" i="12"/>
  <c r="X26" i="12"/>
  <c r="P26" i="12"/>
  <c r="N26" i="12"/>
  <c r="D26" i="12"/>
  <c r="L26" i="12" s="1"/>
  <c r="B26" i="12"/>
  <c r="Z25" i="12"/>
  <c r="X25" i="12"/>
  <c r="P25" i="12"/>
  <c r="N25" i="12"/>
  <c r="D25" i="12"/>
  <c r="L25" i="12" s="1"/>
  <c r="B25" i="12"/>
  <c r="Z24" i="12"/>
  <c r="X24" i="12"/>
  <c r="P24" i="12"/>
  <c r="N24" i="12"/>
  <c r="L24" i="12"/>
  <c r="D24" i="12"/>
  <c r="B24" i="12"/>
  <c r="Z23" i="12"/>
  <c r="X23" i="12"/>
  <c r="P23" i="12"/>
  <c r="N23" i="12"/>
  <c r="D23" i="12"/>
  <c r="L23" i="12" s="1"/>
  <c r="B23" i="12"/>
  <c r="Z22" i="12"/>
  <c r="P22" i="12"/>
  <c r="X22" i="12" s="1"/>
  <c r="N22" i="12"/>
  <c r="L22" i="12"/>
  <c r="D22" i="12"/>
  <c r="B22" i="12"/>
  <c r="Z21" i="12"/>
  <c r="P21" i="12"/>
  <c r="X21" i="12" s="1"/>
  <c r="N21" i="12"/>
  <c r="L21" i="12"/>
  <c r="D21" i="12"/>
  <c r="B21" i="12"/>
  <c r="Z20" i="12"/>
  <c r="X20" i="12"/>
  <c r="P20" i="12"/>
  <c r="N20" i="12"/>
  <c r="D20" i="12"/>
  <c r="L20" i="12" s="1"/>
  <c r="B20" i="12"/>
  <c r="Z19" i="12"/>
  <c r="X19" i="12"/>
  <c r="P19" i="12"/>
  <c r="N19" i="12"/>
  <c r="D19" i="12"/>
  <c r="L19" i="12" s="1"/>
  <c r="B19" i="12"/>
  <c r="Z18" i="12"/>
  <c r="P18" i="12"/>
  <c r="X18" i="12" s="1"/>
  <c r="N18" i="12"/>
  <c r="D18" i="12"/>
  <c r="L18" i="12" s="1"/>
  <c r="B18" i="12"/>
  <c r="Z17" i="12"/>
  <c r="P17" i="12"/>
  <c r="X17" i="12" s="1"/>
  <c r="N17" i="12"/>
  <c r="D17" i="12"/>
  <c r="L17" i="12" s="1"/>
  <c r="B17" i="12"/>
  <c r="Z16" i="12"/>
  <c r="P16" i="12"/>
  <c r="X16" i="12" s="1"/>
  <c r="N16" i="12"/>
  <c r="L16" i="12"/>
  <c r="D16" i="12"/>
  <c r="B16" i="12"/>
  <c r="Z15" i="12"/>
  <c r="X15" i="12"/>
  <c r="P15" i="12"/>
  <c r="N15" i="12"/>
  <c r="D15" i="12"/>
  <c r="L15" i="12" s="1"/>
  <c r="B15" i="12"/>
  <c r="Z14" i="12"/>
  <c r="X14" i="12"/>
  <c r="P14" i="12"/>
  <c r="N14" i="12"/>
  <c r="D14" i="12"/>
  <c r="L14" i="12" s="1"/>
  <c r="B14" i="12"/>
  <c r="X13" i="12"/>
  <c r="Z13" i="12" s="1"/>
  <c r="P13" i="12"/>
  <c r="D13" i="12"/>
  <c r="B13" i="12"/>
  <c r="T12" i="12"/>
  <c r="V221" i="12" s="1"/>
  <c r="H12" i="12"/>
  <c r="J109" i="12" s="1"/>
  <c r="D4" i="12"/>
  <c r="J109" i="9"/>
  <c r="J106" i="9"/>
  <c r="Z104" i="9"/>
  <c r="X104" i="9"/>
  <c r="N104" i="9"/>
  <c r="L104" i="9"/>
  <c r="J104" i="9"/>
  <c r="Z100" i="9"/>
  <c r="V100" i="9"/>
  <c r="P100" i="9"/>
  <c r="X100" i="9" s="1"/>
  <c r="N100" i="9"/>
  <c r="D100" i="9"/>
  <c r="L100" i="9" s="1"/>
  <c r="B100" i="9"/>
  <c r="Z99" i="9"/>
  <c r="X99" i="9"/>
  <c r="R99" i="9"/>
  <c r="P99" i="9"/>
  <c r="N99" i="9"/>
  <c r="L99" i="9"/>
  <c r="D99" i="9"/>
  <c r="B99" i="9"/>
  <c r="Z98" i="9"/>
  <c r="P98" i="9"/>
  <c r="X98" i="9" s="1"/>
  <c r="N98" i="9"/>
  <c r="L98" i="9"/>
  <c r="D98" i="9"/>
  <c r="B98" i="9"/>
  <c r="T97" i="9"/>
  <c r="Z97" i="9" s="1"/>
  <c r="P97" i="9"/>
  <c r="X97" i="9" s="1"/>
  <c r="H97" i="9"/>
  <c r="N97" i="9" s="1"/>
  <c r="X95" i="9"/>
  <c r="Z95" i="9" s="1"/>
  <c r="R95" i="9"/>
  <c r="N95" i="9"/>
  <c r="L95" i="9"/>
  <c r="B95" i="9"/>
  <c r="Z94" i="9"/>
  <c r="X94" i="9"/>
  <c r="R94" i="9"/>
  <c r="N94" i="9"/>
  <c r="L94" i="9"/>
  <c r="J94" i="9"/>
  <c r="B94" i="9"/>
  <c r="T93" i="9"/>
  <c r="P93" i="9"/>
  <c r="H93" i="9"/>
  <c r="N93" i="9" s="1"/>
  <c r="D93" i="9"/>
  <c r="L93" i="9" s="1"/>
  <c r="B93" i="9"/>
  <c r="X92" i="9"/>
  <c r="Z92" i="9" s="1"/>
  <c r="L92" i="9"/>
  <c r="N92" i="9" s="1"/>
  <c r="J92" i="9"/>
  <c r="B92" i="9"/>
  <c r="X91" i="9"/>
  <c r="T91" i="9"/>
  <c r="Z91" i="9" s="1"/>
  <c r="P91" i="9"/>
  <c r="H91" i="9"/>
  <c r="D91" i="9"/>
  <c r="L91" i="9" s="1"/>
  <c r="B91" i="9"/>
  <c r="Z90" i="9"/>
  <c r="X90" i="9"/>
  <c r="N90" i="9"/>
  <c r="L90" i="9"/>
  <c r="B90" i="9"/>
  <c r="X89" i="9"/>
  <c r="Z89" i="9" s="1"/>
  <c r="R89" i="9"/>
  <c r="L89" i="9"/>
  <c r="N89" i="9" s="1"/>
  <c r="B89" i="9"/>
  <c r="X88" i="9"/>
  <c r="Z88" i="9" s="1"/>
  <c r="T88" i="9"/>
  <c r="R88" i="9"/>
  <c r="P88" i="9"/>
  <c r="H88" i="9"/>
  <c r="L88" i="9" s="1"/>
  <c r="N88" i="9" s="1"/>
  <c r="D88" i="9"/>
  <c r="B88" i="9"/>
  <c r="X87" i="9"/>
  <c r="Z87" i="9" s="1"/>
  <c r="R87" i="9"/>
  <c r="N87" i="9"/>
  <c r="L87" i="9"/>
  <c r="B87" i="9"/>
  <c r="Z86" i="9"/>
  <c r="X86" i="9"/>
  <c r="R86" i="9"/>
  <c r="N86" i="9"/>
  <c r="L86" i="9"/>
  <c r="J86" i="9"/>
  <c r="B86" i="9"/>
  <c r="X85" i="9"/>
  <c r="Z85" i="9" s="1"/>
  <c r="L85" i="9"/>
  <c r="N85" i="9" s="1"/>
  <c r="J85" i="9"/>
  <c r="B85" i="9"/>
  <c r="Z84" i="9"/>
  <c r="X84" i="9"/>
  <c r="V84" i="9"/>
  <c r="L84" i="9"/>
  <c r="N84" i="9" s="1"/>
  <c r="B84" i="9"/>
  <c r="X83" i="9"/>
  <c r="Z83" i="9" s="1"/>
  <c r="R83" i="9"/>
  <c r="L83" i="9"/>
  <c r="N83" i="9" s="1"/>
  <c r="B83" i="9"/>
  <c r="T82" i="9"/>
  <c r="R82" i="9"/>
  <c r="P82" i="9"/>
  <c r="X82" i="9" s="1"/>
  <c r="J82" i="9"/>
  <c r="H82" i="9"/>
  <c r="D82" i="9"/>
  <c r="L82" i="9" s="1"/>
  <c r="N82" i="9" s="1"/>
  <c r="B82" i="9"/>
  <c r="X81" i="9"/>
  <c r="Z81" i="9" s="1"/>
  <c r="R81" i="9"/>
  <c r="L81" i="9"/>
  <c r="N81" i="9" s="1"/>
  <c r="B81" i="9"/>
  <c r="X80" i="9"/>
  <c r="Z80" i="9" s="1"/>
  <c r="L80" i="9"/>
  <c r="N80" i="9" s="1"/>
  <c r="J80" i="9"/>
  <c r="B80" i="9"/>
  <c r="X79" i="9"/>
  <c r="T79" i="9"/>
  <c r="P79" i="9"/>
  <c r="J79" i="9"/>
  <c r="H79" i="9"/>
  <c r="N79" i="9" s="1"/>
  <c r="D79" i="9"/>
  <c r="L79" i="9" s="1"/>
  <c r="B79" i="9"/>
  <c r="Z78" i="9"/>
  <c r="X78" i="9"/>
  <c r="N78" i="9"/>
  <c r="L78" i="9"/>
  <c r="B78" i="9"/>
  <c r="X77" i="9"/>
  <c r="Z77" i="9" s="1"/>
  <c r="R77" i="9"/>
  <c r="N77" i="9"/>
  <c r="L77" i="9"/>
  <c r="B77" i="9"/>
  <c r="X76" i="9"/>
  <c r="T76" i="9"/>
  <c r="Z76" i="9" s="1"/>
  <c r="R76" i="9"/>
  <c r="P76" i="9"/>
  <c r="N76" i="9"/>
  <c r="H76" i="9"/>
  <c r="L76" i="9" s="1"/>
  <c r="D76" i="9"/>
  <c r="B76" i="9"/>
  <c r="Z75" i="9"/>
  <c r="X75" i="9"/>
  <c r="R75" i="9"/>
  <c r="N75" i="9"/>
  <c r="L75" i="9"/>
  <c r="B75" i="9"/>
  <c r="Z74" i="9"/>
  <c r="X74" i="9"/>
  <c r="R74" i="9"/>
  <c r="N74" i="9"/>
  <c r="L74" i="9"/>
  <c r="J74" i="9"/>
  <c r="B74" i="9"/>
  <c r="Z73" i="9"/>
  <c r="X73" i="9"/>
  <c r="N73" i="9"/>
  <c r="L73" i="9"/>
  <c r="J73" i="9"/>
  <c r="B73" i="9"/>
  <c r="Z72" i="9"/>
  <c r="X72" i="9"/>
  <c r="L72" i="9"/>
  <c r="N72" i="9" s="1"/>
  <c r="B72" i="9"/>
  <c r="T71" i="9"/>
  <c r="Z71" i="9" s="1"/>
  <c r="P71" i="9"/>
  <c r="X71" i="9" s="1"/>
  <c r="H71" i="9"/>
  <c r="N71" i="9" s="1"/>
  <c r="D71" i="9"/>
  <c r="L71" i="9" s="1"/>
  <c r="B71" i="9"/>
  <c r="Z70" i="9"/>
  <c r="X70" i="9"/>
  <c r="N70" i="9"/>
  <c r="L70" i="9"/>
  <c r="B70" i="9"/>
  <c r="X69" i="9"/>
  <c r="Z69" i="9" s="1"/>
  <c r="R69" i="9"/>
  <c r="L69" i="9"/>
  <c r="N69" i="9" s="1"/>
  <c r="B69" i="9"/>
  <c r="X68" i="9"/>
  <c r="Z68" i="9" s="1"/>
  <c r="L68" i="9"/>
  <c r="N68" i="9" s="1"/>
  <c r="J68" i="9"/>
  <c r="B68" i="9"/>
  <c r="X67" i="9"/>
  <c r="Z67" i="9" s="1"/>
  <c r="N67" i="9"/>
  <c r="L67" i="9"/>
  <c r="B67" i="9"/>
  <c r="T66" i="9"/>
  <c r="R66" i="9"/>
  <c r="P66" i="9"/>
  <c r="X66" i="9" s="1"/>
  <c r="Z66" i="9" s="1"/>
  <c r="H66" i="9"/>
  <c r="N66" i="9" s="1"/>
  <c r="D66" i="9"/>
  <c r="L66" i="9" s="1"/>
  <c r="B66" i="9"/>
  <c r="X65" i="9"/>
  <c r="Z65" i="9" s="1"/>
  <c r="R65" i="9"/>
  <c r="N65" i="9"/>
  <c r="L65" i="9"/>
  <c r="B65" i="9"/>
  <c r="X64" i="9"/>
  <c r="Z64" i="9" s="1"/>
  <c r="N64" i="9"/>
  <c r="L64" i="9"/>
  <c r="J64" i="9"/>
  <c r="B64" i="9"/>
  <c r="T63" i="9"/>
  <c r="R63" i="9"/>
  <c r="P63" i="9"/>
  <c r="X63" i="9" s="1"/>
  <c r="Z63" i="9" s="1"/>
  <c r="H63" i="9"/>
  <c r="D63" i="9"/>
  <c r="B63" i="9"/>
  <c r="Z62" i="9"/>
  <c r="X62" i="9"/>
  <c r="R62" i="9"/>
  <c r="N62" i="9"/>
  <c r="L62" i="9"/>
  <c r="J62" i="9"/>
  <c r="B62" i="9"/>
  <c r="T61" i="9"/>
  <c r="P61" i="9"/>
  <c r="H61" i="9"/>
  <c r="D61" i="9"/>
  <c r="L61" i="9" s="1"/>
  <c r="B61" i="9"/>
  <c r="X60" i="9"/>
  <c r="Z60" i="9" s="1"/>
  <c r="L60" i="9"/>
  <c r="N60" i="9" s="1"/>
  <c r="J60" i="9"/>
  <c r="B60" i="9"/>
  <c r="Z59" i="9"/>
  <c r="X59" i="9"/>
  <c r="N59" i="9"/>
  <c r="L59" i="9"/>
  <c r="B59" i="9"/>
  <c r="T58" i="9"/>
  <c r="R58" i="9"/>
  <c r="P58" i="9"/>
  <c r="X58" i="9" s="1"/>
  <c r="Z58" i="9" s="1"/>
  <c r="H58" i="9"/>
  <c r="D58" i="9"/>
  <c r="L58" i="9" s="1"/>
  <c r="B58" i="9"/>
  <c r="X57" i="9"/>
  <c r="Z57" i="9" s="1"/>
  <c r="R57" i="9"/>
  <c r="N57" i="9"/>
  <c r="L57" i="9"/>
  <c r="B57" i="9"/>
  <c r="X56" i="9"/>
  <c r="T56" i="9"/>
  <c r="Z56" i="9" s="1"/>
  <c r="R56" i="9"/>
  <c r="P56" i="9"/>
  <c r="H56" i="9"/>
  <c r="D56" i="9"/>
  <c r="L56" i="9" s="1"/>
  <c r="N56" i="9" s="1"/>
  <c r="B56" i="9"/>
  <c r="X55" i="9"/>
  <c r="Z55" i="9" s="1"/>
  <c r="R55" i="9"/>
  <c r="L55" i="9"/>
  <c r="N55" i="9" s="1"/>
  <c r="B55" i="9"/>
  <c r="T54" i="9"/>
  <c r="R54" i="9"/>
  <c r="P54" i="9"/>
  <c r="J54" i="9"/>
  <c r="H54" i="9"/>
  <c r="D54" i="9"/>
  <c r="L54" i="9" s="1"/>
  <c r="N54" i="9" s="1"/>
  <c r="B54" i="9"/>
  <c r="Z53" i="9"/>
  <c r="X53" i="9"/>
  <c r="R53" i="9"/>
  <c r="N53" i="9"/>
  <c r="L53" i="9"/>
  <c r="B53" i="9"/>
  <c r="T52" i="9"/>
  <c r="P52" i="9"/>
  <c r="X52" i="9" s="1"/>
  <c r="N52" i="9"/>
  <c r="J52" i="9"/>
  <c r="H52" i="9"/>
  <c r="D52" i="9"/>
  <c r="L52" i="9" s="1"/>
  <c r="B52" i="9"/>
  <c r="Z51" i="9"/>
  <c r="X51" i="9"/>
  <c r="N51" i="9"/>
  <c r="L51" i="9"/>
  <c r="B51" i="9"/>
  <c r="Z50" i="9"/>
  <c r="X50" i="9"/>
  <c r="R50" i="9"/>
  <c r="N50" i="9"/>
  <c r="L50" i="9"/>
  <c r="B50" i="9"/>
  <c r="T49" i="9"/>
  <c r="P49" i="9"/>
  <c r="H49" i="9"/>
  <c r="D49" i="9"/>
  <c r="L49" i="9" s="1"/>
  <c r="N49" i="9" s="1"/>
  <c r="B49" i="9"/>
  <c r="Z48" i="9"/>
  <c r="X48" i="9"/>
  <c r="L48" i="9"/>
  <c r="N48" i="9" s="1"/>
  <c r="B48" i="9"/>
  <c r="T47" i="9"/>
  <c r="Z47" i="9" s="1"/>
  <c r="P47" i="9"/>
  <c r="X47" i="9" s="1"/>
  <c r="H47" i="9"/>
  <c r="N47" i="9" s="1"/>
  <c r="D47" i="9"/>
  <c r="L47" i="9" s="1"/>
  <c r="B47" i="9"/>
  <c r="Z46" i="9"/>
  <c r="X46" i="9"/>
  <c r="N46" i="9"/>
  <c r="L46" i="9"/>
  <c r="B46" i="9"/>
  <c r="T45" i="9"/>
  <c r="P45" i="9"/>
  <c r="X45" i="9" s="1"/>
  <c r="L45" i="9"/>
  <c r="H45" i="9"/>
  <c r="D45" i="9"/>
  <c r="B45" i="9"/>
  <c r="X44" i="9"/>
  <c r="Z44" i="9" s="1"/>
  <c r="N44" i="9"/>
  <c r="L44" i="9"/>
  <c r="J44" i="9"/>
  <c r="B44" i="9"/>
  <c r="T43" i="9"/>
  <c r="R43" i="9"/>
  <c r="P43" i="9"/>
  <c r="X43" i="9" s="1"/>
  <c r="Z43" i="9" s="1"/>
  <c r="H43" i="9"/>
  <c r="D43" i="9"/>
  <c r="B43" i="9"/>
  <c r="Z42" i="9"/>
  <c r="X42" i="9"/>
  <c r="R42" i="9"/>
  <c r="N42" i="9"/>
  <c r="L42" i="9"/>
  <c r="J42" i="9"/>
  <c r="B42" i="9"/>
  <c r="Z41" i="9"/>
  <c r="X41" i="9"/>
  <c r="R41" i="9"/>
  <c r="N41" i="9"/>
  <c r="L41" i="9"/>
  <c r="J41" i="9"/>
  <c r="B41" i="9"/>
  <c r="Z40" i="9"/>
  <c r="X40" i="9"/>
  <c r="V40" i="9"/>
  <c r="L40" i="9"/>
  <c r="N40" i="9" s="1"/>
  <c r="B40" i="9"/>
  <c r="X39" i="9"/>
  <c r="Z39" i="9" s="1"/>
  <c r="R39" i="9"/>
  <c r="L39" i="9"/>
  <c r="N39" i="9" s="1"/>
  <c r="B39" i="9"/>
  <c r="Z38" i="9"/>
  <c r="X38" i="9"/>
  <c r="R38" i="9"/>
  <c r="N38" i="9"/>
  <c r="L38" i="9"/>
  <c r="J38" i="9"/>
  <c r="B38" i="9"/>
  <c r="X37" i="9"/>
  <c r="Z37" i="9" s="1"/>
  <c r="R37" i="9"/>
  <c r="N37" i="9"/>
  <c r="L37" i="9"/>
  <c r="J37" i="9"/>
  <c r="B37" i="9"/>
  <c r="Z36" i="9"/>
  <c r="X36" i="9"/>
  <c r="L36" i="9"/>
  <c r="N36" i="9" s="1"/>
  <c r="B36" i="9"/>
  <c r="Z35" i="9"/>
  <c r="X35" i="9"/>
  <c r="R35" i="9"/>
  <c r="N35" i="9"/>
  <c r="L35" i="9"/>
  <c r="B35" i="9"/>
  <c r="Z34" i="9"/>
  <c r="X34" i="9"/>
  <c r="R34" i="9"/>
  <c r="N34" i="9"/>
  <c r="L34" i="9"/>
  <c r="J34" i="9"/>
  <c r="B34" i="9"/>
  <c r="X33" i="9"/>
  <c r="Z33" i="9" s="1"/>
  <c r="R33" i="9"/>
  <c r="L33" i="9"/>
  <c r="N33" i="9" s="1"/>
  <c r="J33" i="9"/>
  <c r="B33" i="9"/>
  <c r="V32" i="9"/>
  <c r="T32" i="9"/>
  <c r="P32" i="9"/>
  <c r="X32" i="9" s="1"/>
  <c r="Z32" i="9" s="1"/>
  <c r="H32" i="9"/>
  <c r="D32" i="9"/>
  <c r="L32" i="9" s="1"/>
  <c r="B32" i="9"/>
  <c r="X31" i="9"/>
  <c r="Z31" i="9" s="1"/>
  <c r="N31" i="9"/>
  <c r="L31" i="9"/>
  <c r="B31" i="9"/>
  <c r="Z30" i="9"/>
  <c r="X30" i="9"/>
  <c r="N30" i="9"/>
  <c r="L30" i="9"/>
  <c r="B30" i="9"/>
  <c r="Z29" i="9"/>
  <c r="X29" i="9"/>
  <c r="R29" i="9"/>
  <c r="L29" i="9"/>
  <c r="N29" i="9" s="1"/>
  <c r="B29" i="9"/>
  <c r="X28" i="9"/>
  <c r="Z28" i="9" s="1"/>
  <c r="L28" i="9"/>
  <c r="N28" i="9" s="1"/>
  <c r="J28" i="9"/>
  <c r="B28" i="9"/>
  <c r="Z27" i="9"/>
  <c r="X27" i="9"/>
  <c r="N27" i="9"/>
  <c r="L27" i="9"/>
  <c r="B27" i="9"/>
  <c r="Z26" i="9"/>
  <c r="X26" i="9"/>
  <c r="N26" i="9"/>
  <c r="L26" i="9"/>
  <c r="B26" i="9"/>
  <c r="X25" i="9"/>
  <c r="Z25" i="9" s="1"/>
  <c r="R25" i="9"/>
  <c r="L25" i="9"/>
  <c r="N25" i="9" s="1"/>
  <c r="B25" i="9"/>
  <c r="X24" i="9"/>
  <c r="Z24" i="9" s="1"/>
  <c r="L24" i="9"/>
  <c r="N24" i="9" s="1"/>
  <c r="J24" i="9"/>
  <c r="B24" i="9"/>
  <c r="X23" i="9"/>
  <c r="Z23" i="9" s="1"/>
  <c r="N23" i="9"/>
  <c r="L23" i="9"/>
  <c r="B23" i="9"/>
  <c r="Z22" i="9"/>
  <c r="X22" i="9"/>
  <c r="N22" i="9"/>
  <c r="L22" i="9"/>
  <c r="B22" i="9"/>
  <c r="Z21" i="9"/>
  <c r="X21" i="9"/>
  <c r="R21" i="9"/>
  <c r="L21" i="9"/>
  <c r="N21" i="9" s="1"/>
  <c r="F21" i="9"/>
  <c r="B21" i="9"/>
  <c r="T20" i="9"/>
  <c r="P20" i="9"/>
  <c r="X20" i="9" s="1"/>
  <c r="N20" i="9"/>
  <c r="L20" i="9"/>
  <c r="J20" i="9"/>
  <c r="H20" i="9"/>
  <c r="F20" i="9"/>
  <c r="D20" i="9"/>
  <c r="B20" i="9"/>
  <c r="T19" i="9"/>
  <c r="R19" i="9"/>
  <c r="P19" i="9"/>
  <c r="X19" i="9" s="1"/>
  <c r="Z19" i="9" s="1"/>
  <c r="H19" i="9"/>
  <c r="D19" i="9"/>
  <c r="R17" i="9"/>
  <c r="H17" i="9"/>
  <c r="Z15" i="9"/>
  <c r="T15" i="9"/>
  <c r="R15" i="9"/>
  <c r="P15" i="9"/>
  <c r="X15" i="9" s="1"/>
  <c r="H15" i="9"/>
  <c r="D15" i="9"/>
  <c r="Z13" i="9"/>
  <c r="X13" i="9"/>
  <c r="P13" i="9"/>
  <c r="N13" i="9"/>
  <c r="D13" i="9"/>
  <c r="D12" i="9" s="1"/>
  <c r="F25" i="9" s="1"/>
  <c r="B13" i="9"/>
  <c r="T12" i="9"/>
  <c r="V102" i="9" s="1"/>
  <c r="P12" i="9"/>
  <c r="R100" i="9" s="1"/>
  <c r="H12" i="9"/>
  <c r="J95" i="9" s="1"/>
  <c r="D4" i="9"/>
  <c r="T29" i="6"/>
  <c r="P29" i="6"/>
  <c r="H29" i="6"/>
  <c r="D29" i="6"/>
  <c r="L29" i="6" s="1"/>
  <c r="N29" i="6" s="1"/>
  <c r="T28" i="6"/>
  <c r="P28" i="6"/>
  <c r="H28" i="6"/>
  <c r="D28" i="6"/>
  <c r="L28" i="6" s="1"/>
  <c r="N28" i="6" s="1"/>
  <c r="Z24" i="6"/>
  <c r="X24" i="6"/>
  <c r="R24" i="6"/>
  <c r="N24" i="6"/>
  <c r="L24" i="6"/>
  <c r="J24" i="6"/>
  <c r="T20" i="6"/>
  <c r="Z20" i="6" s="1"/>
  <c r="P20" i="6"/>
  <c r="X20" i="6" s="1"/>
  <c r="L20" i="6"/>
  <c r="H20" i="6"/>
  <c r="N20" i="6" s="1"/>
  <c r="D20" i="6"/>
  <c r="T18" i="6"/>
  <c r="Z18" i="6" s="1"/>
  <c r="P18" i="6"/>
  <c r="X18" i="6" s="1"/>
  <c r="L18" i="6"/>
  <c r="H18" i="6"/>
  <c r="N18" i="6" s="1"/>
  <c r="D18" i="6"/>
  <c r="T14" i="6"/>
  <c r="Z14" i="6" s="1"/>
  <c r="P14" i="6"/>
  <c r="X14" i="6" s="1"/>
  <c r="L14" i="6"/>
  <c r="H14" i="6"/>
  <c r="N14" i="6" s="1"/>
  <c r="D14" i="6"/>
  <c r="T12" i="6"/>
  <c r="Z12" i="6" s="1"/>
  <c r="P12" i="6"/>
  <c r="R31" i="6" s="1"/>
  <c r="H12" i="6"/>
  <c r="J22" i="6" s="1"/>
  <c r="D12" i="6"/>
  <c r="D4" i="6"/>
  <c r="T268" i="3"/>
  <c r="P268" i="3"/>
  <c r="X268" i="3" s="1"/>
  <c r="J268" i="3"/>
  <c r="H268" i="3"/>
  <c r="D268" i="3"/>
  <c r="L268" i="3" s="1"/>
  <c r="N268" i="3" s="1"/>
  <c r="T267" i="3"/>
  <c r="P267" i="3"/>
  <c r="X267" i="3" s="1"/>
  <c r="J267" i="3"/>
  <c r="H267" i="3"/>
  <c r="D267" i="3"/>
  <c r="L267" i="3" s="1"/>
  <c r="N267" i="3" s="1"/>
  <c r="Z263" i="3"/>
  <c r="X263" i="3"/>
  <c r="N263" i="3"/>
  <c r="L263" i="3"/>
  <c r="J263" i="3"/>
  <c r="Z259" i="3"/>
  <c r="P259" i="3"/>
  <c r="X259" i="3" s="1"/>
  <c r="N259" i="3"/>
  <c r="D259" i="3"/>
  <c r="L259" i="3" s="1"/>
  <c r="B259" i="3"/>
  <c r="Z258" i="3"/>
  <c r="X258" i="3"/>
  <c r="P258" i="3"/>
  <c r="N258" i="3"/>
  <c r="D258" i="3"/>
  <c r="L258" i="3" s="1"/>
  <c r="B258" i="3"/>
  <c r="Z257" i="3"/>
  <c r="X257" i="3"/>
  <c r="V257" i="3"/>
  <c r="P257" i="3"/>
  <c r="D257" i="3"/>
  <c r="L257" i="3" s="1"/>
  <c r="N257" i="3" s="1"/>
  <c r="B257" i="3"/>
  <c r="Z256" i="3"/>
  <c r="X256" i="3"/>
  <c r="P256" i="3"/>
  <c r="N256" i="3"/>
  <c r="L256" i="3"/>
  <c r="D256" i="3"/>
  <c r="B256" i="3"/>
  <c r="V255" i="3"/>
  <c r="P255" i="3"/>
  <c r="X255" i="3" s="1"/>
  <c r="Z255" i="3" s="1"/>
  <c r="D255" i="3"/>
  <c r="L255" i="3" s="1"/>
  <c r="N255" i="3" s="1"/>
  <c r="B255" i="3"/>
  <c r="X254" i="3"/>
  <c r="Z254" i="3" s="1"/>
  <c r="P254" i="3"/>
  <c r="D254" i="3"/>
  <c r="L254" i="3" s="1"/>
  <c r="N254" i="3" s="1"/>
  <c r="B254" i="3"/>
  <c r="Z253" i="3"/>
  <c r="V253" i="3"/>
  <c r="P253" i="3"/>
  <c r="X253" i="3" s="1"/>
  <c r="N253" i="3"/>
  <c r="L253" i="3"/>
  <c r="D253" i="3"/>
  <c r="B253" i="3"/>
  <c r="T252" i="3"/>
  <c r="H252" i="3"/>
  <c r="Z250" i="3"/>
  <c r="X250" i="3"/>
  <c r="L250" i="3"/>
  <c r="N250" i="3" s="1"/>
  <c r="B250" i="3"/>
  <c r="T249" i="3"/>
  <c r="Z249" i="3" s="1"/>
  <c r="P249" i="3"/>
  <c r="X249" i="3" s="1"/>
  <c r="J249" i="3"/>
  <c r="H249" i="3"/>
  <c r="L249" i="3" s="1"/>
  <c r="N249" i="3" s="1"/>
  <c r="D249" i="3"/>
  <c r="B249" i="3"/>
  <c r="X248" i="3"/>
  <c r="Z248" i="3" s="1"/>
  <c r="L248" i="3"/>
  <c r="N248" i="3" s="1"/>
  <c r="B248" i="3"/>
  <c r="Z247" i="3"/>
  <c r="X247" i="3"/>
  <c r="L247" i="3"/>
  <c r="N247" i="3" s="1"/>
  <c r="B247" i="3"/>
  <c r="X246" i="3"/>
  <c r="Z246" i="3" s="1"/>
  <c r="N246" i="3"/>
  <c r="L246" i="3"/>
  <c r="B246" i="3"/>
  <c r="X245" i="3"/>
  <c r="V245" i="3"/>
  <c r="T245" i="3"/>
  <c r="Z245" i="3" s="1"/>
  <c r="P245" i="3"/>
  <c r="H245" i="3"/>
  <c r="D245" i="3"/>
  <c r="L245" i="3" s="1"/>
  <c r="N245" i="3" s="1"/>
  <c r="B245" i="3"/>
  <c r="X244" i="3"/>
  <c r="Z244" i="3" s="1"/>
  <c r="L244" i="3"/>
  <c r="N244" i="3" s="1"/>
  <c r="B244" i="3"/>
  <c r="T243" i="3"/>
  <c r="P243" i="3"/>
  <c r="N243" i="3"/>
  <c r="L243" i="3"/>
  <c r="J243" i="3"/>
  <c r="H243" i="3"/>
  <c r="D243" i="3"/>
  <c r="B243" i="3"/>
  <c r="Z242" i="3"/>
  <c r="X242" i="3"/>
  <c r="L242" i="3"/>
  <c r="N242" i="3" s="1"/>
  <c r="B242" i="3"/>
  <c r="X241" i="3"/>
  <c r="Z241" i="3" s="1"/>
  <c r="L241" i="3"/>
  <c r="N241" i="3" s="1"/>
  <c r="J241" i="3"/>
  <c r="B241" i="3"/>
  <c r="X240" i="3"/>
  <c r="Z240" i="3" s="1"/>
  <c r="T240" i="3"/>
  <c r="P240" i="3"/>
  <c r="H240" i="3"/>
  <c r="D240" i="3"/>
  <c r="L240" i="3" s="1"/>
  <c r="B240" i="3"/>
  <c r="Z239" i="3"/>
  <c r="X239" i="3"/>
  <c r="L239" i="3"/>
  <c r="N239" i="3" s="1"/>
  <c r="B239" i="3"/>
  <c r="X238" i="3"/>
  <c r="Z238" i="3" s="1"/>
  <c r="N238" i="3"/>
  <c r="L238" i="3"/>
  <c r="B238" i="3"/>
  <c r="Z237" i="3"/>
  <c r="X237" i="3"/>
  <c r="V237" i="3"/>
  <c r="N237" i="3"/>
  <c r="L237" i="3"/>
  <c r="J237" i="3"/>
  <c r="B237" i="3"/>
  <c r="X236" i="3"/>
  <c r="Z236" i="3" s="1"/>
  <c r="L236" i="3"/>
  <c r="N236" i="3" s="1"/>
  <c r="B236" i="3"/>
  <c r="Z235" i="3"/>
  <c r="X235" i="3"/>
  <c r="L235" i="3"/>
  <c r="N235" i="3" s="1"/>
  <c r="B235" i="3"/>
  <c r="X234" i="3"/>
  <c r="Z234" i="3" s="1"/>
  <c r="L234" i="3"/>
  <c r="N234" i="3" s="1"/>
  <c r="B234" i="3"/>
  <c r="X233" i="3"/>
  <c r="Z233" i="3" s="1"/>
  <c r="V233" i="3"/>
  <c r="N233" i="3"/>
  <c r="L233" i="3"/>
  <c r="J233" i="3"/>
  <c r="B233" i="3"/>
  <c r="X232" i="3"/>
  <c r="Z232" i="3" s="1"/>
  <c r="L232" i="3"/>
  <c r="N232" i="3" s="1"/>
  <c r="B232" i="3"/>
  <c r="Z231" i="3"/>
  <c r="X231" i="3"/>
  <c r="L231" i="3"/>
  <c r="N231" i="3" s="1"/>
  <c r="B231" i="3"/>
  <c r="X230" i="3"/>
  <c r="Z230" i="3" s="1"/>
  <c r="L230" i="3"/>
  <c r="N230" i="3" s="1"/>
  <c r="B230" i="3"/>
  <c r="X229" i="3"/>
  <c r="Z229" i="3" s="1"/>
  <c r="V229" i="3"/>
  <c r="N229" i="3"/>
  <c r="L229" i="3"/>
  <c r="J229" i="3"/>
  <c r="B229" i="3"/>
  <c r="T228" i="3"/>
  <c r="P228" i="3"/>
  <c r="X228" i="3" s="1"/>
  <c r="Z228" i="3" s="1"/>
  <c r="L228" i="3"/>
  <c r="H228" i="3"/>
  <c r="D228" i="3"/>
  <c r="B228" i="3"/>
  <c r="X227" i="3"/>
  <c r="Z227" i="3" s="1"/>
  <c r="N227" i="3"/>
  <c r="L227" i="3"/>
  <c r="J227" i="3"/>
  <c r="B227" i="3"/>
  <c r="X226" i="3"/>
  <c r="Z226" i="3" s="1"/>
  <c r="N226" i="3"/>
  <c r="L226" i="3"/>
  <c r="B226" i="3"/>
  <c r="Z225" i="3"/>
  <c r="X225" i="3"/>
  <c r="V225" i="3"/>
  <c r="T225" i="3"/>
  <c r="P225" i="3"/>
  <c r="H225" i="3"/>
  <c r="N225" i="3" s="1"/>
  <c r="D225" i="3"/>
  <c r="L225" i="3" s="1"/>
  <c r="B225" i="3"/>
  <c r="X224" i="3"/>
  <c r="Z224" i="3" s="1"/>
  <c r="N224" i="3"/>
  <c r="L224" i="3"/>
  <c r="B224" i="3"/>
  <c r="Z223" i="3"/>
  <c r="X223" i="3"/>
  <c r="V223" i="3"/>
  <c r="N223" i="3"/>
  <c r="L223" i="3"/>
  <c r="B223" i="3"/>
  <c r="Z222" i="3"/>
  <c r="X222" i="3"/>
  <c r="L222" i="3"/>
  <c r="N222" i="3" s="1"/>
  <c r="B222" i="3"/>
  <c r="Z221" i="3"/>
  <c r="X221" i="3"/>
  <c r="N221" i="3"/>
  <c r="L221" i="3"/>
  <c r="J221" i="3"/>
  <c r="B221" i="3"/>
  <c r="X220" i="3"/>
  <c r="Z220" i="3" s="1"/>
  <c r="L220" i="3"/>
  <c r="N220" i="3" s="1"/>
  <c r="B220" i="3"/>
  <c r="Z219" i="3"/>
  <c r="X219" i="3"/>
  <c r="V219" i="3"/>
  <c r="T219" i="3"/>
  <c r="P219" i="3"/>
  <c r="H219" i="3"/>
  <c r="D219" i="3"/>
  <c r="L219" i="3" s="1"/>
  <c r="B219" i="3"/>
  <c r="X218" i="3"/>
  <c r="Z218" i="3" s="1"/>
  <c r="L218" i="3"/>
  <c r="N218" i="3" s="1"/>
  <c r="B218" i="3"/>
  <c r="X217" i="3"/>
  <c r="Z217" i="3" s="1"/>
  <c r="V217" i="3"/>
  <c r="N217" i="3"/>
  <c r="L217" i="3"/>
  <c r="J217" i="3"/>
  <c r="B217" i="3"/>
  <c r="Z216" i="3"/>
  <c r="X216" i="3"/>
  <c r="L216" i="3"/>
  <c r="N216" i="3" s="1"/>
  <c r="B216" i="3"/>
  <c r="Z215" i="3"/>
  <c r="X215" i="3"/>
  <c r="L215" i="3"/>
  <c r="N215" i="3" s="1"/>
  <c r="B215" i="3"/>
  <c r="X214" i="3"/>
  <c r="T214" i="3"/>
  <c r="P214" i="3"/>
  <c r="H214" i="3"/>
  <c r="D214" i="3"/>
  <c r="L214" i="3" s="1"/>
  <c r="N214" i="3" s="1"/>
  <c r="B214" i="3"/>
  <c r="Z213" i="3"/>
  <c r="X213" i="3"/>
  <c r="V213" i="3"/>
  <c r="L213" i="3"/>
  <c r="N213" i="3" s="1"/>
  <c r="B213" i="3"/>
  <c r="X212" i="3"/>
  <c r="Z212" i="3" s="1"/>
  <c r="L212" i="3"/>
  <c r="N212" i="3" s="1"/>
  <c r="B212" i="3"/>
  <c r="X211" i="3"/>
  <c r="Z211" i="3" s="1"/>
  <c r="N211" i="3"/>
  <c r="L211" i="3"/>
  <c r="J211" i="3"/>
  <c r="B211" i="3"/>
  <c r="X210" i="3"/>
  <c r="Z210" i="3" s="1"/>
  <c r="N210" i="3"/>
  <c r="L210" i="3"/>
  <c r="B210" i="3"/>
  <c r="Z209" i="3"/>
  <c r="V209" i="3"/>
  <c r="T209" i="3"/>
  <c r="P209" i="3"/>
  <c r="X209" i="3" s="1"/>
  <c r="H209" i="3"/>
  <c r="D209" i="3"/>
  <c r="L209" i="3" s="1"/>
  <c r="B209" i="3"/>
  <c r="X208" i="3"/>
  <c r="Z208" i="3" s="1"/>
  <c r="N208" i="3"/>
  <c r="L208" i="3"/>
  <c r="B208" i="3"/>
  <c r="Z207" i="3"/>
  <c r="X207" i="3"/>
  <c r="V207" i="3"/>
  <c r="T207" i="3"/>
  <c r="P207" i="3"/>
  <c r="H207" i="3"/>
  <c r="N207" i="3" s="1"/>
  <c r="D207" i="3"/>
  <c r="L207" i="3" s="1"/>
  <c r="B207" i="3"/>
  <c r="X206" i="3"/>
  <c r="Z206" i="3" s="1"/>
  <c r="N206" i="3"/>
  <c r="L206" i="3"/>
  <c r="B206" i="3"/>
  <c r="X205" i="3"/>
  <c r="V205" i="3"/>
  <c r="T205" i="3"/>
  <c r="Z205" i="3" s="1"/>
  <c r="P205" i="3"/>
  <c r="H205" i="3"/>
  <c r="D205" i="3"/>
  <c r="L205" i="3" s="1"/>
  <c r="N205" i="3" s="1"/>
  <c r="B205" i="3"/>
  <c r="X204" i="3"/>
  <c r="Z204" i="3" s="1"/>
  <c r="N204" i="3"/>
  <c r="L204" i="3"/>
  <c r="B204" i="3"/>
  <c r="T203" i="3"/>
  <c r="P203" i="3"/>
  <c r="X203" i="3" s="1"/>
  <c r="N203" i="3"/>
  <c r="J203" i="3"/>
  <c r="H203" i="3"/>
  <c r="D203" i="3"/>
  <c r="L203" i="3" s="1"/>
  <c r="B203" i="3"/>
  <c r="Z202" i="3"/>
  <c r="X202" i="3"/>
  <c r="L202" i="3"/>
  <c r="N202" i="3" s="1"/>
  <c r="B202" i="3"/>
  <c r="T201" i="3"/>
  <c r="P201" i="3"/>
  <c r="X201" i="3" s="1"/>
  <c r="J201" i="3"/>
  <c r="H201" i="3"/>
  <c r="D201" i="3"/>
  <c r="L201" i="3" s="1"/>
  <c r="N201" i="3" s="1"/>
  <c r="B201" i="3"/>
  <c r="Z200" i="3"/>
  <c r="X200" i="3"/>
  <c r="L200" i="3"/>
  <c r="N200" i="3" s="1"/>
  <c r="B200" i="3"/>
  <c r="T199" i="3"/>
  <c r="P199" i="3"/>
  <c r="X199" i="3" s="1"/>
  <c r="Z199" i="3" s="1"/>
  <c r="L199" i="3"/>
  <c r="J199" i="3"/>
  <c r="H199" i="3"/>
  <c r="N199" i="3" s="1"/>
  <c r="D199" i="3"/>
  <c r="B199" i="3"/>
  <c r="X198" i="3"/>
  <c r="Z198" i="3" s="1"/>
  <c r="N198" i="3"/>
  <c r="L198" i="3"/>
  <c r="B198" i="3"/>
  <c r="Z197" i="3"/>
  <c r="V197" i="3"/>
  <c r="T197" i="3"/>
  <c r="P197" i="3"/>
  <c r="X197" i="3" s="1"/>
  <c r="H197" i="3"/>
  <c r="N197" i="3" s="1"/>
  <c r="D197" i="3"/>
  <c r="L197" i="3" s="1"/>
  <c r="B197" i="3"/>
  <c r="X196" i="3"/>
  <c r="Z196" i="3" s="1"/>
  <c r="N196" i="3"/>
  <c r="L196" i="3"/>
  <c r="B196" i="3"/>
  <c r="Z195" i="3"/>
  <c r="X195" i="3"/>
  <c r="V195" i="3"/>
  <c r="N195" i="3"/>
  <c r="L195" i="3"/>
  <c r="B195" i="3"/>
  <c r="Z194" i="3"/>
  <c r="X194" i="3"/>
  <c r="N194" i="3"/>
  <c r="L194" i="3"/>
  <c r="B194" i="3"/>
  <c r="T193" i="3"/>
  <c r="P193" i="3"/>
  <c r="X193" i="3" s="1"/>
  <c r="Z193" i="3" s="1"/>
  <c r="J193" i="3"/>
  <c r="H193" i="3"/>
  <c r="D193" i="3"/>
  <c r="L193" i="3" s="1"/>
  <c r="N193" i="3" s="1"/>
  <c r="B193" i="3"/>
  <c r="Z192" i="3"/>
  <c r="X192" i="3"/>
  <c r="L192" i="3"/>
  <c r="N192" i="3" s="1"/>
  <c r="B192" i="3"/>
  <c r="Z191" i="3"/>
  <c r="X191" i="3"/>
  <c r="L191" i="3"/>
  <c r="N191" i="3" s="1"/>
  <c r="B191" i="3"/>
  <c r="T190" i="3"/>
  <c r="X190" i="3" s="1"/>
  <c r="P190" i="3"/>
  <c r="H190" i="3"/>
  <c r="D190" i="3"/>
  <c r="L190" i="3" s="1"/>
  <c r="N190" i="3" s="1"/>
  <c r="B190" i="3"/>
  <c r="Z189" i="3"/>
  <c r="X189" i="3"/>
  <c r="V189" i="3"/>
  <c r="L189" i="3"/>
  <c r="N189" i="3" s="1"/>
  <c r="B189" i="3"/>
  <c r="T188" i="3"/>
  <c r="P188" i="3"/>
  <c r="X188" i="3" s="1"/>
  <c r="L188" i="3"/>
  <c r="N188" i="3" s="1"/>
  <c r="H188" i="3"/>
  <c r="D188" i="3"/>
  <c r="B188" i="3"/>
  <c r="Z187" i="3"/>
  <c r="X187" i="3"/>
  <c r="V187" i="3"/>
  <c r="N187" i="3"/>
  <c r="L187" i="3"/>
  <c r="B187" i="3"/>
  <c r="T186" i="3"/>
  <c r="P186" i="3"/>
  <c r="X186" i="3" s="1"/>
  <c r="L186" i="3"/>
  <c r="H186" i="3"/>
  <c r="D186" i="3"/>
  <c r="B186" i="3"/>
  <c r="X185" i="3"/>
  <c r="Z185" i="3" s="1"/>
  <c r="V185" i="3"/>
  <c r="N185" i="3"/>
  <c r="L185" i="3"/>
  <c r="J185" i="3"/>
  <c r="B185" i="3"/>
  <c r="Z184" i="3"/>
  <c r="X184" i="3"/>
  <c r="N184" i="3"/>
  <c r="L184" i="3"/>
  <c r="B184" i="3"/>
  <c r="Z183" i="3"/>
  <c r="T183" i="3"/>
  <c r="P183" i="3"/>
  <c r="X183" i="3" s="1"/>
  <c r="L183" i="3"/>
  <c r="N183" i="3" s="1"/>
  <c r="J183" i="3"/>
  <c r="H183" i="3"/>
  <c r="D183" i="3"/>
  <c r="B183" i="3"/>
  <c r="Z182" i="3"/>
  <c r="X182" i="3"/>
  <c r="N182" i="3"/>
  <c r="L182" i="3"/>
  <c r="B182" i="3"/>
  <c r="Z181" i="3"/>
  <c r="X181" i="3"/>
  <c r="V181" i="3"/>
  <c r="N181" i="3"/>
  <c r="L181" i="3"/>
  <c r="B181" i="3"/>
  <c r="T180" i="3"/>
  <c r="P180" i="3"/>
  <c r="L180" i="3"/>
  <c r="H180" i="3"/>
  <c r="N180" i="3" s="1"/>
  <c r="D180" i="3"/>
  <c r="B180" i="3"/>
  <c r="Z179" i="3"/>
  <c r="X179" i="3"/>
  <c r="V179" i="3"/>
  <c r="N179" i="3"/>
  <c r="L179" i="3"/>
  <c r="B179" i="3"/>
  <c r="X178" i="3"/>
  <c r="Z178" i="3" s="1"/>
  <c r="L178" i="3"/>
  <c r="N178" i="3" s="1"/>
  <c r="B178" i="3"/>
  <c r="Z177" i="3"/>
  <c r="X177" i="3"/>
  <c r="N177" i="3"/>
  <c r="L177" i="3"/>
  <c r="J177" i="3"/>
  <c r="B177" i="3"/>
  <c r="X176" i="3"/>
  <c r="T176" i="3"/>
  <c r="Z176" i="3" s="1"/>
  <c r="P176" i="3"/>
  <c r="H176" i="3"/>
  <c r="N176" i="3" s="1"/>
  <c r="D176" i="3"/>
  <c r="L176" i="3" s="1"/>
  <c r="B176" i="3"/>
  <c r="Z175" i="3"/>
  <c r="X175" i="3"/>
  <c r="N175" i="3"/>
  <c r="L175" i="3"/>
  <c r="B175" i="3"/>
  <c r="X174" i="3"/>
  <c r="T174" i="3"/>
  <c r="P174" i="3"/>
  <c r="H174" i="3"/>
  <c r="D174" i="3"/>
  <c r="L174" i="3" s="1"/>
  <c r="N174" i="3" s="1"/>
  <c r="B174" i="3"/>
  <c r="Z173" i="3"/>
  <c r="X173" i="3"/>
  <c r="V173" i="3"/>
  <c r="N173" i="3"/>
  <c r="L173" i="3"/>
  <c r="B173" i="3"/>
  <c r="X172" i="3"/>
  <c r="Z172" i="3" s="1"/>
  <c r="L172" i="3"/>
  <c r="N172" i="3" s="1"/>
  <c r="B172" i="3"/>
  <c r="T171" i="3"/>
  <c r="Z171" i="3" s="1"/>
  <c r="P171" i="3"/>
  <c r="X171" i="3" s="1"/>
  <c r="N171" i="3"/>
  <c r="J171" i="3"/>
  <c r="H171" i="3"/>
  <c r="D171" i="3"/>
  <c r="L171" i="3" s="1"/>
  <c r="B171" i="3"/>
  <c r="X170" i="3"/>
  <c r="Z170" i="3" s="1"/>
  <c r="L170" i="3"/>
  <c r="N170" i="3" s="1"/>
  <c r="B170" i="3"/>
  <c r="T169" i="3"/>
  <c r="P169" i="3"/>
  <c r="X169" i="3" s="1"/>
  <c r="Z169" i="3" s="1"/>
  <c r="J169" i="3"/>
  <c r="H169" i="3"/>
  <c r="D169" i="3"/>
  <c r="L169" i="3" s="1"/>
  <c r="N169" i="3" s="1"/>
  <c r="B169" i="3"/>
  <c r="Z168" i="3"/>
  <c r="X168" i="3"/>
  <c r="N168" i="3"/>
  <c r="L168" i="3"/>
  <c r="B168" i="3"/>
  <c r="Z167" i="3"/>
  <c r="X167" i="3"/>
  <c r="N167" i="3"/>
  <c r="L167" i="3"/>
  <c r="B167" i="3"/>
  <c r="X166" i="3"/>
  <c r="Z166" i="3" s="1"/>
  <c r="L166" i="3"/>
  <c r="N166" i="3" s="1"/>
  <c r="B166" i="3"/>
  <c r="X165" i="3"/>
  <c r="Z165" i="3" s="1"/>
  <c r="V165" i="3"/>
  <c r="N165" i="3"/>
  <c r="L165" i="3"/>
  <c r="J165" i="3"/>
  <c r="B165" i="3"/>
  <c r="Z164" i="3"/>
  <c r="X164" i="3"/>
  <c r="N164" i="3"/>
  <c r="L164" i="3"/>
  <c r="B164" i="3"/>
  <c r="Z163" i="3"/>
  <c r="X163" i="3"/>
  <c r="L163" i="3"/>
  <c r="N163" i="3" s="1"/>
  <c r="B163" i="3"/>
  <c r="X162" i="3"/>
  <c r="Z162" i="3" s="1"/>
  <c r="L162" i="3"/>
  <c r="N162" i="3" s="1"/>
  <c r="B162" i="3"/>
  <c r="Z161" i="3"/>
  <c r="X161" i="3"/>
  <c r="V161" i="3"/>
  <c r="N161" i="3"/>
  <c r="L161" i="3"/>
  <c r="J161" i="3"/>
  <c r="B161" i="3"/>
  <c r="Z160" i="3"/>
  <c r="X160" i="3"/>
  <c r="L160" i="3"/>
  <c r="N160" i="3" s="1"/>
  <c r="B160" i="3"/>
  <c r="Z159" i="3"/>
  <c r="X159" i="3"/>
  <c r="L159" i="3"/>
  <c r="N159" i="3" s="1"/>
  <c r="B159" i="3"/>
  <c r="T158" i="3"/>
  <c r="P158" i="3"/>
  <c r="H158" i="3"/>
  <c r="D158" i="3"/>
  <c r="L158" i="3" s="1"/>
  <c r="N158" i="3" s="1"/>
  <c r="B158" i="3"/>
  <c r="Z157" i="3"/>
  <c r="X157" i="3"/>
  <c r="V157" i="3"/>
  <c r="N157" i="3"/>
  <c r="L157" i="3"/>
  <c r="B157" i="3"/>
  <c r="X156" i="3"/>
  <c r="Z156" i="3" s="1"/>
  <c r="L156" i="3"/>
  <c r="N156" i="3" s="1"/>
  <c r="B156" i="3"/>
  <c r="X155" i="3"/>
  <c r="Z155" i="3" s="1"/>
  <c r="N155" i="3"/>
  <c r="L155" i="3"/>
  <c r="J155" i="3"/>
  <c r="B155" i="3"/>
  <c r="Z154" i="3"/>
  <c r="X154" i="3"/>
  <c r="N154" i="3"/>
  <c r="L154" i="3"/>
  <c r="B154" i="3"/>
  <c r="Z153" i="3"/>
  <c r="X153" i="3"/>
  <c r="V153" i="3"/>
  <c r="N153" i="3"/>
  <c r="L153" i="3"/>
  <c r="B153" i="3"/>
  <c r="X152" i="3"/>
  <c r="Z152" i="3" s="1"/>
  <c r="L152" i="3"/>
  <c r="N152" i="3" s="1"/>
  <c r="B152" i="3"/>
  <c r="Z151" i="3"/>
  <c r="X151" i="3"/>
  <c r="N151" i="3"/>
  <c r="L151" i="3"/>
  <c r="J151" i="3"/>
  <c r="B151" i="3"/>
  <c r="X150" i="3"/>
  <c r="Z150" i="3" s="1"/>
  <c r="L150" i="3"/>
  <c r="N150" i="3" s="1"/>
  <c r="B150" i="3"/>
  <c r="Z149" i="3"/>
  <c r="X149" i="3"/>
  <c r="V149" i="3"/>
  <c r="L149" i="3"/>
  <c r="N149" i="3" s="1"/>
  <c r="B149" i="3"/>
  <c r="X148" i="3"/>
  <c r="Z148" i="3" s="1"/>
  <c r="L148" i="3"/>
  <c r="N148" i="3" s="1"/>
  <c r="B148" i="3"/>
  <c r="T147" i="3"/>
  <c r="Z147" i="3" s="1"/>
  <c r="P147" i="3"/>
  <c r="X147" i="3" s="1"/>
  <c r="J147" i="3"/>
  <c r="H147" i="3"/>
  <c r="D147" i="3"/>
  <c r="L147" i="3" s="1"/>
  <c r="N147" i="3" s="1"/>
  <c r="B147" i="3"/>
  <c r="T146" i="3"/>
  <c r="P146" i="3"/>
  <c r="X146" i="3" s="1"/>
  <c r="L146" i="3"/>
  <c r="H146" i="3"/>
  <c r="D146" i="3"/>
  <c r="T144" i="3"/>
  <c r="T261" i="3" s="1"/>
  <c r="T265" i="3" s="1"/>
  <c r="Z142" i="3"/>
  <c r="X142" i="3"/>
  <c r="N142" i="3"/>
  <c r="L142" i="3"/>
  <c r="B142" i="3"/>
  <c r="Z141" i="3"/>
  <c r="X141" i="3"/>
  <c r="N141" i="3"/>
  <c r="L141" i="3"/>
  <c r="J141" i="3"/>
  <c r="B141" i="3"/>
  <c r="Z140" i="3"/>
  <c r="X140" i="3"/>
  <c r="N140" i="3"/>
  <c r="L140" i="3"/>
  <c r="B140" i="3"/>
  <c r="Z139" i="3"/>
  <c r="X139" i="3"/>
  <c r="V139" i="3"/>
  <c r="N139" i="3"/>
  <c r="L139" i="3"/>
  <c r="B139" i="3"/>
  <c r="Z138" i="3"/>
  <c r="X138" i="3"/>
  <c r="V138" i="3"/>
  <c r="N138" i="3"/>
  <c r="L138" i="3"/>
  <c r="B138" i="3"/>
  <c r="Z137" i="3"/>
  <c r="X137" i="3"/>
  <c r="N137" i="3"/>
  <c r="L137" i="3"/>
  <c r="J137" i="3"/>
  <c r="B137" i="3"/>
  <c r="Z136" i="3"/>
  <c r="X136" i="3"/>
  <c r="N136" i="3"/>
  <c r="L136" i="3"/>
  <c r="B136" i="3"/>
  <c r="Z135" i="3"/>
  <c r="X135" i="3"/>
  <c r="V135" i="3"/>
  <c r="N135" i="3"/>
  <c r="L135" i="3"/>
  <c r="B135" i="3"/>
  <c r="Z134" i="3"/>
  <c r="X134" i="3"/>
  <c r="N134" i="3"/>
  <c r="L134" i="3"/>
  <c r="B134" i="3"/>
  <c r="Z133" i="3"/>
  <c r="X133" i="3"/>
  <c r="N133" i="3"/>
  <c r="L133" i="3"/>
  <c r="J133" i="3"/>
  <c r="B133" i="3"/>
  <c r="Z132" i="3"/>
  <c r="X132" i="3"/>
  <c r="N132" i="3"/>
  <c r="L132" i="3"/>
  <c r="B132" i="3"/>
  <c r="Z131" i="3"/>
  <c r="X131" i="3"/>
  <c r="V131" i="3"/>
  <c r="N131" i="3"/>
  <c r="L131" i="3"/>
  <c r="B131" i="3"/>
  <c r="Z130" i="3"/>
  <c r="X130" i="3"/>
  <c r="V130" i="3"/>
  <c r="N130" i="3"/>
  <c r="L130" i="3"/>
  <c r="B130" i="3"/>
  <c r="Z129" i="3"/>
  <c r="X129" i="3"/>
  <c r="N129" i="3"/>
  <c r="L129" i="3"/>
  <c r="J129" i="3"/>
  <c r="B129" i="3"/>
  <c r="Z128" i="3"/>
  <c r="X128" i="3"/>
  <c r="N128" i="3"/>
  <c r="L128" i="3"/>
  <c r="B128" i="3"/>
  <c r="Z127" i="3"/>
  <c r="X127" i="3"/>
  <c r="V127" i="3"/>
  <c r="N127" i="3"/>
  <c r="L127" i="3"/>
  <c r="B127" i="3"/>
  <c r="Z126" i="3"/>
  <c r="X126" i="3"/>
  <c r="V126" i="3"/>
  <c r="N126" i="3"/>
  <c r="L126" i="3"/>
  <c r="B126" i="3"/>
  <c r="Z125" i="3"/>
  <c r="X125" i="3"/>
  <c r="N125" i="3"/>
  <c r="L125" i="3"/>
  <c r="J125" i="3"/>
  <c r="B125" i="3"/>
  <c r="Z124" i="3"/>
  <c r="X124" i="3"/>
  <c r="N124" i="3"/>
  <c r="L124" i="3"/>
  <c r="B124" i="3"/>
  <c r="Z123" i="3"/>
  <c r="X123" i="3"/>
  <c r="V123" i="3"/>
  <c r="N123" i="3"/>
  <c r="L123" i="3"/>
  <c r="B123" i="3"/>
  <c r="Z122" i="3"/>
  <c r="X122" i="3"/>
  <c r="V122" i="3"/>
  <c r="N122" i="3"/>
  <c r="L122" i="3"/>
  <c r="B122" i="3"/>
  <c r="Z121" i="3"/>
  <c r="X121" i="3"/>
  <c r="N121" i="3"/>
  <c r="L121" i="3"/>
  <c r="J121" i="3"/>
  <c r="B121" i="3"/>
  <c r="Z120" i="3"/>
  <c r="X120" i="3"/>
  <c r="N120" i="3"/>
  <c r="L120" i="3"/>
  <c r="B120" i="3"/>
  <c r="Z119" i="3"/>
  <c r="X119" i="3"/>
  <c r="V119" i="3"/>
  <c r="N119" i="3"/>
  <c r="L119" i="3"/>
  <c r="B119" i="3"/>
  <c r="Z118" i="3"/>
  <c r="X118" i="3"/>
  <c r="V118" i="3"/>
  <c r="N118" i="3"/>
  <c r="L118" i="3"/>
  <c r="B118" i="3"/>
  <c r="Z117" i="3"/>
  <c r="X117" i="3"/>
  <c r="N117" i="3"/>
  <c r="L117" i="3"/>
  <c r="J117" i="3"/>
  <c r="B117" i="3"/>
  <c r="Z116" i="3"/>
  <c r="X116" i="3"/>
  <c r="N116" i="3"/>
  <c r="L116" i="3"/>
  <c r="B116" i="3"/>
  <c r="Z115" i="3"/>
  <c r="X115" i="3"/>
  <c r="V115" i="3"/>
  <c r="N115" i="3"/>
  <c r="L115" i="3"/>
  <c r="B115" i="3"/>
  <c r="Z114" i="3"/>
  <c r="X114" i="3"/>
  <c r="V114" i="3"/>
  <c r="N114" i="3"/>
  <c r="L114" i="3"/>
  <c r="B114" i="3"/>
  <c r="Z113" i="3"/>
  <c r="X113" i="3"/>
  <c r="N113" i="3"/>
  <c r="L113" i="3"/>
  <c r="J113" i="3"/>
  <c r="B113" i="3"/>
  <c r="Z112" i="3"/>
  <c r="X112" i="3"/>
  <c r="N112" i="3"/>
  <c r="L112" i="3"/>
  <c r="B112" i="3"/>
  <c r="Z111" i="3"/>
  <c r="X111" i="3"/>
  <c r="V111" i="3"/>
  <c r="N111" i="3"/>
  <c r="L111" i="3"/>
  <c r="B111" i="3"/>
  <c r="Z110" i="3"/>
  <c r="X110" i="3"/>
  <c r="V110" i="3"/>
  <c r="N110" i="3"/>
  <c r="L110" i="3"/>
  <c r="B110" i="3"/>
  <c r="Z109" i="3"/>
  <c r="X109" i="3"/>
  <c r="N109" i="3"/>
  <c r="L109" i="3"/>
  <c r="J109" i="3"/>
  <c r="B109" i="3"/>
  <c r="Z108" i="3"/>
  <c r="X108" i="3"/>
  <c r="V108" i="3"/>
  <c r="N108" i="3"/>
  <c r="L108" i="3"/>
  <c r="B108" i="3"/>
  <c r="Z107" i="3"/>
  <c r="X107" i="3"/>
  <c r="V107" i="3"/>
  <c r="N107" i="3"/>
  <c r="L107" i="3"/>
  <c r="B107" i="3"/>
  <c r="Z106" i="3"/>
  <c r="X106" i="3"/>
  <c r="V106" i="3"/>
  <c r="N106" i="3"/>
  <c r="L106" i="3"/>
  <c r="B106" i="3"/>
  <c r="Z105" i="3"/>
  <c r="X105" i="3"/>
  <c r="N105" i="3"/>
  <c r="L105" i="3"/>
  <c r="J105" i="3"/>
  <c r="B105" i="3"/>
  <c r="Z104" i="3"/>
  <c r="X104" i="3"/>
  <c r="V104" i="3"/>
  <c r="N104" i="3"/>
  <c r="L104" i="3"/>
  <c r="B104" i="3"/>
  <c r="Z103" i="3"/>
  <c r="X103" i="3"/>
  <c r="V103" i="3"/>
  <c r="N103" i="3"/>
  <c r="L103" i="3"/>
  <c r="B103" i="3"/>
  <c r="Z102" i="3"/>
  <c r="X102" i="3"/>
  <c r="V102" i="3"/>
  <c r="N102" i="3"/>
  <c r="L102" i="3"/>
  <c r="B102" i="3"/>
  <c r="Z101" i="3"/>
  <c r="X101" i="3"/>
  <c r="N101" i="3"/>
  <c r="L101" i="3"/>
  <c r="J101" i="3"/>
  <c r="B101" i="3"/>
  <c r="Z100" i="3"/>
  <c r="X100" i="3"/>
  <c r="V100" i="3"/>
  <c r="N100" i="3"/>
  <c r="L100" i="3"/>
  <c r="B100" i="3"/>
  <c r="Z99" i="3"/>
  <c r="X99" i="3"/>
  <c r="V99" i="3"/>
  <c r="N99" i="3"/>
  <c r="L99" i="3"/>
  <c r="B99" i="3"/>
  <c r="X98" i="3"/>
  <c r="Z98" i="3" s="1"/>
  <c r="V98" i="3"/>
  <c r="L98" i="3"/>
  <c r="N98" i="3" s="1"/>
  <c r="B98" i="3"/>
  <c r="T97" i="3"/>
  <c r="P97" i="3"/>
  <c r="X97" i="3" s="1"/>
  <c r="Z97" i="3" s="1"/>
  <c r="J97" i="3"/>
  <c r="H97" i="3"/>
  <c r="D97" i="3"/>
  <c r="L97" i="3" s="1"/>
  <c r="N97" i="3" s="1"/>
  <c r="Z95" i="3"/>
  <c r="P95" i="3"/>
  <c r="X95" i="3" s="1"/>
  <c r="N95" i="3"/>
  <c r="D95" i="3"/>
  <c r="L95" i="3" s="1"/>
  <c r="B95" i="3"/>
  <c r="Z94" i="3"/>
  <c r="X94" i="3"/>
  <c r="P94" i="3"/>
  <c r="N94" i="3"/>
  <c r="L94" i="3"/>
  <c r="D94" i="3"/>
  <c r="B94" i="3"/>
  <c r="Z93" i="3"/>
  <c r="X93" i="3"/>
  <c r="P93" i="3"/>
  <c r="N93" i="3"/>
  <c r="L93" i="3"/>
  <c r="D93" i="3"/>
  <c r="B93" i="3"/>
  <c r="Z92" i="3"/>
  <c r="X92" i="3"/>
  <c r="P92" i="3"/>
  <c r="N92" i="3"/>
  <c r="D92" i="3"/>
  <c r="L92" i="3" s="1"/>
  <c r="B92" i="3"/>
  <c r="Z91" i="3"/>
  <c r="P91" i="3"/>
  <c r="X91" i="3" s="1"/>
  <c r="N91" i="3"/>
  <c r="L91" i="3"/>
  <c r="D91" i="3"/>
  <c r="B91" i="3"/>
  <c r="Z90" i="3"/>
  <c r="X90" i="3"/>
  <c r="P90" i="3"/>
  <c r="N90" i="3"/>
  <c r="L90" i="3"/>
  <c r="D90" i="3"/>
  <c r="B90" i="3"/>
  <c r="Z89" i="3"/>
  <c r="P89" i="3"/>
  <c r="X89" i="3" s="1"/>
  <c r="N89" i="3"/>
  <c r="L89" i="3"/>
  <c r="D89" i="3"/>
  <c r="B89" i="3"/>
  <c r="Z88" i="3"/>
  <c r="X88" i="3"/>
  <c r="P88" i="3"/>
  <c r="N88" i="3"/>
  <c r="D88" i="3"/>
  <c r="L88" i="3" s="1"/>
  <c r="B88" i="3"/>
  <c r="Z87" i="3"/>
  <c r="P87" i="3"/>
  <c r="X87" i="3" s="1"/>
  <c r="N87" i="3"/>
  <c r="L87" i="3"/>
  <c r="D87" i="3"/>
  <c r="B87" i="3"/>
  <c r="Z86" i="3"/>
  <c r="P86" i="3"/>
  <c r="X86" i="3" s="1"/>
  <c r="N86" i="3"/>
  <c r="D86" i="3"/>
  <c r="L86" i="3" s="1"/>
  <c r="B86" i="3"/>
  <c r="Z85" i="3"/>
  <c r="X85" i="3"/>
  <c r="P85" i="3"/>
  <c r="N85" i="3"/>
  <c r="L85" i="3"/>
  <c r="D85" i="3"/>
  <c r="B85" i="3"/>
  <c r="Z84" i="3"/>
  <c r="X84" i="3"/>
  <c r="P84" i="3"/>
  <c r="N84" i="3"/>
  <c r="D84" i="3"/>
  <c r="L84" i="3" s="1"/>
  <c r="B84" i="3"/>
  <c r="Z83" i="3"/>
  <c r="P83" i="3"/>
  <c r="X83" i="3" s="1"/>
  <c r="N83" i="3"/>
  <c r="D83" i="3"/>
  <c r="L83" i="3" s="1"/>
  <c r="B83" i="3"/>
  <c r="Z82" i="3"/>
  <c r="X82" i="3"/>
  <c r="P82" i="3"/>
  <c r="N82" i="3"/>
  <c r="L82" i="3"/>
  <c r="D82" i="3"/>
  <c r="B82" i="3"/>
  <c r="Z81" i="3"/>
  <c r="X81" i="3"/>
  <c r="P81" i="3"/>
  <c r="N81" i="3"/>
  <c r="L81" i="3"/>
  <c r="D81" i="3"/>
  <c r="B81" i="3"/>
  <c r="Z80" i="3"/>
  <c r="X80" i="3"/>
  <c r="P80" i="3"/>
  <c r="N80" i="3"/>
  <c r="D80" i="3"/>
  <c r="L80" i="3" s="1"/>
  <c r="B80" i="3"/>
  <c r="Z79" i="3"/>
  <c r="P79" i="3"/>
  <c r="X79" i="3" s="1"/>
  <c r="N79" i="3"/>
  <c r="L79" i="3"/>
  <c r="D79" i="3"/>
  <c r="B79" i="3"/>
  <c r="Z78" i="3"/>
  <c r="P78" i="3"/>
  <c r="X78" i="3" s="1"/>
  <c r="N78" i="3"/>
  <c r="L78" i="3"/>
  <c r="D78" i="3"/>
  <c r="B78" i="3"/>
  <c r="Z77" i="3"/>
  <c r="P77" i="3"/>
  <c r="X77" i="3" s="1"/>
  <c r="N77" i="3"/>
  <c r="L77" i="3"/>
  <c r="D77" i="3"/>
  <c r="B77" i="3"/>
  <c r="Z76" i="3"/>
  <c r="X76" i="3"/>
  <c r="P76" i="3"/>
  <c r="N76" i="3"/>
  <c r="D76" i="3"/>
  <c r="L76" i="3" s="1"/>
  <c r="B76" i="3"/>
  <c r="Z75" i="3"/>
  <c r="P75" i="3"/>
  <c r="X75" i="3" s="1"/>
  <c r="N75" i="3"/>
  <c r="D75" i="3"/>
  <c r="L75" i="3" s="1"/>
  <c r="B75" i="3"/>
  <c r="Z74" i="3"/>
  <c r="P74" i="3"/>
  <c r="X74" i="3" s="1"/>
  <c r="N74" i="3"/>
  <c r="D74" i="3"/>
  <c r="L74" i="3" s="1"/>
  <c r="B74" i="3"/>
  <c r="Z73" i="3"/>
  <c r="X73" i="3"/>
  <c r="P73" i="3"/>
  <c r="N73" i="3"/>
  <c r="L73" i="3"/>
  <c r="D73" i="3"/>
  <c r="B73" i="3"/>
  <c r="Z72" i="3"/>
  <c r="X72" i="3"/>
  <c r="P72" i="3"/>
  <c r="N72" i="3"/>
  <c r="D72" i="3"/>
  <c r="L72" i="3" s="1"/>
  <c r="B72" i="3"/>
  <c r="Z71" i="3"/>
  <c r="P71" i="3"/>
  <c r="X71" i="3" s="1"/>
  <c r="N71" i="3"/>
  <c r="D71" i="3"/>
  <c r="L71" i="3" s="1"/>
  <c r="B71" i="3"/>
  <c r="Z70" i="3"/>
  <c r="X70" i="3"/>
  <c r="P70" i="3"/>
  <c r="N70" i="3"/>
  <c r="L70" i="3"/>
  <c r="D70" i="3"/>
  <c r="B70" i="3"/>
  <c r="Z69" i="3"/>
  <c r="X69" i="3"/>
  <c r="P69" i="3"/>
  <c r="N69" i="3"/>
  <c r="L69" i="3"/>
  <c r="D69" i="3"/>
  <c r="B69" i="3"/>
  <c r="Z68" i="3"/>
  <c r="X68" i="3"/>
  <c r="P68" i="3"/>
  <c r="N68" i="3"/>
  <c r="D68" i="3"/>
  <c r="L68" i="3" s="1"/>
  <c r="B68" i="3"/>
  <c r="Z67" i="3"/>
  <c r="P67" i="3"/>
  <c r="X67" i="3" s="1"/>
  <c r="N67" i="3"/>
  <c r="L67" i="3"/>
  <c r="D67" i="3"/>
  <c r="B67" i="3"/>
  <c r="Z66" i="3"/>
  <c r="P66" i="3"/>
  <c r="X66" i="3" s="1"/>
  <c r="N66" i="3"/>
  <c r="L66" i="3"/>
  <c r="D66" i="3"/>
  <c r="B66" i="3"/>
  <c r="Z65" i="3"/>
  <c r="P65" i="3"/>
  <c r="X65" i="3" s="1"/>
  <c r="N65" i="3"/>
  <c r="L65" i="3"/>
  <c r="D65" i="3"/>
  <c r="B65" i="3"/>
  <c r="Z64" i="3"/>
  <c r="X64" i="3"/>
  <c r="P64" i="3"/>
  <c r="N64" i="3"/>
  <c r="D64" i="3"/>
  <c r="L64" i="3" s="1"/>
  <c r="B64" i="3"/>
  <c r="Z63" i="3"/>
  <c r="P63" i="3"/>
  <c r="X63" i="3" s="1"/>
  <c r="N63" i="3"/>
  <c r="L63" i="3"/>
  <c r="D63" i="3"/>
  <c r="B63" i="3"/>
  <c r="Z62" i="3"/>
  <c r="P62" i="3"/>
  <c r="X62" i="3" s="1"/>
  <c r="N62" i="3"/>
  <c r="D62" i="3"/>
  <c r="L62" i="3" s="1"/>
  <c r="B62" i="3"/>
  <c r="Z61" i="3"/>
  <c r="X61" i="3"/>
  <c r="P61" i="3"/>
  <c r="N61" i="3"/>
  <c r="L61" i="3"/>
  <c r="D61" i="3"/>
  <c r="B61" i="3"/>
  <c r="Z60" i="3"/>
  <c r="X60" i="3"/>
  <c r="P60" i="3"/>
  <c r="N60" i="3"/>
  <c r="D60" i="3"/>
  <c r="L60" i="3" s="1"/>
  <c r="B60" i="3"/>
  <c r="Z59" i="3"/>
  <c r="P59" i="3"/>
  <c r="X59" i="3" s="1"/>
  <c r="N59" i="3"/>
  <c r="D59" i="3"/>
  <c r="L59" i="3" s="1"/>
  <c r="B59" i="3"/>
  <c r="Z58" i="3"/>
  <c r="X58" i="3"/>
  <c r="P58" i="3"/>
  <c r="N58" i="3"/>
  <c r="L58" i="3"/>
  <c r="D58" i="3"/>
  <c r="B58" i="3"/>
  <c r="Z57" i="3"/>
  <c r="X57" i="3"/>
  <c r="P57" i="3"/>
  <c r="N57" i="3"/>
  <c r="L57" i="3"/>
  <c r="D57" i="3"/>
  <c r="B57" i="3"/>
  <c r="Z56" i="3"/>
  <c r="X56" i="3"/>
  <c r="P56" i="3"/>
  <c r="N56" i="3"/>
  <c r="D56" i="3"/>
  <c r="L56" i="3" s="1"/>
  <c r="B56" i="3"/>
  <c r="Z55" i="3"/>
  <c r="P55" i="3"/>
  <c r="X55" i="3" s="1"/>
  <c r="N55" i="3"/>
  <c r="L55" i="3"/>
  <c r="D55" i="3"/>
  <c r="B55" i="3"/>
  <c r="Z54" i="3"/>
  <c r="X54" i="3"/>
  <c r="P54" i="3"/>
  <c r="N54" i="3"/>
  <c r="L54" i="3"/>
  <c r="D54" i="3"/>
  <c r="B54" i="3"/>
  <c r="Z53" i="3"/>
  <c r="P53" i="3"/>
  <c r="X53" i="3" s="1"/>
  <c r="N53" i="3"/>
  <c r="L53" i="3"/>
  <c r="D53" i="3"/>
  <c r="B53" i="3"/>
  <c r="Z52" i="3"/>
  <c r="X52" i="3"/>
  <c r="P52" i="3"/>
  <c r="N52" i="3"/>
  <c r="D52" i="3"/>
  <c r="L52" i="3" s="1"/>
  <c r="B52" i="3"/>
  <c r="Z51" i="3"/>
  <c r="P51" i="3"/>
  <c r="X51" i="3" s="1"/>
  <c r="N51" i="3"/>
  <c r="L51" i="3"/>
  <c r="D51" i="3"/>
  <c r="B51" i="3"/>
  <c r="Z50" i="3"/>
  <c r="P50" i="3"/>
  <c r="X50" i="3" s="1"/>
  <c r="N50" i="3"/>
  <c r="D50" i="3"/>
  <c r="L50" i="3" s="1"/>
  <c r="B50" i="3"/>
  <c r="Z49" i="3"/>
  <c r="X49" i="3"/>
  <c r="P49" i="3"/>
  <c r="N49" i="3"/>
  <c r="L49" i="3"/>
  <c r="D49" i="3"/>
  <c r="B49" i="3"/>
  <c r="Z48" i="3"/>
  <c r="X48" i="3"/>
  <c r="P48" i="3"/>
  <c r="N48" i="3"/>
  <c r="D48" i="3"/>
  <c r="L48" i="3" s="1"/>
  <c r="B48" i="3"/>
  <c r="Z47" i="3"/>
  <c r="P47" i="3"/>
  <c r="X47" i="3" s="1"/>
  <c r="N47" i="3"/>
  <c r="D47" i="3"/>
  <c r="L47" i="3" s="1"/>
  <c r="B47" i="3"/>
  <c r="Z46" i="3"/>
  <c r="X46" i="3"/>
  <c r="P46" i="3"/>
  <c r="N46" i="3"/>
  <c r="L46" i="3"/>
  <c r="D46" i="3"/>
  <c r="B46" i="3"/>
  <c r="Z45" i="3"/>
  <c r="X45" i="3"/>
  <c r="P45" i="3"/>
  <c r="N45" i="3"/>
  <c r="L45" i="3"/>
  <c r="D45" i="3"/>
  <c r="B45" i="3"/>
  <c r="Z44" i="3"/>
  <c r="X44" i="3"/>
  <c r="P44" i="3"/>
  <c r="N44" i="3"/>
  <c r="D44" i="3"/>
  <c r="L44" i="3" s="1"/>
  <c r="B44" i="3"/>
  <c r="Z43" i="3"/>
  <c r="P43" i="3"/>
  <c r="X43" i="3" s="1"/>
  <c r="N43" i="3"/>
  <c r="L43" i="3"/>
  <c r="D43" i="3"/>
  <c r="B43" i="3"/>
  <c r="Z42" i="3"/>
  <c r="X42" i="3"/>
  <c r="P42" i="3"/>
  <c r="N42" i="3"/>
  <c r="L42" i="3"/>
  <c r="D42" i="3"/>
  <c r="B42" i="3"/>
  <c r="Z41" i="3"/>
  <c r="P41" i="3"/>
  <c r="X41" i="3" s="1"/>
  <c r="N41" i="3"/>
  <c r="L41" i="3"/>
  <c r="D41" i="3"/>
  <c r="B41" i="3"/>
  <c r="Z40" i="3"/>
  <c r="X40" i="3"/>
  <c r="P40" i="3"/>
  <c r="N40" i="3"/>
  <c r="D40" i="3"/>
  <c r="L40" i="3" s="1"/>
  <c r="B40" i="3"/>
  <c r="Z39" i="3"/>
  <c r="P39" i="3"/>
  <c r="X39" i="3" s="1"/>
  <c r="N39" i="3"/>
  <c r="L39" i="3"/>
  <c r="D39" i="3"/>
  <c r="B39" i="3"/>
  <c r="Z38" i="3"/>
  <c r="P38" i="3"/>
  <c r="X38" i="3" s="1"/>
  <c r="N38" i="3"/>
  <c r="D38" i="3"/>
  <c r="L38" i="3" s="1"/>
  <c r="B38" i="3"/>
  <c r="Z37" i="3"/>
  <c r="X37" i="3"/>
  <c r="P37" i="3"/>
  <c r="N37" i="3"/>
  <c r="L37" i="3"/>
  <c r="D37" i="3"/>
  <c r="B37" i="3"/>
  <c r="Z36" i="3"/>
  <c r="X36" i="3"/>
  <c r="P36" i="3"/>
  <c r="N36" i="3"/>
  <c r="D36" i="3"/>
  <c r="L36" i="3" s="1"/>
  <c r="B36" i="3"/>
  <c r="Z35" i="3"/>
  <c r="P35" i="3"/>
  <c r="X35" i="3" s="1"/>
  <c r="N35" i="3"/>
  <c r="D35" i="3"/>
  <c r="L35" i="3" s="1"/>
  <c r="B35" i="3"/>
  <c r="Z34" i="3"/>
  <c r="X34" i="3"/>
  <c r="P34" i="3"/>
  <c r="N34" i="3"/>
  <c r="L34" i="3"/>
  <c r="D34" i="3"/>
  <c r="B34" i="3"/>
  <c r="Z33" i="3"/>
  <c r="X33" i="3"/>
  <c r="P33" i="3"/>
  <c r="N33" i="3"/>
  <c r="L33" i="3"/>
  <c r="D33" i="3"/>
  <c r="B33" i="3"/>
  <c r="Z32" i="3"/>
  <c r="X32" i="3"/>
  <c r="P32" i="3"/>
  <c r="N32" i="3"/>
  <c r="D32" i="3"/>
  <c r="L32" i="3" s="1"/>
  <c r="B32" i="3"/>
  <c r="Z31" i="3"/>
  <c r="P31" i="3"/>
  <c r="X31" i="3" s="1"/>
  <c r="N31" i="3"/>
  <c r="L31" i="3"/>
  <c r="D31" i="3"/>
  <c r="B31" i="3"/>
  <c r="Z30" i="3"/>
  <c r="X30" i="3"/>
  <c r="P30" i="3"/>
  <c r="N30" i="3"/>
  <c r="L30" i="3"/>
  <c r="D30" i="3"/>
  <c r="B30" i="3"/>
  <c r="Z29" i="3"/>
  <c r="P29" i="3"/>
  <c r="X29" i="3" s="1"/>
  <c r="N29" i="3"/>
  <c r="L29" i="3"/>
  <c r="D29" i="3"/>
  <c r="B29" i="3"/>
  <c r="Z28" i="3"/>
  <c r="X28" i="3"/>
  <c r="P28" i="3"/>
  <c r="N28" i="3"/>
  <c r="D28" i="3"/>
  <c r="L28" i="3" s="1"/>
  <c r="B28" i="3"/>
  <c r="Z27" i="3"/>
  <c r="P27" i="3"/>
  <c r="X27" i="3" s="1"/>
  <c r="N27" i="3"/>
  <c r="L27" i="3"/>
  <c r="D27" i="3"/>
  <c r="B27" i="3"/>
  <c r="Z26" i="3"/>
  <c r="P26" i="3"/>
  <c r="X26" i="3" s="1"/>
  <c r="N26" i="3"/>
  <c r="D26" i="3"/>
  <c r="L26" i="3" s="1"/>
  <c r="B26" i="3"/>
  <c r="Z25" i="3"/>
  <c r="X25" i="3"/>
  <c r="P25" i="3"/>
  <c r="N25" i="3"/>
  <c r="L25" i="3"/>
  <c r="D25" i="3"/>
  <c r="B25" i="3"/>
  <c r="Z24" i="3"/>
  <c r="X24" i="3"/>
  <c r="P24" i="3"/>
  <c r="N24" i="3"/>
  <c r="D24" i="3"/>
  <c r="L24" i="3" s="1"/>
  <c r="B24" i="3"/>
  <c r="Z23" i="3"/>
  <c r="P23" i="3"/>
  <c r="X23" i="3" s="1"/>
  <c r="N23" i="3"/>
  <c r="D23" i="3"/>
  <c r="L23" i="3" s="1"/>
  <c r="B23" i="3"/>
  <c r="Z22" i="3"/>
  <c r="X22" i="3"/>
  <c r="P22" i="3"/>
  <c r="N22" i="3"/>
  <c r="L22" i="3"/>
  <c r="D22" i="3"/>
  <c r="B22" i="3"/>
  <c r="Z21" i="3"/>
  <c r="X21" i="3"/>
  <c r="P21" i="3"/>
  <c r="N21" i="3"/>
  <c r="L21" i="3"/>
  <c r="D21" i="3"/>
  <c r="B21" i="3"/>
  <c r="Z20" i="3"/>
  <c r="X20" i="3"/>
  <c r="P20" i="3"/>
  <c r="N20" i="3"/>
  <c r="D20" i="3"/>
  <c r="L20" i="3" s="1"/>
  <c r="B20" i="3"/>
  <c r="Z19" i="3"/>
  <c r="P19" i="3"/>
  <c r="X19" i="3" s="1"/>
  <c r="N19" i="3"/>
  <c r="L19" i="3"/>
  <c r="D19" i="3"/>
  <c r="B19" i="3"/>
  <c r="Z18" i="3"/>
  <c r="X18" i="3"/>
  <c r="P18" i="3"/>
  <c r="N18" i="3"/>
  <c r="L18" i="3"/>
  <c r="D18" i="3"/>
  <c r="B18" i="3"/>
  <c r="Z17" i="3"/>
  <c r="P17" i="3"/>
  <c r="X17" i="3" s="1"/>
  <c r="N17" i="3"/>
  <c r="L17" i="3"/>
  <c r="D17" i="3"/>
  <c r="B17" i="3"/>
  <c r="Z16" i="3"/>
  <c r="X16" i="3"/>
  <c r="P16" i="3"/>
  <c r="N16" i="3"/>
  <c r="D16" i="3"/>
  <c r="L16" i="3" s="1"/>
  <c r="B16" i="3"/>
  <c r="Z15" i="3"/>
  <c r="P15" i="3"/>
  <c r="X15" i="3" s="1"/>
  <c r="N15" i="3"/>
  <c r="L15" i="3"/>
  <c r="D15" i="3"/>
  <c r="B15" i="3"/>
  <c r="Z14" i="3"/>
  <c r="P14" i="3"/>
  <c r="X14" i="3" s="1"/>
  <c r="N14" i="3"/>
  <c r="D14" i="3"/>
  <c r="B14" i="3"/>
  <c r="Z13" i="3"/>
  <c r="X13" i="3"/>
  <c r="P13" i="3"/>
  <c r="L13" i="3"/>
  <c r="N13" i="3" s="1"/>
  <c r="D13" i="3"/>
  <c r="B13" i="3"/>
  <c r="T12" i="3"/>
  <c r="V258" i="3" s="1"/>
  <c r="H12" i="3"/>
  <c r="J253" i="3" s="1"/>
  <c r="D4" i="3"/>
  <c r="B39" i="112"/>
  <c r="H24" i="112"/>
  <c r="H22" i="112"/>
  <c r="H13" i="112"/>
  <c r="D5" i="112"/>
  <c r="P20" i="111"/>
  <c r="P16" i="111"/>
  <c r="D12" i="111"/>
  <c r="P24" i="110"/>
  <c r="P22" i="110"/>
  <c r="T20" i="110"/>
  <c r="T16" i="110"/>
  <c r="T13" i="110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P21" i="110"/>
  <c r="T15" i="110"/>
  <c r="P13" i="110"/>
  <c r="H12" i="110"/>
  <c r="B25" i="112"/>
  <c r="D24" i="112"/>
  <c r="D22" i="112"/>
  <c r="H20" i="112"/>
  <c r="H16" i="112"/>
  <c r="B13" i="112"/>
  <c r="B39" i="111"/>
  <c r="H24" i="111"/>
  <c r="H22" i="111"/>
  <c r="H13" i="111"/>
  <c r="D5" i="111"/>
  <c r="P20" i="110"/>
  <c r="P16" i="110"/>
  <c r="D12" i="110"/>
  <c r="P20" i="112"/>
  <c r="P16" i="112"/>
  <c r="D12" i="112"/>
  <c r="P24" i="111"/>
  <c r="P22" i="111"/>
  <c r="T20" i="111"/>
  <c r="T16" i="111"/>
  <c r="T13" i="111"/>
  <c r="T24" i="110"/>
  <c r="T22" i="110"/>
  <c r="H34" i="112"/>
  <c r="H33" i="112"/>
  <c r="H29" i="112"/>
  <c r="H25" i="112"/>
  <c r="P15" i="112"/>
  <c r="D6" i="112"/>
  <c r="P21" i="111"/>
  <c r="T15" i="111"/>
  <c r="P13" i="111"/>
  <c r="H12" i="111"/>
  <c r="P34" i="110"/>
  <c r="P33" i="110"/>
  <c r="P29" i="110"/>
  <c r="P25" i="110"/>
  <c r="T21" i="110"/>
  <c r="P22" i="112"/>
  <c r="T15" i="112"/>
  <c r="D33" i="111"/>
  <c r="D24" i="111"/>
  <c r="T21" i="111"/>
  <c r="D13" i="111"/>
  <c r="P12" i="110"/>
  <c r="H15" i="112"/>
  <c r="P29" i="111"/>
  <c r="T25" i="111"/>
  <c r="H21" i="111"/>
  <c r="D16" i="111"/>
  <c r="B13" i="111"/>
  <c r="D22" i="110"/>
  <c r="H15" i="110"/>
  <c r="D6" i="110"/>
  <c r="B22" i="112"/>
  <c r="T20" i="112"/>
  <c r="T33" i="112"/>
  <c r="T24" i="112"/>
  <c r="D15" i="112"/>
  <c r="B38" i="111"/>
  <c r="P25" i="111"/>
  <c r="D21" i="111"/>
  <c r="T33" i="110"/>
  <c r="H20" i="110"/>
  <c r="D15" i="110"/>
  <c r="D4" i="110"/>
  <c r="T16" i="112"/>
  <c r="P34" i="111"/>
  <c r="D25" i="111"/>
  <c r="T22" i="111"/>
  <c r="B21" i="111"/>
  <c r="T12" i="111"/>
  <c r="H33" i="110"/>
  <c r="H24" i="110"/>
  <c r="P33" i="112"/>
  <c r="T29" i="112"/>
  <c r="P24" i="112"/>
  <c r="D20" i="112"/>
  <c r="D34" i="111"/>
  <c r="B25" i="111"/>
  <c r="P12" i="111"/>
  <c r="T29" i="110"/>
  <c r="D20" i="110"/>
  <c r="H16" i="110"/>
  <c r="T21" i="112"/>
  <c r="T13" i="112"/>
  <c r="D33" i="110"/>
  <c r="H29" i="110"/>
  <c r="D24" i="110"/>
  <c r="H13" i="110"/>
  <c r="T34" i="112"/>
  <c r="P21" i="112"/>
  <c r="B16" i="112"/>
  <c r="B22" i="111"/>
  <c r="B39" i="110"/>
  <c r="T34" i="110"/>
  <c r="D29" i="110"/>
  <c r="H25" i="110"/>
  <c r="B16" i="110"/>
  <c r="B13" i="110"/>
  <c r="P34" i="112"/>
  <c r="T22" i="112"/>
  <c r="B21" i="112"/>
  <c r="T12" i="112"/>
  <c r="D25" i="110"/>
  <c r="B21" i="110"/>
  <c r="P12" i="112"/>
  <c r="P33" i="111"/>
  <c r="T29" i="111"/>
  <c r="D20" i="111"/>
  <c r="H16" i="111"/>
  <c r="D34" i="110"/>
  <c r="B25" i="110"/>
  <c r="H22" i="110"/>
  <c r="T12" i="110"/>
  <c r="D22" i="111"/>
  <c r="D4" i="111"/>
  <c r="T25" i="110"/>
  <c r="D16" i="110"/>
  <c r="T33" i="111"/>
  <c r="B38" i="110"/>
  <c r="P15" i="110"/>
  <c r="D16" i="112"/>
  <c r="D13" i="110"/>
  <c r="P29" i="112"/>
  <c r="H20" i="111"/>
  <c r="H34" i="110"/>
  <c r="D29" i="111"/>
  <c r="B22" i="110"/>
  <c r="D5" i="110"/>
  <c r="T25" i="112"/>
  <c r="P13" i="112"/>
  <c r="H21" i="110"/>
  <c r="P25" i="112"/>
  <c r="D21" i="110"/>
  <c r="T24" i="111"/>
  <c r="D15" i="111"/>
  <c r="D21" i="112"/>
  <c r="T34" i="111"/>
  <c r="H12" i="112"/>
  <c r="B16" i="111"/>
  <c r="H15" i="111"/>
  <c r="P21" i="53"/>
  <c r="T15" i="53"/>
  <c r="P13" i="53"/>
  <c r="H12" i="53"/>
  <c r="P24" i="52"/>
  <c r="P22" i="52"/>
  <c r="T20" i="52"/>
  <c r="T16" i="52"/>
  <c r="T13" i="52"/>
  <c r="P20" i="53"/>
  <c r="P16" i="53"/>
  <c r="D12" i="53"/>
  <c r="P21" i="52"/>
  <c r="T15" i="52"/>
  <c r="P13" i="52"/>
  <c r="H12" i="52"/>
  <c r="B39" i="53"/>
  <c r="H24" i="53"/>
  <c r="H22" i="53"/>
  <c r="H13" i="53"/>
  <c r="D4" i="53"/>
  <c r="H34" i="52"/>
  <c r="H33" i="52"/>
  <c r="H29" i="52"/>
  <c r="H25" i="52"/>
  <c r="P15" i="52"/>
  <c r="D5" i="52"/>
  <c r="B38" i="53"/>
  <c r="D34" i="53"/>
  <c r="D33" i="53"/>
  <c r="D29" i="53"/>
  <c r="D25" i="53"/>
  <c r="H21" i="53"/>
  <c r="D13" i="53"/>
  <c r="B39" i="52"/>
  <c r="H24" i="52"/>
  <c r="H22" i="52"/>
  <c r="H13" i="52"/>
  <c r="D4" i="52"/>
  <c r="B22" i="53"/>
  <c r="D21" i="53"/>
  <c r="H15" i="53"/>
  <c r="B25" i="52"/>
  <c r="D24" i="52"/>
  <c r="D22" i="52"/>
  <c r="H20" i="52"/>
  <c r="H16" i="52"/>
  <c r="B13" i="52"/>
  <c r="B21" i="53"/>
  <c r="D20" i="53"/>
  <c r="D16" i="53"/>
  <c r="B22" i="52"/>
  <c r="D21" i="52"/>
  <c r="H15" i="52"/>
  <c r="P34" i="53"/>
  <c r="P33" i="53"/>
  <c r="P29" i="53"/>
  <c r="P25" i="53"/>
  <c r="T21" i="53"/>
  <c r="T24" i="52"/>
  <c r="T22" i="52"/>
  <c r="P12" i="52"/>
  <c r="P24" i="53"/>
  <c r="P22" i="53"/>
  <c r="T20" i="53"/>
  <c r="T16" i="53"/>
  <c r="T13" i="53"/>
  <c r="P34" i="52"/>
  <c r="P33" i="52"/>
  <c r="P29" i="52"/>
  <c r="P25" i="52"/>
  <c r="T21" i="52"/>
  <c r="T33" i="53"/>
  <c r="D15" i="53"/>
  <c r="B21" i="52"/>
  <c r="D16" i="52"/>
  <c r="T34" i="50"/>
  <c r="P33" i="50"/>
  <c r="H29" i="50"/>
  <c r="H25" i="50"/>
  <c r="P15" i="50"/>
  <c r="D5" i="50"/>
  <c r="P20" i="49"/>
  <c r="P16" i="49"/>
  <c r="D12" i="49"/>
  <c r="T22" i="53"/>
  <c r="T34" i="52"/>
  <c r="T29" i="52"/>
  <c r="B16" i="52"/>
  <c r="H24" i="50"/>
  <c r="H22" i="50"/>
  <c r="H13" i="50"/>
  <c r="D4" i="50"/>
  <c r="H34" i="49"/>
  <c r="H33" i="49"/>
  <c r="H29" i="49"/>
  <c r="H25" i="49"/>
  <c r="P15" i="49"/>
  <c r="D5" i="49"/>
  <c r="H33" i="53"/>
  <c r="P20" i="52"/>
  <c r="P34" i="50"/>
  <c r="D29" i="50"/>
  <c r="D25" i="50"/>
  <c r="H21" i="50"/>
  <c r="D13" i="50"/>
  <c r="B39" i="49"/>
  <c r="H24" i="49"/>
  <c r="H22" i="49"/>
  <c r="H13" i="49"/>
  <c r="D4" i="49"/>
  <c r="D22" i="53"/>
  <c r="B13" i="53"/>
  <c r="D34" i="52"/>
  <c r="D29" i="52"/>
  <c r="H33" i="50"/>
  <c r="B25" i="50"/>
  <c r="D24" i="50"/>
  <c r="D22" i="50"/>
  <c r="H20" i="50"/>
  <c r="H16" i="50"/>
  <c r="B13" i="50"/>
  <c r="B38" i="49"/>
  <c r="D34" i="49"/>
  <c r="D33" i="49"/>
  <c r="D29" i="49"/>
  <c r="D25" i="49"/>
  <c r="H21" i="49"/>
  <c r="D13" i="49"/>
  <c r="T25" i="53"/>
  <c r="T12" i="53"/>
  <c r="D20" i="52"/>
  <c r="B22" i="50"/>
  <c r="D21" i="50"/>
  <c r="H15" i="50"/>
  <c r="B25" i="49"/>
  <c r="D24" i="49"/>
  <c r="D22" i="49"/>
  <c r="H20" i="49"/>
  <c r="H16" i="49"/>
  <c r="B13" i="49"/>
  <c r="P12" i="53"/>
  <c r="T33" i="52"/>
  <c r="D15" i="52"/>
  <c r="H25" i="53"/>
  <c r="D5" i="53"/>
  <c r="T29" i="50"/>
  <c r="T25" i="50"/>
  <c r="B16" i="50"/>
  <c r="D15" i="50"/>
  <c r="T12" i="50"/>
  <c r="B21" i="49"/>
  <c r="D20" i="49"/>
  <c r="D16" i="49"/>
  <c r="B25" i="53"/>
  <c r="H16" i="53"/>
  <c r="B38" i="52"/>
  <c r="D33" i="52"/>
  <c r="D13" i="52"/>
  <c r="T34" i="53"/>
  <c r="T29" i="53"/>
  <c r="B16" i="53"/>
  <c r="P29" i="50"/>
  <c r="P25" i="50"/>
  <c r="T21" i="50"/>
  <c r="T24" i="49"/>
  <c r="T22" i="49"/>
  <c r="P12" i="49"/>
  <c r="T24" i="53"/>
  <c r="T25" i="52"/>
  <c r="T12" i="52"/>
  <c r="P24" i="50"/>
  <c r="P22" i="50"/>
  <c r="T20" i="50"/>
  <c r="T16" i="50"/>
  <c r="T13" i="50"/>
  <c r="P34" i="49"/>
  <c r="P33" i="49"/>
  <c r="P29" i="49"/>
  <c r="P25" i="49"/>
  <c r="T21" i="49"/>
  <c r="H34" i="50"/>
  <c r="D20" i="50"/>
  <c r="D21" i="49"/>
  <c r="P33" i="47"/>
  <c r="H25" i="47"/>
  <c r="P15" i="47"/>
  <c r="D5" i="47"/>
  <c r="P20" i="46"/>
  <c r="P16" i="46"/>
  <c r="D12" i="46"/>
  <c r="T34" i="44"/>
  <c r="T33" i="44"/>
  <c r="T29" i="44"/>
  <c r="T25" i="44"/>
  <c r="B16" i="44"/>
  <c r="D15" i="44"/>
  <c r="T12" i="44"/>
  <c r="B21" i="43"/>
  <c r="D20" i="43"/>
  <c r="D16" i="43"/>
  <c r="D34" i="50"/>
  <c r="T22" i="50"/>
  <c r="T34" i="49"/>
  <c r="T29" i="49"/>
  <c r="B16" i="49"/>
  <c r="P34" i="47"/>
  <c r="H29" i="47"/>
  <c r="H24" i="47"/>
  <c r="H22" i="47"/>
  <c r="H13" i="47"/>
  <c r="D4" i="47"/>
  <c r="H34" i="46"/>
  <c r="H33" i="46"/>
  <c r="H29" i="46"/>
  <c r="H25" i="46"/>
  <c r="P15" i="46"/>
  <c r="D5" i="46"/>
  <c r="T24" i="44"/>
  <c r="T22" i="44"/>
  <c r="P12" i="44"/>
  <c r="T34" i="43"/>
  <c r="T33" i="43"/>
  <c r="T29" i="43"/>
  <c r="T25" i="43"/>
  <c r="B16" i="43"/>
  <c r="D15" i="43"/>
  <c r="T12" i="43"/>
  <c r="T33" i="50"/>
  <c r="P13" i="50"/>
  <c r="P24" i="49"/>
  <c r="T20" i="49"/>
  <c r="D25" i="47"/>
  <c r="H21" i="47"/>
  <c r="D13" i="47"/>
  <c r="B39" i="46"/>
  <c r="H24" i="46"/>
  <c r="H22" i="46"/>
  <c r="H13" i="46"/>
  <c r="D4" i="46"/>
  <c r="P34" i="44"/>
  <c r="P33" i="44"/>
  <c r="P29" i="44"/>
  <c r="P25" i="44"/>
  <c r="T21" i="44"/>
  <c r="T24" i="43"/>
  <c r="T22" i="43"/>
  <c r="P12" i="43"/>
  <c r="H34" i="53"/>
  <c r="T15" i="49"/>
  <c r="H33" i="47"/>
  <c r="D29" i="47"/>
  <c r="B25" i="47"/>
  <c r="D24" i="47"/>
  <c r="D22" i="47"/>
  <c r="H20" i="47"/>
  <c r="H16" i="47"/>
  <c r="B13" i="47"/>
  <c r="B38" i="46"/>
  <c r="D34" i="46"/>
  <c r="D33" i="46"/>
  <c r="D29" i="46"/>
  <c r="D25" i="46"/>
  <c r="H21" i="46"/>
  <c r="D13" i="46"/>
  <c r="P24" i="44"/>
  <c r="P22" i="44"/>
  <c r="T20" i="44"/>
  <c r="T16" i="44"/>
  <c r="T13" i="44"/>
  <c r="P34" i="43"/>
  <c r="P33" i="43"/>
  <c r="P29" i="43"/>
  <c r="P25" i="43"/>
  <c r="T21" i="43"/>
  <c r="D33" i="50"/>
  <c r="H15" i="49"/>
  <c r="H34" i="47"/>
  <c r="B22" i="47"/>
  <c r="D21" i="47"/>
  <c r="H15" i="47"/>
  <c r="B25" i="46"/>
  <c r="D24" i="46"/>
  <c r="D22" i="46"/>
  <c r="H20" i="46"/>
  <c r="H16" i="46"/>
  <c r="B13" i="46"/>
  <c r="P21" i="44"/>
  <c r="T15" i="44"/>
  <c r="P13" i="44"/>
  <c r="H12" i="44"/>
  <c r="P24" i="43"/>
  <c r="P22" i="43"/>
  <c r="T20" i="43"/>
  <c r="T16" i="43"/>
  <c r="T13" i="43"/>
  <c r="H29" i="53"/>
  <c r="P12" i="50"/>
  <c r="T33" i="49"/>
  <c r="D15" i="49"/>
  <c r="D33" i="47"/>
  <c r="B21" i="47"/>
  <c r="D20" i="47"/>
  <c r="D16" i="47"/>
  <c r="B22" i="46"/>
  <c r="D21" i="46"/>
  <c r="H15" i="46"/>
  <c r="D25" i="52"/>
  <c r="P21" i="50"/>
  <c r="H12" i="50"/>
  <c r="P22" i="49"/>
  <c r="T13" i="49"/>
  <c r="D34" i="47"/>
  <c r="T25" i="47"/>
  <c r="B16" i="47"/>
  <c r="D15" i="47"/>
  <c r="T12" i="47"/>
  <c r="B21" i="46"/>
  <c r="D20" i="46"/>
  <c r="D16" i="46"/>
  <c r="B39" i="50"/>
  <c r="P16" i="50"/>
  <c r="D12" i="50"/>
  <c r="P13" i="49"/>
  <c r="B39" i="47"/>
  <c r="T24" i="47"/>
  <c r="T22" i="47"/>
  <c r="P12" i="47"/>
  <c r="T34" i="46"/>
  <c r="T33" i="46"/>
  <c r="T29" i="46"/>
  <c r="T25" i="46"/>
  <c r="B16" i="46"/>
  <c r="D15" i="46"/>
  <c r="T12" i="46"/>
  <c r="B39" i="44"/>
  <c r="H24" i="44"/>
  <c r="H22" i="44"/>
  <c r="H13" i="44"/>
  <c r="D4" i="44"/>
  <c r="H34" i="43"/>
  <c r="H33" i="43"/>
  <c r="H29" i="43"/>
  <c r="H25" i="43"/>
  <c r="P15" i="43"/>
  <c r="D5" i="43"/>
  <c r="D24" i="53"/>
  <c r="H21" i="52"/>
  <c r="B38" i="50"/>
  <c r="B21" i="50"/>
  <c r="D16" i="50"/>
  <c r="B22" i="49"/>
  <c r="B38" i="47"/>
  <c r="T29" i="47"/>
  <c r="P25" i="47"/>
  <c r="T21" i="47"/>
  <c r="T24" i="46"/>
  <c r="T22" i="46"/>
  <c r="P12" i="46"/>
  <c r="B38" i="44"/>
  <c r="D34" i="44"/>
  <c r="D33" i="44"/>
  <c r="D29" i="44"/>
  <c r="D25" i="44"/>
  <c r="H21" i="44"/>
  <c r="D13" i="44"/>
  <c r="B39" i="43"/>
  <c r="H24" i="43"/>
  <c r="H22" i="43"/>
  <c r="H13" i="43"/>
  <c r="D4" i="43"/>
  <c r="H20" i="53"/>
  <c r="T15" i="50"/>
  <c r="T16" i="49"/>
  <c r="T33" i="47"/>
  <c r="P29" i="47"/>
  <c r="P21" i="47"/>
  <c r="T15" i="47"/>
  <c r="P13" i="47"/>
  <c r="H12" i="47"/>
  <c r="P24" i="46"/>
  <c r="P22" i="46"/>
  <c r="T20" i="46"/>
  <c r="T16" i="46"/>
  <c r="T13" i="46"/>
  <c r="B22" i="44"/>
  <c r="D21" i="44"/>
  <c r="H15" i="44"/>
  <c r="B25" i="43"/>
  <c r="D24" i="43"/>
  <c r="D22" i="43"/>
  <c r="H20" i="43"/>
  <c r="H16" i="43"/>
  <c r="B13" i="43"/>
  <c r="D12" i="52"/>
  <c r="P20" i="50"/>
  <c r="H25" i="44"/>
  <c r="D5" i="44"/>
  <c r="H34" i="41"/>
  <c r="H33" i="41"/>
  <c r="H29" i="41"/>
  <c r="H25" i="41"/>
  <c r="P15" i="41"/>
  <c r="D5" i="41"/>
  <c r="P20" i="40"/>
  <c r="P16" i="40"/>
  <c r="D12" i="40"/>
  <c r="B21" i="38"/>
  <c r="D20" i="38"/>
  <c r="D16" i="38"/>
  <c r="B22" i="37"/>
  <c r="D21" i="37"/>
  <c r="H15" i="37"/>
  <c r="T12" i="49"/>
  <c r="B25" i="44"/>
  <c r="H16" i="44"/>
  <c r="B38" i="43"/>
  <c r="D33" i="43"/>
  <c r="D13" i="43"/>
  <c r="B39" i="41"/>
  <c r="H24" i="41"/>
  <c r="H22" i="41"/>
  <c r="H13" i="41"/>
  <c r="D4" i="41"/>
  <c r="H34" i="40"/>
  <c r="H33" i="40"/>
  <c r="H29" i="40"/>
  <c r="H25" i="40"/>
  <c r="P15" i="40"/>
  <c r="D5" i="40"/>
  <c r="H12" i="49"/>
  <c r="D12" i="47"/>
  <c r="B21" i="44"/>
  <c r="D16" i="44"/>
  <c r="B22" i="43"/>
  <c r="B38" i="41"/>
  <c r="D34" i="41"/>
  <c r="D33" i="41"/>
  <c r="D29" i="41"/>
  <c r="D25" i="41"/>
  <c r="H21" i="41"/>
  <c r="D13" i="41"/>
  <c r="B39" i="40"/>
  <c r="H24" i="40"/>
  <c r="H22" i="40"/>
  <c r="H13" i="40"/>
  <c r="D4" i="40"/>
  <c r="T24" i="38"/>
  <c r="T22" i="38"/>
  <c r="T20" i="47"/>
  <c r="P25" i="46"/>
  <c r="P20" i="44"/>
  <c r="P21" i="43"/>
  <c r="H12" i="43"/>
  <c r="B25" i="41"/>
  <c r="D24" i="41"/>
  <c r="D22" i="41"/>
  <c r="H20" i="41"/>
  <c r="H16" i="41"/>
  <c r="B13" i="41"/>
  <c r="B38" i="40"/>
  <c r="D34" i="40"/>
  <c r="D33" i="40"/>
  <c r="D29" i="40"/>
  <c r="D25" i="40"/>
  <c r="H21" i="40"/>
  <c r="D13" i="40"/>
  <c r="P20" i="47"/>
  <c r="H34" i="44"/>
  <c r="H29" i="44"/>
  <c r="P15" i="44"/>
  <c r="P16" i="43"/>
  <c r="D12" i="43"/>
  <c r="B22" i="41"/>
  <c r="D21" i="41"/>
  <c r="H15" i="41"/>
  <c r="B25" i="40"/>
  <c r="D24" i="40"/>
  <c r="D22" i="40"/>
  <c r="H20" i="40"/>
  <c r="H16" i="40"/>
  <c r="B13" i="40"/>
  <c r="P34" i="46"/>
  <c r="D24" i="44"/>
  <c r="H20" i="44"/>
  <c r="D25" i="43"/>
  <c r="H21" i="43"/>
  <c r="B21" i="41"/>
  <c r="D20" i="41"/>
  <c r="D16" i="41"/>
  <c r="B22" i="40"/>
  <c r="D21" i="40"/>
  <c r="H15" i="40"/>
  <c r="P21" i="38"/>
  <c r="T15" i="38"/>
  <c r="P13" i="38"/>
  <c r="H12" i="38"/>
  <c r="P24" i="37"/>
  <c r="P22" i="37"/>
  <c r="T20" i="37"/>
  <c r="T16" i="37"/>
  <c r="T13" i="37"/>
  <c r="T15" i="46"/>
  <c r="D20" i="44"/>
  <c r="D21" i="43"/>
  <c r="T34" i="41"/>
  <c r="T33" i="41"/>
  <c r="T29" i="41"/>
  <c r="T25" i="41"/>
  <c r="B16" i="41"/>
  <c r="D15" i="41"/>
  <c r="T12" i="41"/>
  <c r="B21" i="40"/>
  <c r="D20" i="40"/>
  <c r="D16" i="40"/>
  <c r="T25" i="49"/>
  <c r="T16" i="47"/>
  <c r="P33" i="46"/>
  <c r="T15" i="43"/>
  <c r="T24" i="41"/>
  <c r="T22" i="41"/>
  <c r="P12" i="41"/>
  <c r="T34" i="40"/>
  <c r="T33" i="40"/>
  <c r="T29" i="40"/>
  <c r="T25" i="40"/>
  <c r="B16" i="40"/>
  <c r="D15" i="40"/>
  <c r="T12" i="40"/>
  <c r="H34" i="38"/>
  <c r="H33" i="38"/>
  <c r="H29" i="38"/>
  <c r="H25" i="38"/>
  <c r="P15" i="38"/>
  <c r="D5" i="38"/>
  <c r="P20" i="37"/>
  <c r="P16" i="37"/>
  <c r="D12" i="37"/>
  <c r="P16" i="47"/>
  <c r="P13" i="46"/>
  <c r="H33" i="44"/>
  <c r="P20" i="43"/>
  <c r="P34" i="41"/>
  <c r="P33" i="41"/>
  <c r="P29" i="41"/>
  <c r="P25" i="41"/>
  <c r="T21" i="41"/>
  <c r="T24" i="40"/>
  <c r="T22" i="40"/>
  <c r="P12" i="40"/>
  <c r="B39" i="38"/>
  <c r="H24" i="38"/>
  <c r="H22" i="38"/>
  <c r="H13" i="38"/>
  <c r="D4" i="38"/>
  <c r="H34" i="37"/>
  <c r="H33" i="37"/>
  <c r="H29" i="37"/>
  <c r="H25" i="37"/>
  <c r="P15" i="53"/>
  <c r="P21" i="49"/>
  <c r="T34" i="47"/>
  <c r="P21" i="46"/>
  <c r="H12" i="46"/>
  <c r="H15" i="43"/>
  <c r="P21" i="41"/>
  <c r="T15" i="41"/>
  <c r="P13" i="41"/>
  <c r="H12" i="41"/>
  <c r="P24" i="40"/>
  <c r="P22" i="40"/>
  <c r="T20" i="40"/>
  <c r="T16" i="40"/>
  <c r="T13" i="40"/>
  <c r="D22" i="44"/>
  <c r="P20" i="41"/>
  <c r="D25" i="38"/>
  <c r="P22" i="38"/>
  <c r="T12" i="38"/>
  <c r="P21" i="37"/>
  <c r="T15" i="37"/>
  <c r="D13" i="37"/>
  <c r="H34" i="35"/>
  <c r="H33" i="35"/>
  <c r="H29" i="35"/>
  <c r="H25" i="35"/>
  <c r="P15" i="35"/>
  <c r="D5" i="35"/>
  <c r="P20" i="34"/>
  <c r="P16" i="34"/>
  <c r="D12" i="34"/>
  <c r="P24" i="47"/>
  <c r="P34" i="40"/>
  <c r="D34" i="38"/>
  <c r="B25" i="38"/>
  <c r="P12" i="38"/>
  <c r="T33" i="37"/>
  <c r="H20" i="37"/>
  <c r="P15" i="37"/>
  <c r="B13" i="37"/>
  <c r="B39" i="35"/>
  <c r="H24" i="35"/>
  <c r="H22" i="35"/>
  <c r="H13" i="35"/>
  <c r="D4" i="35"/>
  <c r="H34" i="34"/>
  <c r="H33" i="34"/>
  <c r="H29" i="34"/>
  <c r="H25" i="34"/>
  <c r="P15" i="34"/>
  <c r="D5" i="34"/>
  <c r="P22" i="47"/>
  <c r="T15" i="40"/>
  <c r="T20" i="38"/>
  <c r="D25" i="37"/>
  <c r="T22" i="37"/>
  <c r="D20" i="37"/>
  <c r="B38" i="35"/>
  <c r="D34" i="35"/>
  <c r="D33" i="35"/>
  <c r="D29" i="35"/>
  <c r="D25" i="35"/>
  <c r="H21" i="35"/>
  <c r="D13" i="35"/>
  <c r="B39" i="34"/>
  <c r="H24" i="34"/>
  <c r="H22" i="34"/>
  <c r="H13" i="34"/>
  <c r="D4" i="34"/>
  <c r="P16" i="44"/>
  <c r="P13" i="43"/>
  <c r="T16" i="41"/>
  <c r="P33" i="40"/>
  <c r="D22" i="38"/>
  <c r="P20" i="38"/>
  <c r="H15" i="38"/>
  <c r="P33" i="37"/>
  <c r="B25" i="37"/>
  <c r="H21" i="37"/>
  <c r="T12" i="37"/>
  <c r="B25" i="35"/>
  <c r="D24" i="35"/>
  <c r="D22" i="35"/>
  <c r="H20" i="35"/>
  <c r="H16" i="35"/>
  <c r="B13" i="35"/>
  <c r="B38" i="34"/>
  <c r="D34" i="34"/>
  <c r="D33" i="34"/>
  <c r="D29" i="34"/>
  <c r="D25" i="34"/>
  <c r="H21" i="34"/>
  <c r="D13" i="34"/>
  <c r="T13" i="47"/>
  <c r="B13" i="44"/>
  <c r="P16" i="41"/>
  <c r="P13" i="40"/>
  <c r="T33" i="38"/>
  <c r="B22" i="38"/>
  <c r="T16" i="38"/>
  <c r="D15" i="38"/>
  <c r="D12" i="38"/>
  <c r="P12" i="37"/>
  <c r="B22" i="35"/>
  <c r="D21" i="35"/>
  <c r="H15" i="35"/>
  <c r="B25" i="34"/>
  <c r="D24" i="34"/>
  <c r="D22" i="34"/>
  <c r="H20" i="34"/>
  <c r="H16" i="34"/>
  <c r="B13" i="34"/>
  <c r="D12" i="44"/>
  <c r="P24" i="41"/>
  <c r="T21" i="40"/>
  <c r="P33" i="38"/>
  <c r="P24" i="38"/>
  <c r="H20" i="38"/>
  <c r="P16" i="38"/>
  <c r="B39" i="37"/>
  <c r="T34" i="37"/>
  <c r="T29" i="37"/>
  <c r="H22" i="37"/>
  <c r="B21" i="37"/>
  <c r="B21" i="35"/>
  <c r="D20" i="35"/>
  <c r="D16" i="35"/>
  <c r="B22" i="34"/>
  <c r="D21" i="34"/>
  <c r="H15" i="34"/>
  <c r="P29" i="46"/>
  <c r="D34" i="43"/>
  <c r="P21" i="40"/>
  <c r="H12" i="40"/>
  <c r="T29" i="38"/>
  <c r="T21" i="38"/>
  <c r="B38" i="37"/>
  <c r="D33" i="37"/>
  <c r="T24" i="37"/>
  <c r="D15" i="37"/>
  <c r="H12" i="37"/>
  <c r="T21" i="46"/>
  <c r="P22" i="41"/>
  <c r="T13" i="41"/>
  <c r="P29" i="40"/>
  <c r="P29" i="38"/>
  <c r="H16" i="38"/>
  <c r="T13" i="38"/>
  <c r="P34" i="37"/>
  <c r="P29" i="37"/>
  <c r="D22" i="37"/>
  <c r="H16" i="37"/>
  <c r="D5" i="37"/>
  <c r="D29" i="43"/>
  <c r="D33" i="38"/>
  <c r="T25" i="38"/>
  <c r="D24" i="38"/>
  <c r="D16" i="37"/>
  <c r="D4" i="37"/>
  <c r="P34" i="35"/>
  <c r="P33" i="35"/>
  <c r="P29" i="35"/>
  <c r="P25" i="35"/>
  <c r="T21" i="35"/>
  <c r="T24" i="34"/>
  <c r="T22" i="34"/>
  <c r="P12" i="34"/>
  <c r="T24" i="50"/>
  <c r="T34" i="38"/>
  <c r="P25" i="38"/>
  <c r="H21" i="38"/>
  <c r="B16" i="38"/>
  <c r="D13" i="38"/>
  <c r="T25" i="37"/>
  <c r="H24" i="37"/>
  <c r="B16" i="37"/>
  <c r="P13" i="37"/>
  <c r="P24" i="35"/>
  <c r="P22" i="35"/>
  <c r="T20" i="35"/>
  <c r="T16" i="35"/>
  <c r="T13" i="35"/>
  <c r="P34" i="34"/>
  <c r="P33" i="34"/>
  <c r="P29" i="34"/>
  <c r="P25" i="34"/>
  <c r="T21" i="34"/>
  <c r="T22" i="35"/>
  <c r="T34" i="34"/>
  <c r="T29" i="34"/>
  <c r="B16" i="34"/>
  <c r="B39" i="32"/>
  <c r="T21" i="32"/>
  <c r="T24" i="31"/>
  <c r="T22" i="31"/>
  <c r="P12" i="31"/>
  <c r="H34" i="29"/>
  <c r="H33" i="29"/>
  <c r="H29" i="29"/>
  <c r="H25" i="29"/>
  <c r="P15" i="29"/>
  <c r="D5" i="29"/>
  <c r="P20" i="28"/>
  <c r="P16" i="28"/>
  <c r="D12" i="28"/>
  <c r="T21" i="37"/>
  <c r="P13" i="35"/>
  <c r="P24" i="34"/>
  <c r="T20" i="34"/>
  <c r="B38" i="32"/>
  <c r="T29" i="32"/>
  <c r="P25" i="32"/>
  <c r="P24" i="32"/>
  <c r="P22" i="32"/>
  <c r="T20" i="32"/>
  <c r="T16" i="32"/>
  <c r="T13" i="32"/>
  <c r="P34" i="31"/>
  <c r="P33" i="31"/>
  <c r="P29" i="31"/>
  <c r="P25" i="31"/>
  <c r="T21" i="31"/>
  <c r="B39" i="29"/>
  <c r="H24" i="29"/>
  <c r="H22" i="29"/>
  <c r="H13" i="29"/>
  <c r="D4" i="29"/>
  <c r="H34" i="28"/>
  <c r="H33" i="28"/>
  <c r="H29" i="28"/>
  <c r="H25" i="28"/>
  <c r="D34" i="37"/>
  <c r="T15" i="34"/>
  <c r="P21" i="32"/>
  <c r="T15" i="32"/>
  <c r="P13" i="32"/>
  <c r="H12" i="32"/>
  <c r="P24" i="31"/>
  <c r="P22" i="31"/>
  <c r="T20" i="31"/>
  <c r="T16" i="31"/>
  <c r="T13" i="31"/>
  <c r="B38" i="29"/>
  <c r="D34" i="29"/>
  <c r="D33" i="29"/>
  <c r="D29" i="29"/>
  <c r="D25" i="29"/>
  <c r="H21" i="29"/>
  <c r="D13" i="29"/>
  <c r="B39" i="28"/>
  <c r="H24" i="28"/>
  <c r="H22" i="28"/>
  <c r="H13" i="28"/>
  <c r="D4" i="28"/>
  <c r="T25" i="35"/>
  <c r="T12" i="35"/>
  <c r="D20" i="34"/>
  <c r="T33" i="32"/>
  <c r="P29" i="32"/>
  <c r="P20" i="32"/>
  <c r="P16" i="32"/>
  <c r="D12" i="32"/>
  <c r="P21" i="31"/>
  <c r="T15" i="31"/>
  <c r="P13" i="31"/>
  <c r="H12" i="31"/>
  <c r="B25" i="29"/>
  <c r="D24" i="29"/>
  <c r="D22" i="29"/>
  <c r="H20" i="29"/>
  <c r="H16" i="29"/>
  <c r="B13" i="29"/>
  <c r="B38" i="28"/>
  <c r="D34" i="28"/>
  <c r="D33" i="28"/>
  <c r="D29" i="28"/>
  <c r="D25" i="28"/>
  <c r="H21" i="28"/>
  <c r="D13" i="28"/>
  <c r="T20" i="41"/>
  <c r="P12" i="35"/>
  <c r="T33" i="34"/>
  <c r="D15" i="34"/>
  <c r="T34" i="32"/>
  <c r="H25" i="32"/>
  <c r="P15" i="32"/>
  <c r="D5" i="32"/>
  <c r="P20" i="31"/>
  <c r="P16" i="31"/>
  <c r="D12" i="31"/>
  <c r="B22" i="29"/>
  <c r="D21" i="29"/>
  <c r="H15" i="29"/>
  <c r="B25" i="28"/>
  <c r="D24" i="28"/>
  <c r="D22" i="28"/>
  <c r="H20" i="28"/>
  <c r="H16" i="28"/>
  <c r="B13" i="28"/>
  <c r="D12" i="41"/>
  <c r="B38" i="38"/>
  <c r="D21" i="38"/>
  <c r="P21" i="35"/>
  <c r="H12" i="35"/>
  <c r="P22" i="34"/>
  <c r="T13" i="34"/>
  <c r="P33" i="32"/>
  <c r="H24" i="32"/>
  <c r="H22" i="32"/>
  <c r="H13" i="32"/>
  <c r="D4" i="32"/>
  <c r="H34" i="31"/>
  <c r="H33" i="31"/>
  <c r="H29" i="31"/>
  <c r="H25" i="31"/>
  <c r="P15" i="31"/>
  <c r="D5" i="31"/>
  <c r="P34" i="38"/>
  <c r="D29" i="37"/>
  <c r="P16" i="35"/>
  <c r="D12" i="35"/>
  <c r="P13" i="34"/>
  <c r="P34" i="32"/>
  <c r="H29" i="32"/>
  <c r="D25" i="32"/>
  <c r="H21" i="32"/>
  <c r="D13" i="32"/>
  <c r="B39" i="31"/>
  <c r="H24" i="31"/>
  <c r="H22" i="31"/>
  <c r="H13" i="31"/>
  <c r="D4" i="31"/>
  <c r="T34" i="35"/>
  <c r="T29" i="35"/>
  <c r="B16" i="35"/>
  <c r="B25" i="32"/>
  <c r="D24" i="32"/>
  <c r="D22" i="32"/>
  <c r="H20" i="32"/>
  <c r="H16" i="32"/>
  <c r="B13" i="32"/>
  <c r="B38" i="31"/>
  <c r="D34" i="31"/>
  <c r="D33" i="31"/>
  <c r="D29" i="31"/>
  <c r="D25" i="31"/>
  <c r="H21" i="31"/>
  <c r="D13" i="31"/>
  <c r="T24" i="29"/>
  <c r="T22" i="29"/>
  <c r="P12" i="29"/>
  <c r="T34" i="28"/>
  <c r="T33" i="28"/>
  <c r="T29" i="28"/>
  <c r="T25" i="28"/>
  <c r="P25" i="40"/>
  <c r="T24" i="35"/>
  <c r="T25" i="34"/>
  <c r="T12" i="34"/>
  <c r="H33" i="32"/>
  <c r="D29" i="32"/>
  <c r="B22" i="32"/>
  <c r="D21" i="32"/>
  <c r="H15" i="32"/>
  <c r="B25" i="31"/>
  <c r="D24" i="31"/>
  <c r="D22" i="31"/>
  <c r="H20" i="31"/>
  <c r="H16" i="31"/>
  <c r="B13" i="31"/>
  <c r="P34" i="29"/>
  <c r="P33" i="29"/>
  <c r="P29" i="29"/>
  <c r="P25" i="29"/>
  <c r="T21" i="29"/>
  <c r="T24" i="28"/>
  <c r="T22" i="28"/>
  <c r="P12" i="28"/>
  <c r="D29" i="38"/>
  <c r="B13" i="38"/>
  <c r="P20" i="35"/>
  <c r="P21" i="34"/>
  <c r="H12" i="34"/>
  <c r="D33" i="32"/>
  <c r="B16" i="32"/>
  <c r="D15" i="32"/>
  <c r="T12" i="32"/>
  <c r="B21" i="31"/>
  <c r="D20" i="31"/>
  <c r="D16" i="31"/>
  <c r="P21" i="29"/>
  <c r="T15" i="29"/>
  <c r="P13" i="29"/>
  <c r="H12" i="29"/>
  <c r="P24" i="28"/>
  <c r="P22" i="28"/>
  <c r="T20" i="28"/>
  <c r="T16" i="28"/>
  <c r="T13" i="28"/>
  <c r="P25" i="37"/>
  <c r="D16" i="34"/>
  <c r="T25" i="32"/>
  <c r="T33" i="31"/>
  <c r="D15" i="31"/>
  <c r="P16" i="29"/>
  <c r="D12" i="29"/>
  <c r="B21" i="28"/>
  <c r="P20" i="26"/>
  <c r="P16" i="26"/>
  <c r="D12" i="26"/>
  <c r="P21" i="25"/>
  <c r="T15" i="25"/>
  <c r="P13" i="25"/>
  <c r="H12" i="25"/>
  <c r="D24" i="37"/>
  <c r="T15" i="35"/>
  <c r="D16" i="32"/>
  <c r="B22" i="31"/>
  <c r="B21" i="29"/>
  <c r="D16" i="29"/>
  <c r="D15" i="28"/>
  <c r="H34" i="26"/>
  <c r="H33" i="26"/>
  <c r="H29" i="26"/>
  <c r="H25" i="26"/>
  <c r="P15" i="26"/>
  <c r="D5" i="26"/>
  <c r="P20" i="25"/>
  <c r="P16" i="25"/>
  <c r="D12" i="25"/>
  <c r="H13" i="37"/>
  <c r="D15" i="35"/>
  <c r="T24" i="32"/>
  <c r="T12" i="31"/>
  <c r="T34" i="29"/>
  <c r="T29" i="29"/>
  <c r="B16" i="29"/>
  <c r="B39" i="26"/>
  <c r="H24" i="26"/>
  <c r="H22" i="26"/>
  <c r="H13" i="26"/>
  <c r="D4" i="26"/>
  <c r="H34" i="25"/>
  <c r="H33" i="25"/>
  <c r="H29" i="25"/>
  <c r="H25" i="25"/>
  <c r="P15" i="25"/>
  <c r="D5" i="25"/>
  <c r="B38" i="23"/>
  <c r="D34" i="23"/>
  <c r="D33" i="23"/>
  <c r="D29" i="23"/>
  <c r="D25" i="23"/>
  <c r="H21" i="23"/>
  <c r="D13" i="23"/>
  <c r="B39" i="22"/>
  <c r="H24" i="22"/>
  <c r="H22" i="22"/>
  <c r="H13" i="22"/>
  <c r="D4" i="22"/>
  <c r="H34" i="32"/>
  <c r="D21" i="31"/>
  <c r="P24" i="29"/>
  <c r="T20" i="29"/>
  <c r="P25" i="28"/>
  <c r="P13" i="28"/>
  <c r="B38" i="26"/>
  <c r="D34" i="26"/>
  <c r="D33" i="26"/>
  <c r="D29" i="26"/>
  <c r="D25" i="26"/>
  <c r="H21" i="26"/>
  <c r="D13" i="26"/>
  <c r="B39" i="25"/>
  <c r="H24" i="25"/>
  <c r="H22" i="25"/>
  <c r="H13" i="25"/>
  <c r="D4" i="25"/>
  <c r="D34" i="32"/>
  <c r="T22" i="32"/>
  <c r="T29" i="31"/>
  <c r="P20" i="29"/>
  <c r="B25" i="26"/>
  <c r="D24" i="26"/>
  <c r="D22" i="26"/>
  <c r="H20" i="26"/>
  <c r="H16" i="26"/>
  <c r="B13" i="26"/>
  <c r="B38" i="25"/>
  <c r="D34" i="25"/>
  <c r="D33" i="25"/>
  <c r="D29" i="25"/>
  <c r="D25" i="25"/>
  <c r="H21" i="25"/>
  <c r="D13" i="25"/>
  <c r="D20" i="29"/>
  <c r="B22" i="28"/>
  <c r="B22" i="26"/>
  <c r="D21" i="26"/>
  <c r="H15" i="26"/>
  <c r="B25" i="25"/>
  <c r="D24" i="25"/>
  <c r="D22" i="25"/>
  <c r="H20" i="25"/>
  <c r="H16" i="25"/>
  <c r="B13" i="25"/>
  <c r="T33" i="35"/>
  <c r="P12" i="32"/>
  <c r="T33" i="29"/>
  <c r="D15" i="29"/>
  <c r="D20" i="28"/>
  <c r="D16" i="28"/>
  <c r="B21" i="26"/>
  <c r="D20" i="26"/>
  <c r="D16" i="26"/>
  <c r="B22" i="25"/>
  <c r="D21" i="25"/>
  <c r="B21" i="32"/>
  <c r="P22" i="29"/>
  <c r="T13" i="29"/>
  <c r="P34" i="28"/>
  <c r="P29" i="28"/>
  <c r="B16" i="28"/>
  <c r="T12" i="28"/>
  <c r="T34" i="26"/>
  <c r="T33" i="26"/>
  <c r="T29" i="26"/>
  <c r="T25" i="26"/>
  <c r="B16" i="26"/>
  <c r="D15" i="26"/>
  <c r="T12" i="26"/>
  <c r="B21" i="25"/>
  <c r="D20" i="25"/>
  <c r="D16" i="25"/>
  <c r="T24" i="23"/>
  <c r="T22" i="23"/>
  <c r="P12" i="23"/>
  <c r="T34" i="22"/>
  <c r="T33" i="22"/>
  <c r="T29" i="22"/>
  <c r="T25" i="22"/>
  <c r="B16" i="22"/>
  <c r="D15" i="22"/>
  <c r="T12" i="22"/>
  <c r="T25" i="31"/>
  <c r="T21" i="28"/>
  <c r="T24" i="26"/>
  <c r="T22" i="26"/>
  <c r="P12" i="26"/>
  <c r="T34" i="25"/>
  <c r="T33" i="25"/>
  <c r="T29" i="25"/>
  <c r="T25" i="25"/>
  <c r="B16" i="25"/>
  <c r="D15" i="25"/>
  <c r="T12" i="25"/>
  <c r="P34" i="23"/>
  <c r="P33" i="23"/>
  <c r="P29" i="23"/>
  <c r="P25" i="23"/>
  <c r="T21" i="23"/>
  <c r="T24" i="22"/>
  <c r="T22" i="22"/>
  <c r="P12" i="22"/>
  <c r="B21" i="34"/>
  <c r="T34" i="31"/>
  <c r="B16" i="31"/>
  <c r="T25" i="29"/>
  <c r="T12" i="29"/>
  <c r="P15" i="28"/>
  <c r="D5" i="28"/>
  <c r="P24" i="26"/>
  <c r="P22" i="26"/>
  <c r="T20" i="26"/>
  <c r="T16" i="26"/>
  <c r="T13" i="26"/>
  <c r="P34" i="25"/>
  <c r="P33" i="25"/>
  <c r="P29" i="25"/>
  <c r="P25" i="25"/>
  <c r="T21" i="25"/>
  <c r="P21" i="23"/>
  <c r="T15" i="23"/>
  <c r="P13" i="23"/>
  <c r="H12" i="23"/>
  <c r="P24" i="22"/>
  <c r="P22" i="22"/>
  <c r="T20" i="22"/>
  <c r="T16" i="22"/>
  <c r="T13" i="22"/>
  <c r="D21" i="28"/>
  <c r="P33" i="26"/>
  <c r="B25" i="23"/>
  <c r="B16" i="23"/>
  <c r="H13" i="23"/>
  <c r="H34" i="22"/>
  <c r="H29" i="22"/>
  <c r="P15" i="22"/>
  <c r="T16" i="34"/>
  <c r="D20" i="32"/>
  <c r="P13" i="26"/>
  <c r="T20" i="25"/>
  <c r="T13" i="25"/>
  <c r="H22" i="23"/>
  <c r="T20" i="23"/>
  <c r="B13" i="23"/>
  <c r="D34" i="22"/>
  <c r="D29" i="22"/>
  <c r="P25" i="22"/>
  <c r="T21" i="22"/>
  <c r="B22" i="20"/>
  <c r="D21" i="20"/>
  <c r="H15" i="20"/>
  <c r="B25" i="19"/>
  <c r="D24" i="19"/>
  <c r="D22" i="19"/>
  <c r="H20" i="19"/>
  <c r="H16" i="19"/>
  <c r="B13" i="19"/>
  <c r="T16" i="29"/>
  <c r="T21" i="26"/>
  <c r="D22" i="23"/>
  <c r="P20" i="23"/>
  <c r="D24" i="22"/>
  <c r="P21" i="22"/>
  <c r="H20" i="22"/>
  <c r="H12" i="22"/>
  <c r="B21" i="20"/>
  <c r="D20" i="20"/>
  <c r="D16" i="20"/>
  <c r="B22" i="19"/>
  <c r="D21" i="19"/>
  <c r="H15" i="19"/>
  <c r="T15" i="28"/>
  <c r="P21" i="26"/>
  <c r="H12" i="26"/>
  <c r="P12" i="25"/>
  <c r="T33" i="23"/>
  <c r="P24" i="23"/>
  <c r="B22" i="23"/>
  <c r="P15" i="23"/>
  <c r="P16" i="22"/>
  <c r="H15" i="22"/>
  <c r="D12" i="22"/>
  <c r="T34" i="20"/>
  <c r="T33" i="20"/>
  <c r="T29" i="20"/>
  <c r="T25" i="20"/>
  <c r="B16" i="20"/>
  <c r="D15" i="20"/>
  <c r="T12" i="20"/>
  <c r="B21" i="19"/>
  <c r="D20" i="19"/>
  <c r="D16" i="19"/>
  <c r="H15" i="28"/>
  <c r="P29" i="26"/>
  <c r="T12" i="23"/>
  <c r="H25" i="22"/>
  <c r="D20" i="22"/>
  <c r="D5" i="22"/>
  <c r="T24" i="20"/>
  <c r="T22" i="20"/>
  <c r="P12" i="20"/>
  <c r="T34" i="19"/>
  <c r="T33" i="19"/>
  <c r="T29" i="19"/>
  <c r="T25" i="19"/>
  <c r="B16" i="19"/>
  <c r="D15" i="19"/>
  <c r="T12" i="19"/>
  <c r="H12" i="28"/>
  <c r="T29" i="23"/>
  <c r="H20" i="23"/>
  <c r="T16" i="23"/>
  <c r="P33" i="22"/>
  <c r="D25" i="22"/>
  <c r="H21" i="22"/>
  <c r="P33" i="28"/>
  <c r="T24" i="25"/>
  <c r="H33" i="23"/>
  <c r="H24" i="23"/>
  <c r="P16" i="23"/>
  <c r="H15" i="23"/>
  <c r="D12" i="23"/>
  <c r="B25" i="22"/>
  <c r="H16" i="22"/>
  <c r="P13" i="22"/>
  <c r="P24" i="25"/>
  <c r="T16" i="25"/>
  <c r="T25" i="23"/>
  <c r="D24" i="23"/>
  <c r="D20" i="23"/>
  <c r="D5" i="23"/>
  <c r="D21" i="22"/>
  <c r="P21" i="20"/>
  <c r="T15" i="20"/>
  <c r="P13" i="20"/>
  <c r="H12" i="20"/>
  <c r="P24" i="19"/>
  <c r="P22" i="19"/>
  <c r="T20" i="19"/>
  <c r="T16" i="19"/>
  <c r="T13" i="19"/>
  <c r="H15" i="31"/>
  <c r="P25" i="26"/>
  <c r="T22" i="25"/>
  <c r="T34" i="23"/>
  <c r="H29" i="23"/>
  <c r="D15" i="23"/>
  <c r="D4" i="23"/>
  <c r="H33" i="22"/>
  <c r="B21" i="22"/>
  <c r="D16" i="22"/>
  <c r="P20" i="20"/>
  <c r="P16" i="20"/>
  <c r="D12" i="20"/>
  <c r="P21" i="19"/>
  <c r="T15" i="19"/>
  <c r="P13" i="19"/>
  <c r="H12" i="19"/>
  <c r="P34" i="26"/>
  <c r="B39" i="23"/>
  <c r="H25" i="23"/>
  <c r="P22" i="23"/>
  <c r="D21" i="23"/>
  <c r="D22" i="22"/>
  <c r="T15" i="22"/>
  <c r="B13" i="22"/>
  <c r="B39" i="20"/>
  <c r="H24" i="20"/>
  <c r="H22" i="20"/>
  <c r="H13" i="20"/>
  <c r="D4" i="20"/>
  <c r="H34" i="19"/>
  <c r="H33" i="19"/>
  <c r="H29" i="19"/>
  <c r="H25" i="19"/>
  <c r="P15" i="19"/>
  <c r="D5" i="19"/>
  <c r="B21" i="23"/>
  <c r="H16" i="20"/>
  <c r="B38" i="17"/>
  <c r="D34" i="17"/>
  <c r="D33" i="17"/>
  <c r="D29" i="17"/>
  <c r="D25" i="17"/>
  <c r="H21" i="17"/>
  <c r="D13" i="17"/>
  <c r="B39" i="16"/>
  <c r="H24" i="16"/>
  <c r="H22" i="16"/>
  <c r="H13" i="16"/>
  <c r="D4" i="16"/>
  <c r="P20" i="14"/>
  <c r="P16" i="14"/>
  <c r="D12" i="14"/>
  <c r="P21" i="13"/>
  <c r="T15" i="13"/>
  <c r="P13" i="13"/>
  <c r="H12" i="13"/>
  <c r="B21" i="11"/>
  <c r="D20" i="11"/>
  <c r="D16" i="11"/>
  <c r="H15" i="25"/>
  <c r="P29" i="22"/>
  <c r="P34" i="20"/>
  <c r="P22" i="20"/>
  <c r="D5" i="20"/>
  <c r="D34" i="19"/>
  <c r="P29" i="19"/>
  <c r="B25" i="17"/>
  <c r="D24" i="17"/>
  <c r="D22" i="17"/>
  <c r="H20" i="17"/>
  <c r="H16" i="17"/>
  <c r="B13" i="17"/>
  <c r="B38" i="16"/>
  <c r="D34" i="16"/>
  <c r="D33" i="16"/>
  <c r="D29" i="16"/>
  <c r="D25" i="16"/>
  <c r="H21" i="16"/>
  <c r="D13" i="16"/>
  <c r="H34" i="14"/>
  <c r="H33" i="14"/>
  <c r="H29" i="14"/>
  <c r="H25" i="14"/>
  <c r="P15" i="14"/>
  <c r="D5" i="14"/>
  <c r="P20" i="13"/>
  <c r="P16" i="13"/>
  <c r="D12" i="13"/>
  <c r="T34" i="11"/>
  <c r="T33" i="11"/>
  <c r="T29" i="11"/>
  <c r="T25" i="11"/>
  <c r="B16" i="11"/>
  <c r="D15" i="11"/>
  <c r="T12" i="11"/>
  <c r="H34" i="23"/>
  <c r="P25" i="20"/>
  <c r="H20" i="20"/>
  <c r="B39" i="19"/>
  <c r="D25" i="19"/>
  <c r="T21" i="19"/>
  <c r="B22" i="17"/>
  <c r="D21" i="17"/>
  <c r="H15" i="17"/>
  <c r="B25" i="16"/>
  <c r="D24" i="16"/>
  <c r="D22" i="16"/>
  <c r="H20" i="16"/>
  <c r="H16" i="16"/>
  <c r="B13" i="16"/>
  <c r="B39" i="14"/>
  <c r="H24" i="14"/>
  <c r="H22" i="14"/>
  <c r="H13" i="14"/>
  <c r="D4" i="14"/>
  <c r="H34" i="13"/>
  <c r="H33" i="13"/>
  <c r="H29" i="13"/>
  <c r="H25" i="13"/>
  <c r="P15" i="13"/>
  <c r="D5" i="13"/>
  <c r="T24" i="11"/>
  <c r="T22" i="11"/>
  <c r="P12" i="11"/>
  <c r="T34" i="10"/>
  <c r="T33" i="10"/>
  <c r="T29" i="10"/>
  <c r="T25" i="10"/>
  <c r="H16" i="23"/>
  <c r="D13" i="22"/>
  <c r="H34" i="20"/>
  <c r="P15" i="20"/>
  <c r="B38" i="19"/>
  <c r="P33" i="19"/>
  <c r="T24" i="19"/>
  <c r="B21" i="17"/>
  <c r="D20" i="17"/>
  <c r="D16" i="17"/>
  <c r="B22" i="16"/>
  <c r="D21" i="16"/>
  <c r="H15" i="16"/>
  <c r="B38" i="14"/>
  <c r="D34" i="14"/>
  <c r="D33" i="14"/>
  <c r="D29" i="14"/>
  <c r="D25" i="14"/>
  <c r="H21" i="14"/>
  <c r="D13" i="14"/>
  <c r="B39" i="13"/>
  <c r="H24" i="13"/>
  <c r="H22" i="13"/>
  <c r="H13" i="13"/>
  <c r="D4" i="13"/>
  <c r="D16" i="23"/>
  <c r="D34" i="20"/>
  <c r="P29" i="20"/>
  <c r="H25" i="20"/>
  <c r="D22" i="20"/>
  <c r="D29" i="19"/>
  <c r="T34" i="17"/>
  <c r="T33" i="17"/>
  <c r="T29" i="17"/>
  <c r="T25" i="17"/>
  <c r="B16" i="17"/>
  <c r="D15" i="17"/>
  <c r="T12" i="17"/>
  <c r="B21" i="16"/>
  <c r="D20" i="16"/>
  <c r="D16" i="16"/>
  <c r="B25" i="14"/>
  <c r="D24" i="14"/>
  <c r="D22" i="14"/>
  <c r="H20" i="14"/>
  <c r="H16" i="14"/>
  <c r="B13" i="14"/>
  <c r="B38" i="13"/>
  <c r="D34" i="13"/>
  <c r="D33" i="13"/>
  <c r="D29" i="13"/>
  <c r="D25" i="13"/>
  <c r="H21" i="13"/>
  <c r="D13" i="13"/>
  <c r="T13" i="23"/>
  <c r="D25" i="20"/>
  <c r="T21" i="20"/>
  <c r="H21" i="19"/>
  <c r="H13" i="19"/>
  <c r="T24" i="17"/>
  <c r="T22" i="17"/>
  <c r="P12" i="17"/>
  <c r="T34" i="16"/>
  <c r="T33" i="16"/>
  <c r="T29" i="16"/>
  <c r="T25" i="16"/>
  <c r="B16" i="16"/>
  <c r="D15" i="16"/>
  <c r="T12" i="16"/>
  <c r="B38" i="20"/>
  <c r="P33" i="20"/>
  <c r="H29" i="20"/>
  <c r="B25" i="20"/>
  <c r="D33" i="19"/>
  <c r="H24" i="19"/>
  <c r="P16" i="19"/>
  <c r="D13" i="19"/>
  <c r="P34" i="17"/>
  <c r="P33" i="17"/>
  <c r="P29" i="17"/>
  <c r="P25" i="17"/>
  <c r="T21" i="17"/>
  <c r="T24" i="16"/>
  <c r="T22" i="16"/>
  <c r="P12" i="16"/>
  <c r="B21" i="14"/>
  <c r="D20" i="14"/>
  <c r="D16" i="14"/>
  <c r="B22" i="13"/>
  <c r="D21" i="13"/>
  <c r="H15" i="13"/>
  <c r="P20" i="11"/>
  <c r="P16" i="11"/>
  <c r="D12" i="11"/>
  <c r="T15" i="26"/>
  <c r="B38" i="22"/>
  <c r="D29" i="20"/>
  <c r="T13" i="20"/>
  <c r="P12" i="19"/>
  <c r="P24" i="17"/>
  <c r="P22" i="17"/>
  <c r="T20" i="17"/>
  <c r="T16" i="17"/>
  <c r="T13" i="17"/>
  <c r="P34" i="16"/>
  <c r="P33" i="16"/>
  <c r="P29" i="16"/>
  <c r="P25" i="16"/>
  <c r="T21" i="16"/>
  <c r="T34" i="14"/>
  <c r="T33" i="14"/>
  <c r="T29" i="14"/>
  <c r="T25" i="14"/>
  <c r="B16" i="14"/>
  <c r="D15" i="14"/>
  <c r="T12" i="14"/>
  <c r="B21" i="13"/>
  <c r="D20" i="13"/>
  <c r="D16" i="13"/>
  <c r="P21" i="28"/>
  <c r="B22" i="22"/>
  <c r="H33" i="20"/>
  <c r="P24" i="20"/>
  <c r="H21" i="20"/>
  <c r="T22" i="19"/>
  <c r="P20" i="19"/>
  <c r="P21" i="17"/>
  <c r="T15" i="17"/>
  <c r="P13" i="17"/>
  <c r="H12" i="17"/>
  <c r="P24" i="16"/>
  <c r="P22" i="16"/>
  <c r="T20" i="16"/>
  <c r="T16" i="16"/>
  <c r="T13" i="16"/>
  <c r="T24" i="14"/>
  <c r="T22" i="14"/>
  <c r="P12" i="14"/>
  <c r="T34" i="13"/>
  <c r="T33" i="13"/>
  <c r="T29" i="13"/>
  <c r="T25" i="13"/>
  <c r="B16" i="13"/>
  <c r="D15" i="13"/>
  <c r="T12" i="13"/>
  <c r="P22" i="25"/>
  <c r="P20" i="22"/>
  <c r="B13" i="20"/>
  <c r="P34" i="19"/>
  <c r="D4" i="19"/>
  <c r="H34" i="17"/>
  <c r="H33" i="17"/>
  <c r="H29" i="17"/>
  <c r="H25" i="17"/>
  <c r="P15" i="17"/>
  <c r="D5" i="17"/>
  <c r="P20" i="16"/>
  <c r="P16" i="16"/>
  <c r="D12" i="16"/>
  <c r="P24" i="14"/>
  <c r="P22" i="14"/>
  <c r="T20" i="14"/>
  <c r="T16" i="14"/>
  <c r="T13" i="14"/>
  <c r="P34" i="13"/>
  <c r="P33" i="13"/>
  <c r="P29" i="13"/>
  <c r="P25" i="13"/>
  <c r="T21" i="13"/>
  <c r="D13" i="20"/>
  <c r="B39" i="17"/>
  <c r="H34" i="16"/>
  <c r="P15" i="16"/>
  <c r="P34" i="14"/>
  <c r="T21" i="14"/>
  <c r="D25" i="11"/>
  <c r="P22" i="11"/>
  <c r="H21" i="11"/>
  <c r="T13" i="11"/>
  <c r="B39" i="10"/>
  <c r="P34" i="10"/>
  <c r="P29" i="10"/>
  <c r="H25" i="10"/>
  <c r="H24" i="10"/>
  <c r="H22" i="10"/>
  <c r="H13" i="10"/>
  <c r="D4" i="10"/>
  <c r="T24" i="8"/>
  <c r="T22" i="8"/>
  <c r="P12" i="8"/>
  <c r="T34" i="7"/>
  <c r="T33" i="7"/>
  <c r="T29" i="7"/>
  <c r="T25" i="7"/>
  <c r="B16" i="7"/>
  <c r="D15" i="7"/>
  <c r="T12" i="7"/>
  <c r="H34" i="5"/>
  <c r="H33" i="5"/>
  <c r="H29" i="5"/>
  <c r="H25" i="5"/>
  <c r="P15" i="5"/>
  <c r="D5" i="5"/>
  <c r="P20" i="4"/>
  <c r="P16" i="4"/>
  <c r="D12" i="4"/>
  <c r="T20" i="20"/>
  <c r="P29" i="14"/>
  <c r="H12" i="11"/>
  <c r="H15" i="8"/>
  <c r="D24" i="7"/>
  <c r="T20" i="5"/>
  <c r="P34" i="4"/>
  <c r="P34" i="22"/>
  <c r="P16" i="17"/>
  <c r="P13" i="16"/>
  <c r="P21" i="14"/>
  <c r="T15" i="14"/>
  <c r="B25" i="11"/>
  <c r="H16" i="11"/>
  <c r="P13" i="11"/>
  <c r="B38" i="10"/>
  <c r="D33" i="10"/>
  <c r="H21" i="10"/>
  <c r="D13" i="10"/>
  <c r="P34" i="8"/>
  <c r="P33" i="8"/>
  <c r="P29" i="8"/>
  <c r="P25" i="8"/>
  <c r="T21" i="8"/>
  <c r="T24" i="7"/>
  <c r="T22" i="7"/>
  <c r="P12" i="7"/>
  <c r="B39" i="5"/>
  <c r="H24" i="5"/>
  <c r="H22" i="5"/>
  <c r="H13" i="5"/>
  <c r="D4" i="5"/>
  <c r="H34" i="4"/>
  <c r="H33" i="4"/>
  <c r="H29" i="4"/>
  <c r="H25" i="4"/>
  <c r="P15" i="4"/>
  <c r="D5" i="4"/>
  <c r="D33" i="8"/>
  <c r="D25" i="8"/>
  <c r="H21" i="8"/>
  <c r="B39" i="7"/>
  <c r="H22" i="7"/>
  <c r="B16" i="4"/>
  <c r="H22" i="19"/>
  <c r="H20" i="11"/>
  <c r="P21" i="10"/>
  <c r="B25" i="7"/>
  <c r="B13" i="7"/>
  <c r="P29" i="4"/>
  <c r="D33" i="22"/>
  <c r="D33" i="20"/>
  <c r="D12" i="19"/>
  <c r="H33" i="16"/>
  <c r="D21" i="14"/>
  <c r="H15" i="14"/>
  <c r="H33" i="11"/>
  <c r="D21" i="11"/>
  <c r="D25" i="10"/>
  <c r="D24" i="10"/>
  <c r="D22" i="10"/>
  <c r="H20" i="10"/>
  <c r="H16" i="10"/>
  <c r="B13" i="10"/>
  <c r="P24" i="8"/>
  <c r="P22" i="8"/>
  <c r="T20" i="8"/>
  <c r="T16" i="8"/>
  <c r="T13" i="8"/>
  <c r="P34" i="7"/>
  <c r="P33" i="7"/>
  <c r="P29" i="7"/>
  <c r="P25" i="7"/>
  <c r="T21" i="7"/>
  <c r="B38" i="5"/>
  <c r="D34" i="5"/>
  <c r="D33" i="5"/>
  <c r="D29" i="5"/>
  <c r="D25" i="5"/>
  <c r="H21" i="5"/>
  <c r="D13" i="5"/>
  <c r="B39" i="4"/>
  <c r="H24" i="4"/>
  <c r="H22" i="4"/>
  <c r="H13" i="4"/>
  <c r="D4" i="4"/>
  <c r="D34" i="8"/>
  <c r="H24" i="7"/>
  <c r="D22" i="7"/>
  <c r="P22" i="5"/>
  <c r="P33" i="4"/>
  <c r="P21" i="16"/>
  <c r="H12" i="16"/>
  <c r="P33" i="14"/>
  <c r="P25" i="14"/>
  <c r="B39" i="11"/>
  <c r="P34" i="11"/>
  <c r="P29" i="11"/>
  <c r="H22" i="11"/>
  <c r="H13" i="11"/>
  <c r="H34" i="10"/>
  <c r="H29" i="10"/>
  <c r="B25" i="10"/>
  <c r="B22" i="10"/>
  <c r="D21" i="10"/>
  <c r="H15" i="10"/>
  <c r="P21" i="8"/>
  <c r="T15" i="8"/>
  <c r="P13" i="8"/>
  <c r="H12" i="8"/>
  <c r="P24" i="7"/>
  <c r="P22" i="7"/>
  <c r="T20" i="7"/>
  <c r="T16" i="7"/>
  <c r="T13" i="7"/>
  <c r="B25" i="5"/>
  <c r="D24" i="5"/>
  <c r="D22" i="5"/>
  <c r="H20" i="5"/>
  <c r="H16" i="5"/>
  <c r="B13" i="5"/>
  <c r="B38" i="4"/>
  <c r="D34" i="4"/>
  <c r="D33" i="4"/>
  <c r="D29" i="4"/>
  <c r="D25" i="4"/>
  <c r="H21" i="4"/>
  <c r="D13" i="4"/>
  <c r="B38" i="8"/>
  <c r="T33" i="4"/>
  <c r="D24" i="11"/>
  <c r="T15" i="10"/>
  <c r="B22" i="8"/>
  <c r="H20" i="7"/>
  <c r="T13" i="5"/>
  <c r="H24" i="17"/>
  <c r="D5" i="16"/>
  <c r="P13" i="14"/>
  <c r="T20" i="13"/>
  <c r="T13" i="13"/>
  <c r="B38" i="11"/>
  <c r="D33" i="11"/>
  <c r="P24" i="11"/>
  <c r="T20" i="11"/>
  <c r="D13" i="11"/>
  <c r="B21" i="10"/>
  <c r="D20" i="10"/>
  <c r="D16" i="10"/>
  <c r="P20" i="8"/>
  <c r="P16" i="8"/>
  <c r="D12" i="8"/>
  <c r="P21" i="7"/>
  <c r="T15" i="7"/>
  <c r="P13" i="7"/>
  <c r="H12" i="7"/>
  <c r="B22" i="5"/>
  <c r="D21" i="5"/>
  <c r="H15" i="5"/>
  <c r="B25" i="4"/>
  <c r="D24" i="4"/>
  <c r="D22" i="4"/>
  <c r="H20" i="4"/>
  <c r="H16" i="4"/>
  <c r="B13" i="4"/>
  <c r="D29" i="8"/>
  <c r="H13" i="7"/>
  <c r="T24" i="5"/>
  <c r="P12" i="5"/>
  <c r="D15" i="4"/>
  <c r="H16" i="7"/>
  <c r="B25" i="13"/>
  <c r="H20" i="13"/>
  <c r="B13" i="13"/>
  <c r="D22" i="11"/>
  <c r="T15" i="11"/>
  <c r="B13" i="11"/>
  <c r="D34" i="10"/>
  <c r="D29" i="10"/>
  <c r="B16" i="10"/>
  <c r="D15" i="10"/>
  <c r="T12" i="10"/>
  <c r="H34" i="8"/>
  <c r="H33" i="8"/>
  <c r="H29" i="8"/>
  <c r="H25" i="8"/>
  <c r="P15" i="8"/>
  <c r="D5" i="8"/>
  <c r="P20" i="7"/>
  <c r="P16" i="7"/>
  <c r="D12" i="7"/>
  <c r="B21" i="5"/>
  <c r="D20" i="5"/>
  <c r="D16" i="5"/>
  <c r="B22" i="4"/>
  <c r="D21" i="4"/>
  <c r="H15" i="4"/>
  <c r="D13" i="8"/>
  <c r="D4" i="7"/>
  <c r="T34" i="4"/>
  <c r="T25" i="4"/>
  <c r="T12" i="4"/>
  <c r="P16" i="52"/>
  <c r="P20" i="17"/>
  <c r="T22" i="13"/>
  <c r="P21" i="11"/>
  <c r="H12" i="10"/>
  <c r="D21" i="8"/>
  <c r="P24" i="5"/>
  <c r="T16" i="5"/>
  <c r="P25" i="4"/>
  <c r="T21" i="4"/>
  <c r="H22" i="17"/>
  <c r="H13" i="17"/>
  <c r="H29" i="16"/>
  <c r="T24" i="13"/>
  <c r="P12" i="13"/>
  <c r="H34" i="11"/>
  <c r="H29" i="11"/>
  <c r="B22" i="11"/>
  <c r="P15" i="11"/>
  <c r="T24" i="10"/>
  <c r="T22" i="10"/>
  <c r="P12" i="10"/>
  <c r="B39" i="8"/>
  <c r="H24" i="8"/>
  <c r="H22" i="8"/>
  <c r="H13" i="8"/>
  <c r="D4" i="8"/>
  <c r="H34" i="7"/>
  <c r="H33" i="7"/>
  <c r="H29" i="7"/>
  <c r="H25" i="7"/>
  <c r="P15" i="7"/>
  <c r="D5" i="7"/>
  <c r="T34" i="5"/>
  <c r="T33" i="5"/>
  <c r="T29" i="5"/>
  <c r="T25" i="5"/>
  <c r="B16" i="5"/>
  <c r="D15" i="5"/>
  <c r="T12" i="5"/>
  <c r="B21" i="4"/>
  <c r="D20" i="4"/>
  <c r="D16" i="4"/>
  <c r="T22" i="5"/>
  <c r="T29" i="4"/>
  <c r="D24" i="20"/>
  <c r="P25" i="19"/>
  <c r="D12" i="17"/>
  <c r="H12" i="14"/>
  <c r="P24" i="13"/>
  <c r="P25" i="11"/>
  <c r="H24" i="11"/>
  <c r="T21" i="11"/>
  <c r="T21" i="10"/>
  <c r="D4" i="17"/>
  <c r="D24" i="13"/>
  <c r="D34" i="11"/>
  <c r="D29" i="11"/>
  <c r="T16" i="11"/>
  <c r="P33" i="10"/>
  <c r="P25" i="10"/>
  <c r="P24" i="10"/>
  <c r="P22" i="10"/>
  <c r="T20" i="10"/>
  <c r="T16" i="10"/>
  <c r="T13" i="10"/>
  <c r="B25" i="8"/>
  <c r="D24" i="8"/>
  <c r="D22" i="8"/>
  <c r="H20" i="8"/>
  <c r="H16" i="8"/>
  <c r="B13" i="8"/>
  <c r="B38" i="7"/>
  <c r="D34" i="7"/>
  <c r="D33" i="7"/>
  <c r="D29" i="7"/>
  <c r="D25" i="7"/>
  <c r="H21" i="7"/>
  <c r="D13" i="7"/>
  <c r="P34" i="5"/>
  <c r="P33" i="5"/>
  <c r="P29" i="5"/>
  <c r="P25" i="5"/>
  <c r="T21" i="5"/>
  <c r="T24" i="4"/>
  <c r="T22" i="4"/>
  <c r="P12" i="4"/>
  <c r="P13" i="10"/>
  <c r="T16" i="20"/>
  <c r="H25" i="16"/>
  <c r="P22" i="13"/>
  <c r="T16" i="13"/>
  <c r="H25" i="11"/>
  <c r="H15" i="11"/>
  <c r="D5" i="11"/>
  <c r="P20" i="10"/>
  <c r="P16" i="10"/>
  <c r="D12" i="10"/>
  <c r="B21" i="8"/>
  <c r="D20" i="8"/>
  <c r="D16" i="8"/>
  <c r="B22" i="7"/>
  <c r="D21" i="7"/>
  <c r="H15" i="7"/>
  <c r="P21" i="5"/>
  <c r="T15" i="5"/>
  <c r="P13" i="5"/>
  <c r="H12" i="5"/>
  <c r="P24" i="4"/>
  <c r="P22" i="4"/>
  <c r="T20" i="4"/>
  <c r="T16" i="4"/>
  <c r="T13" i="4"/>
  <c r="T15" i="16"/>
  <c r="H33" i="10"/>
  <c r="D5" i="10"/>
  <c r="T33" i="8"/>
  <c r="D15" i="8"/>
  <c r="B21" i="7"/>
  <c r="B22" i="14"/>
  <c r="P33" i="11"/>
  <c r="T12" i="8"/>
  <c r="D20" i="7"/>
  <c r="T15" i="4"/>
  <c r="T29" i="8"/>
  <c r="P13" i="4"/>
  <c r="D16" i="7"/>
  <c r="H12" i="4"/>
  <c r="T25" i="8"/>
  <c r="D22" i="13"/>
  <c r="P16" i="5"/>
  <c r="H16" i="13"/>
  <c r="P20" i="5"/>
  <c r="D4" i="11"/>
  <c r="P15" i="10"/>
  <c r="T34" i="8"/>
  <c r="B16" i="8"/>
  <c r="D12" i="5"/>
  <c r="P21" i="4"/>
  <c r="J55" i="70" l="1"/>
  <c r="V81" i="70"/>
  <c r="J48" i="70"/>
  <c r="J44" i="70"/>
  <c r="J63" i="70"/>
  <c r="J97" i="70"/>
  <c r="J36" i="70"/>
  <c r="J40" i="70"/>
  <c r="J53" i="70"/>
  <c r="V65" i="70"/>
  <c r="V109" i="70"/>
  <c r="V68" i="70"/>
  <c r="V73" i="70"/>
  <c r="V88" i="70"/>
  <c r="J95" i="70"/>
  <c r="J100" i="70"/>
  <c r="J34" i="70"/>
  <c r="V36" i="70"/>
  <c r="V107" i="70"/>
  <c r="J49" i="70"/>
  <c r="J59" i="70"/>
  <c r="V104" i="70"/>
  <c r="J45" i="70"/>
  <c r="V91" i="70"/>
  <c r="J41" i="70"/>
  <c r="V47" i="70"/>
  <c r="V80" i="70"/>
  <c r="J87" i="70"/>
  <c r="V89" i="70"/>
  <c r="V96" i="70"/>
  <c r="J103" i="70"/>
  <c r="J37" i="70"/>
  <c r="V43" i="70"/>
  <c r="V69" i="70"/>
  <c r="V35" i="70"/>
  <c r="V39" i="70"/>
  <c r="V72" i="70"/>
  <c r="J77" i="70"/>
  <c r="J79" i="70"/>
  <c r="V105" i="70"/>
  <c r="T51" i="70"/>
  <c r="V83" i="70"/>
  <c r="J87" i="74"/>
  <c r="V81" i="74"/>
  <c r="V71" i="74"/>
  <c r="V58" i="74"/>
  <c r="J97" i="74"/>
  <c r="J79" i="74"/>
  <c r="V54" i="74"/>
  <c r="V67" i="74"/>
  <c r="J95" i="74"/>
  <c r="J115" i="74"/>
  <c r="V90" i="74"/>
  <c r="V63" i="74"/>
  <c r="V85" i="74"/>
  <c r="V93" i="74"/>
  <c r="V125" i="74"/>
  <c r="V59" i="74"/>
  <c r="J83" i="74"/>
  <c r="J141" i="74"/>
  <c r="V55" i="74"/>
  <c r="V66" i="74"/>
  <c r="V62" i="74"/>
  <c r="X21" i="4"/>
  <c r="F36" i="5"/>
  <c r="F34" i="5"/>
  <c r="F33" i="5"/>
  <c r="F31" i="5"/>
  <c r="F29" i="5"/>
  <c r="F27" i="5"/>
  <c r="F25" i="5"/>
  <c r="L12" i="5"/>
  <c r="F24" i="5"/>
  <c r="F22" i="5"/>
  <c r="F21" i="5"/>
  <c r="F20" i="5"/>
  <c r="F18" i="5"/>
  <c r="F16" i="5"/>
  <c r="D18" i="5"/>
  <c r="F15" i="5"/>
  <c r="Z34" i="8"/>
  <c r="X15" i="10"/>
  <c r="X20" i="5"/>
  <c r="N16" i="13"/>
  <c r="X16" i="5"/>
  <c r="L22" i="13"/>
  <c r="Z25" i="8"/>
  <c r="J36" i="4"/>
  <c r="J34" i="4"/>
  <c r="J33" i="4"/>
  <c r="J31" i="4"/>
  <c r="J29" i="4"/>
  <c r="J27" i="4"/>
  <c r="J25" i="4"/>
  <c r="J24" i="4"/>
  <c r="J22" i="4"/>
  <c r="J21" i="4"/>
  <c r="J20" i="4"/>
  <c r="J18" i="4"/>
  <c r="J16" i="4"/>
  <c r="H18" i="4"/>
  <c r="J15" i="4"/>
  <c r="N12" i="4"/>
  <c r="L16" i="7"/>
  <c r="X13" i="4"/>
  <c r="Z29" i="8"/>
  <c r="Z15" i="4"/>
  <c r="L20" i="7"/>
  <c r="V21" i="8"/>
  <c r="V20" i="8"/>
  <c r="V18" i="8"/>
  <c r="V16" i="8"/>
  <c r="T18" i="8"/>
  <c r="V15" i="8"/>
  <c r="Z12" i="8"/>
  <c r="V36" i="8"/>
  <c r="V34" i="8"/>
  <c r="V33" i="8"/>
  <c r="V31" i="8"/>
  <c r="V29" i="8"/>
  <c r="V27" i="8"/>
  <c r="V25" i="8"/>
  <c r="V24" i="8"/>
  <c r="V22" i="8"/>
  <c r="X33" i="11"/>
  <c r="L15" i="8"/>
  <c r="Z33" i="8"/>
  <c r="N33" i="10"/>
  <c r="Z15" i="16"/>
  <c r="Z13" i="4"/>
  <c r="Z16" i="4"/>
  <c r="Z20" i="4"/>
  <c r="X22" i="4"/>
  <c r="X24" i="4"/>
  <c r="J24" i="5"/>
  <c r="J22" i="5"/>
  <c r="J21" i="5"/>
  <c r="J20" i="5"/>
  <c r="J18" i="5"/>
  <c r="J16" i="5"/>
  <c r="H18" i="5"/>
  <c r="J15" i="5"/>
  <c r="N12" i="5"/>
  <c r="J29" i="5"/>
  <c r="J36" i="5"/>
  <c r="J27" i="5"/>
  <c r="J25" i="5"/>
  <c r="J34" i="5"/>
  <c r="J33" i="5"/>
  <c r="J31" i="5"/>
  <c r="X13" i="5"/>
  <c r="Z15" i="5"/>
  <c r="X21" i="5"/>
  <c r="N15" i="7"/>
  <c r="L21" i="7"/>
  <c r="L16" i="8"/>
  <c r="L20" i="8"/>
  <c r="F33" i="10"/>
  <c r="F25" i="10"/>
  <c r="F24" i="10"/>
  <c r="F22" i="10"/>
  <c r="F27" i="10"/>
  <c r="F21" i="10"/>
  <c r="F20" i="10"/>
  <c r="F18" i="10"/>
  <c r="F16" i="10"/>
  <c r="F34" i="10"/>
  <c r="F29" i="10"/>
  <c r="D18" i="10"/>
  <c r="F15" i="10"/>
  <c r="F36" i="10"/>
  <c r="F31" i="10"/>
  <c r="L12" i="10"/>
  <c r="X16" i="10"/>
  <c r="X20" i="10"/>
  <c r="N15" i="11"/>
  <c r="N25" i="11"/>
  <c r="Z16" i="13"/>
  <c r="X22" i="13"/>
  <c r="N25" i="16"/>
  <c r="Z16" i="20"/>
  <c r="X13" i="10"/>
  <c r="P18" i="4"/>
  <c r="R15" i="4"/>
  <c r="R22" i="4"/>
  <c r="R24" i="4"/>
  <c r="X12" i="4"/>
  <c r="R36" i="4"/>
  <c r="R34" i="4"/>
  <c r="R33" i="4"/>
  <c r="R31" i="4"/>
  <c r="R29" i="4"/>
  <c r="R27" i="4"/>
  <c r="R25" i="4"/>
  <c r="R21" i="4"/>
  <c r="R16" i="4"/>
  <c r="R20" i="4"/>
  <c r="R18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Z13" i="10"/>
  <c r="Z16" i="10"/>
  <c r="Z20" i="10"/>
  <c r="X22" i="10"/>
  <c r="X24" i="10"/>
  <c r="X25" i="10"/>
  <c r="X33" i="10"/>
  <c r="Z16" i="11"/>
  <c r="L29" i="11"/>
  <c r="L34" i="11"/>
  <c r="L24" i="13"/>
  <c r="Z21" i="10"/>
  <c r="Z21" i="11"/>
  <c r="N24" i="11"/>
  <c r="X25" i="11"/>
  <c r="X24" i="13"/>
  <c r="J36" i="14"/>
  <c r="J34" i="14"/>
  <c r="J33" i="14"/>
  <c r="J31" i="14"/>
  <c r="J29" i="14"/>
  <c r="J27" i="14"/>
  <c r="J25" i="14"/>
  <c r="J24" i="14"/>
  <c r="J22" i="14"/>
  <c r="J21" i="14"/>
  <c r="J20" i="14"/>
  <c r="J18" i="14"/>
  <c r="J16" i="14"/>
  <c r="H18" i="14"/>
  <c r="J15" i="14"/>
  <c r="N12" i="14"/>
  <c r="F24" i="17"/>
  <c r="F22" i="17"/>
  <c r="F21" i="17"/>
  <c r="F20" i="17"/>
  <c r="F18" i="17"/>
  <c r="F16" i="17"/>
  <c r="D18" i="17"/>
  <c r="F15" i="17"/>
  <c r="L12" i="17"/>
  <c r="F27" i="17"/>
  <c r="F36" i="17"/>
  <c r="F25" i="17"/>
  <c r="F34" i="17"/>
  <c r="F33" i="17"/>
  <c r="F31" i="17"/>
  <c r="F29" i="17"/>
  <c r="X25" i="19"/>
  <c r="L24" i="20"/>
  <c r="Z29" i="4"/>
  <c r="Z22" i="5"/>
  <c r="L16" i="4"/>
  <c r="L20" i="4"/>
  <c r="V21" i="5"/>
  <c r="T18" i="5"/>
  <c r="Z12" i="5"/>
  <c r="V15" i="5"/>
  <c r="V36" i="5"/>
  <c r="V34" i="5"/>
  <c r="V33" i="5"/>
  <c r="V31" i="5"/>
  <c r="V29" i="5"/>
  <c r="V27" i="5"/>
  <c r="V25" i="5"/>
  <c r="V24" i="5"/>
  <c r="V22" i="5"/>
  <c r="V20" i="5"/>
  <c r="V18" i="5"/>
  <c r="V16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R20" i="10"/>
  <c r="R36" i="10"/>
  <c r="R31" i="10"/>
  <c r="X12" i="10"/>
  <c r="R16" i="10"/>
  <c r="R33" i="10"/>
  <c r="R25" i="10"/>
  <c r="R24" i="10"/>
  <c r="R22" i="10"/>
  <c r="R27" i="10"/>
  <c r="R21" i="10"/>
  <c r="R18" i="10"/>
  <c r="P18" i="10"/>
  <c r="R15" i="10"/>
  <c r="R29" i="10"/>
  <c r="R34" i="10"/>
  <c r="Z22" i="10"/>
  <c r="Z24" i="10"/>
  <c r="X15" i="11"/>
  <c r="N29" i="11"/>
  <c r="N34" i="11"/>
  <c r="R20" i="13"/>
  <c r="R18" i="13"/>
  <c r="R16" i="13"/>
  <c r="P18" i="13"/>
  <c r="R15" i="13"/>
  <c r="X12" i="13"/>
  <c r="R24" i="13"/>
  <c r="R22" i="13"/>
  <c r="R34" i="13"/>
  <c r="R27" i="13"/>
  <c r="R36" i="13"/>
  <c r="R21" i="13"/>
  <c r="R29" i="13"/>
  <c r="R33" i="13"/>
  <c r="R25" i="13"/>
  <c r="R31" i="13"/>
  <c r="Z24" i="13"/>
  <c r="N29" i="16"/>
  <c r="N13" i="17"/>
  <c r="N22" i="17"/>
  <c r="Z21" i="4"/>
  <c r="X25" i="4"/>
  <c r="Z16" i="5"/>
  <c r="X24" i="5"/>
  <c r="L21" i="8"/>
  <c r="J27" i="10"/>
  <c r="J21" i="10"/>
  <c r="J20" i="10"/>
  <c r="J18" i="10"/>
  <c r="J16" i="10"/>
  <c r="J34" i="10"/>
  <c r="J29" i="10"/>
  <c r="H18" i="10"/>
  <c r="J15" i="10"/>
  <c r="J36" i="10"/>
  <c r="J31" i="10"/>
  <c r="N12" i="10"/>
  <c r="J33" i="10"/>
  <c r="J25" i="10"/>
  <c r="J24" i="10"/>
  <c r="J22" i="10"/>
  <c r="X21" i="11"/>
  <c r="Z22" i="13"/>
  <c r="X20" i="17"/>
  <c r="X16" i="52"/>
  <c r="V20" i="4"/>
  <c r="V22" i="4"/>
  <c r="V16" i="4"/>
  <c r="V18" i="4"/>
  <c r="V24" i="4"/>
  <c r="Z12" i="4"/>
  <c r="V36" i="4"/>
  <c r="V34" i="4"/>
  <c r="V33" i="4"/>
  <c r="V31" i="4"/>
  <c r="V29" i="4"/>
  <c r="V27" i="4"/>
  <c r="V25" i="4"/>
  <c r="V21" i="4"/>
  <c r="T18" i="4"/>
  <c r="V15" i="4"/>
  <c r="Z25" i="4"/>
  <c r="Z34" i="4"/>
  <c r="L13" i="8"/>
  <c r="N15" i="4"/>
  <c r="L21" i="4"/>
  <c r="L16" i="5"/>
  <c r="L20" i="5"/>
  <c r="F31" i="7"/>
  <c r="F29" i="7"/>
  <c r="L12" i="7"/>
  <c r="F36" i="7"/>
  <c r="F27" i="7"/>
  <c r="F34" i="7"/>
  <c r="F33" i="7"/>
  <c r="F25" i="7"/>
  <c r="F21" i="7"/>
  <c r="F24" i="7"/>
  <c r="F22" i="7"/>
  <c r="F20" i="7"/>
  <c r="F18" i="7"/>
  <c r="F16" i="7"/>
  <c r="D18" i="7"/>
  <c r="F15" i="7"/>
  <c r="X16" i="7"/>
  <c r="X20" i="7"/>
  <c r="X15" i="8"/>
  <c r="N25" i="8"/>
  <c r="N29" i="8"/>
  <c r="N33" i="8"/>
  <c r="N34" i="8"/>
  <c r="V36" i="10"/>
  <c r="V34" i="10"/>
  <c r="V33" i="10"/>
  <c r="V31" i="10"/>
  <c r="V29" i="10"/>
  <c r="V24" i="10"/>
  <c r="Z12" i="10"/>
  <c r="V22" i="10"/>
  <c r="V25" i="10"/>
  <c r="V21" i="10"/>
  <c r="V27" i="10"/>
  <c r="V20" i="10"/>
  <c r="V18" i="10"/>
  <c r="V16" i="10"/>
  <c r="T18" i="10"/>
  <c r="V15" i="10"/>
  <c r="L15" i="10"/>
  <c r="L29" i="10"/>
  <c r="L34" i="10"/>
  <c r="Z15" i="11"/>
  <c r="L22" i="11"/>
  <c r="N20" i="13"/>
  <c r="N16" i="7"/>
  <c r="L15" i="4"/>
  <c r="R33" i="5"/>
  <c r="R25" i="5"/>
  <c r="R27" i="5"/>
  <c r="R29" i="5"/>
  <c r="R21" i="5"/>
  <c r="R36" i="5"/>
  <c r="X12" i="5"/>
  <c r="R31" i="5"/>
  <c r="R34" i="5"/>
  <c r="R24" i="5"/>
  <c r="R22" i="5"/>
  <c r="R20" i="5"/>
  <c r="R18" i="5"/>
  <c r="R16" i="5"/>
  <c r="R15" i="5"/>
  <c r="P18" i="5"/>
  <c r="Z24" i="5"/>
  <c r="N13" i="7"/>
  <c r="L29" i="8"/>
  <c r="N16" i="4"/>
  <c r="N20" i="4"/>
  <c r="L22" i="4"/>
  <c r="L24" i="4"/>
  <c r="N15" i="5"/>
  <c r="L21" i="5"/>
  <c r="H18" i="7"/>
  <c r="N12" i="7"/>
  <c r="J21" i="7"/>
  <c r="J36" i="7"/>
  <c r="J34" i="7"/>
  <c r="J33" i="7"/>
  <c r="J31" i="7"/>
  <c r="J29" i="7"/>
  <c r="J27" i="7"/>
  <c r="J25" i="7"/>
  <c r="J15" i="7"/>
  <c r="J24" i="7"/>
  <c r="J22" i="7"/>
  <c r="J20" i="7"/>
  <c r="J18" i="7"/>
  <c r="J16" i="7"/>
  <c r="X13" i="7"/>
  <c r="Z15" i="7"/>
  <c r="X21" i="7"/>
  <c r="F20" i="8"/>
  <c r="F18" i="8"/>
  <c r="L12" i="8"/>
  <c r="F16" i="8"/>
  <c r="F22" i="8"/>
  <c r="F24" i="8"/>
  <c r="F36" i="8"/>
  <c r="F34" i="8"/>
  <c r="F33" i="8"/>
  <c r="F31" i="8"/>
  <c r="F29" i="8"/>
  <c r="F27" i="8"/>
  <c r="F25" i="8"/>
  <c r="F21" i="8"/>
  <c r="D18" i="8"/>
  <c r="F15" i="8"/>
  <c r="X16" i="8"/>
  <c r="X20" i="8"/>
  <c r="L16" i="10"/>
  <c r="L20" i="10"/>
  <c r="L13" i="11"/>
  <c r="Z20" i="11"/>
  <c r="X24" i="11"/>
  <c r="L33" i="11"/>
  <c r="Z13" i="13"/>
  <c r="Z20" i="13"/>
  <c r="X13" i="14"/>
  <c r="N24" i="17"/>
  <c r="Z13" i="5"/>
  <c r="N20" i="7"/>
  <c r="Z15" i="10"/>
  <c r="L24" i="11"/>
  <c r="Z33" i="4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N12" i="8"/>
  <c r="J36" i="8"/>
  <c r="J34" i="8"/>
  <c r="J33" i="8"/>
  <c r="J31" i="8"/>
  <c r="J29" i="8"/>
  <c r="J27" i="8"/>
  <c r="J25" i="8"/>
  <c r="J16" i="8"/>
  <c r="J24" i="8"/>
  <c r="J22" i="8"/>
  <c r="J20" i="8"/>
  <c r="J21" i="8"/>
  <c r="J18" i="8"/>
  <c r="H18" i="8"/>
  <c r="J15" i="8"/>
  <c r="X13" i="8"/>
  <c r="Z15" i="8"/>
  <c r="X21" i="8"/>
  <c r="N15" i="10"/>
  <c r="L21" i="10"/>
  <c r="N29" i="10"/>
  <c r="N34" i="10"/>
  <c r="N13" i="11"/>
  <c r="N22" i="11"/>
  <c r="X29" i="11"/>
  <c r="X34" i="11"/>
  <c r="X25" i="14"/>
  <c r="X33" i="14"/>
  <c r="J21" i="16"/>
  <c r="J20" i="16"/>
  <c r="J18" i="16"/>
  <c r="J16" i="16"/>
  <c r="H18" i="16"/>
  <c r="J15" i="16"/>
  <c r="N12" i="16"/>
  <c r="J36" i="16"/>
  <c r="J34" i="16"/>
  <c r="J33" i="16"/>
  <c r="J31" i="16"/>
  <c r="J29" i="16"/>
  <c r="J27" i="16"/>
  <c r="J25" i="16"/>
  <c r="J24" i="16"/>
  <c r="J22" i="16"/>
  <c r="X21" i="16"/>
  <c r="X33" i="4"/>
  <c r="X22" i="5"/>
  <c r="L22" i="7"/>
  <c r="N24" i="7"/>
  <c r="L34" i="8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N16" i="10"/>
  <c r="N20" i="10"/>
  <c r="L22" i="10"/>
  <c r="L24" i="10"/>
  <c r="L25" i="10"/>
  <c r="L21" i="11"/>
  <c r="N33" i="11"/>
  <c r="N15" i="14"/>
  <c r="L21" i="14"/>
  <c r="N33" i="16"/>
  <c r="F21" i="19"/>
  <c r="F20" i="19"/>
  <c r="F18" i="19"/>
  <c r="F16" i="19"/>
  <c r="D18" i="19"/>
  <c r="F15" i="19"/>
  <c r="L12" i="19"/>
  <c r="F34" i="19"/>
  <c r="F22" i="19"/>
  <c r="F25" i="19"/>
  <c r="F29" i="19"/>
  <c r="F33" i="19"/>
  <c r="F36" i="19"/>
  <c r="F24" i="19"/>
  <c r="F27" i="19"/>
  <c r="F31" i="19"/>
  <c r="L33" i="20"/>
  <c r="L33" i="22"/>
  <c r="X29" i="4"/>
  <c r="X21" i="10"/>
  <c r="N20" i="11"/>
  <c r="N22" i="19"/>
  <c r="N22" i="7"/>
  <c r="N21" i="8"/>
  <c r="L25" i="8"/>
  <c r="L33" i="8"/>
  <c r="X15" i="4"/>
  <c r="N25" i="4"/>
  <c r="N29" i="4"/>
  <c r="N33" i="4"/>
  <c r="N34" i="4"/>
  <c r="N13" i="5"/>
  <c r="N22" i="5"/>
  <c r="N24" i="5"/>
  <c r="R36" i="7"/>
  <c r="R34" i="7"/>
  <c r="R33" i="7"/>
  <c r="R31" i="7"/>
  <c r="R29" i="7"/>
  <c r="R27" i="7"/>
  <c r="R25" i="7"/>
  <c r="R24" i="7"/>
  <c r="R22" i="7"/>
  <c r="R21" i="7"/>
  <c r="R20" i="7"/>
  <c r="R18" i="7"/>
  <c r="R16" i="7"/>
  <c r="P18" i="7"/>
  <c r="R15" i="7"/>
  <c r="X12" i="7"/>
  <c r="Z22" i="7"/>
  <c r="Z24" i="7"/>
  <c r="Z21" i="8"/>
  <c r="X25" i="8"/>
  <c r="X29" i="8"/>
  <c r="X33" i="8"/>
  <c r="X34" i="8"/>
  <c r="L13" i="10"/>
  <c r="N21" i="10"/>
  <c r="L33" i="10"/>
  <c r="X13" i="11"/>
  <c r="N16" i="11"/>
  <c r="Z15" i="14"/>
  <c r="X21" i="14"/>
  <c r="X13" i="16"/>
  <c r="X16" i="17"/>
  <c r="X34" i="22"/>
  <c r="X34" i="4"/>
  <c r="Z20" i="5"/>
  <c r="L24" i="7"/>
  <c r="N15" i="8"/>
  <c r="J36" i="11"/>
  <c r="J34" i="11"/>
  <c r="J33" i="11"/>
  <c r="J31" i="11"/>
  <c r="J29" i="11"/>
  <c r="J27" i="11"/>
  <c r="J25" i="11"/>
  <c r="J16" i="11"/>
  <c r="J22" i="11"/>
  <c r="J18" i="11"/>
  <c r="J15" i="11"/>
  <c r="H18" i="11"/>
  <c r="J24" i="11"/>
  <c r="N12" i="11"/>
  <c r="J20" i="11"/>
  <c r="J21" i="11"/>
  <c r="X29" i="14"/>
  <c r="Z20" i="20"/>
  <c r="F36" i="4"/>
  <c r="F34" i="4"/>
  <c r="F33" i="4"/>
  <c r="F31" i="4"/>
  <c r="F29" i="4"/>
  <c r="F27" i="4"/>
  <c r="F25" i="4"/>
  <c r="F24" i="4"/>
  <c r="F22" i="4"/>
  <c r="F21" i="4"/>
  <c r="F20" i="4"/>
  <c r="F18" i="4"/>
  <c r="F16" i="4"/>
  <c r="D18" i="4"/>
  <c r="F15" i="4"/>
  <c r="L12" i="4"/>
  <c r="X16" i="4"/>
  <c r="X20" i="4"/>
  <c r="X15" i="5"/>
  <c r="N25" i="5"/>
  <c r="N29" i="5"/>
  <c r="N33" i="5"/>
  <c r="N34" i="5"/>
  <c r="V24" i="7"/>
  <c r="V22" i="7"/>
  <c r="V21" i="7"/>
  <c r="V20" i="7"/>
  <c r="V18" i="7"/>
  <c r="V16" i="7"/>
  <c r="T18" i="7"/>
  <c r="V15" i="7"/>
  <c r="Z12" i="7"/>
  <c r="V36" i="7"/>
  <c r="V34" i="7"/>
  <c r="V33" i="7"/>
  <c r="V31" i="7"/>
  <c r="V29" i="7"/>
  <c r="V27" i="7"/>
  <c r="V25" i="7"/>
  <c r="L15" i="7"/>
  <c r="Z25" i="7"/>
  <c r="Z29" i="7"/>
  <c r="Z33" i="7"/>
  <c r="Z34" i="7"/>
  <c r="R36" i="8"/>
  <c r="R34" i="8"/>
  <c r="R33" i="8"/>
  <c r="R31" i="8"/>
  <c r="R29" i="8"/>
  <c r="R27" i="8"/>
  <c r="R25" i="8"/>
  <c r="R24" i="8"/>
  <c r="R22" i="8"/>
  <c r="R21" i="8"/>
  <c r="R20" i="8"/>
  <c r="R18" i="8"/>
  <c r="R16" i="8"/>
  <c r="P18" i="8"/>
  <c r="R15" i="8"/>
  <c r="X12" i="8"/>
  <c r="Z22" i="8"/>
  <c r="Z24" i="8"/>
  <c r="N13" i="10"/>
  <c r="N22" i="10"/>
  <c r="N24" i="10"/>
  <c r="N25" i="10"/>
  <c r="X29" i="10"/>
  <c r="X34" i="10"/>
  <c r="Z13" i="11"/>
  <c r="N21" i="11"/>
  <c r="X22" i="11"/>
  <c r="L25" i="11"/>
  <c r="Z21" i="14"/>
  <c r="X34" i="14"/>
  <c r="X15" i="16"/>
  <c r="N34" i="16"/>
  <c r="L13" i="20"/>
  <c r="Z21" i="13"/>
  <c r="X25" i="13"/>
  <c r="X29" i="13"/>
  <c r="X33" i="13"/>
  <c r="X34" i="13"/>
  <c r="Z13" i="14"/>
  <c r="Z16" i="14"/>
  <c r="Z20" i="14"/>
  <c r="X22" i="14"/>
  <c r="X24" i="14"/>
  <c r="F36" i="16"/>
  <c r="F34" i="16"/>
  <c r="F33" i="16"/>
  <c r="F31" i="16"/>
  <c r="F29" i="16"/>
  <c r="F27" i="16"/>
  <c r="F25" i="16"/>
  <c r="F24" i="16"/>
  <c r="F22" i="16"/>
  <c r="F21" i="16"/>
  <c r="F20" i="16"/>
  <c r="F18" i="16"/>
  <c r="F16" i="16"/>
  <c r="D18" i="16"/>
  <c r="F15" i="16"/>
  <c r="L12" i="16"/>
  <c r="X16" i="16"/>
  <c r="X20" i="16"/>
  <c r="X15" i="17"/>
  <c r="N25" i="17"/>
  <c r="N29" i="17"/>
  <c r="N33" i="17"/>
  <c r="N34" i="17"/>
  <c r="X34" i="19"/>
  <c r="X20" i="22"/>
  <c r="X22" i="25"/>
  <c r="Z12" i="13"/>
  <c r="V36" i="13"/>
  <c r="V34" i="13"/>
  <c r="V33" i="13"/>
  <c r="V31" i="13"/>
  <c r="V29" i="13"/>
  <c r="V27" i="13"/>
  <c r="V25" i="13"/>
  <c r="V24" i="13"/>
  <c r="V22" i="13"/>
  <c r="V20" i="13"/>
  <c r="V18" i="13"/>
  <c r="V16" i="13"/>
  <c r="V21" i="13"/>
  <c r="V15" i="13"/>
  <c r="T18" i="13"/>
  <c r="L15" i="13"/>
  <c r="Z25" i="13"/>
  <c r="Z29" i="13"/>
  <c r="Z33" i="13"/>
  <c r="Z34" i="13"/>
  <c r="P18" i="14"/>
  <c r="R15" i="14"/>
  <c r="X12" i="14"/>
  <c r="R36" i="14"/>
  <c r="R34" i="14"/>
  <c r="R33" i="14"/>
  <c r="R31" i="14"/>
  <c r="R29" i="14"/>
  <c r="R27" i="14"/>
  <c r="R25" i="14"/>
  <c r="R21" i="14"/>
  <c r="R22" i="14"/>
  <c r="R20" i="14"/>
  <c r="R24" i="14"/>
  <c r="R18" i="14"/>
  <c r="R16" i="14"/>
  <c r="Z22" i="14"/>
  <c r="Z24" i="14"/>
  <c r="Z13" i="16"/>
  <c r="Z16" i="16"/>
  <c r="Z20" i="16"/>
  <c r="X22" i="16"/>
  <c r="X24" i="16"/>
  <c r="J20" i="17"/>
  <c r="J18" i="17"/>
  <c r="J16" i="17"/>
  <c r="H18" i="17"/>
  <c r="J15" i="17"/>
  <c r="N12" i="17"/>
  <c r="J24" i="17"/>
  <c r="J22" i="17"/>
  <c r="J29" i="17"/>
  <c r="J36" i="17"/>
  <c r="J25" i="17"/>
  <c r="J34" i="17"/>
  <c r="J33" i="17"/>
  <c r="J31" i="17"/>
  <c r="J21" i="17"/>
  <c r="J27" i="17"/>
  <c r="X13" i="17"/>
  <c r="Z15" i="17"/>
  <c r="X21" i="17"/>
  <c r="X20" i="19"/>
  <c r="Z22" i="19"/>
  <c r="N21" i="20"/>
  <c r="X24" i="20"/>
  <c r="N33" i="20"/>
  <c r="X21" i="28"/>
  <c r="L16" i="13"/>
  <c r="L20" i="13"/>
  <c r="V36" i="14"/>
  <c r="V34" i="14"/>
  <c r="V33" i="14"/>
  <c r="V31" i="14"/>
  <c r="V29" i="14"/>
  <c r="V27" i="14"/>
  <c r="V25" i="14"/>
  <c r="V24" i="14"/>
  <c r="V22" i="14"/>
  <c r="V21" i="14"/>
  <c r="T18" i="14"/>
  <c r="V15" i="14"/>
  <c r="V20" i="14"/>
  <c r="V16" i="14"/>
  <c r="Z12" i="14"/>
  <c r="V18" i="14"/>
  <c r="L15" i="14"/>
  <c r="Z25" i="14"/>
  <c r="Z29" i="14"/>
  <c r="Z33" i="14"/>
  <c r="Z34" i="14"/>
  <c r="Z21" i="16"/>
  <c r="X25" i="16"/>
  <c r="X29" i="16"/>
  <c r="X33" i="16"/>
  <c r="X34" i="16"/>
  <c r="Z13" i="17"/>
  <c r="Z16" i="17"/>
  <c r="Z20" i="17"/>
  <c r="X22" i="17"/>
  <c r="X24" i="17"/>
  <c r="X12" i="19"/>
  <c r="R21" i="19"/>
  <c r="R20" i="19"/>
  <c r="R18" i="19"/>
  <c r="R16" i="19"/>
  <c r="R29" i="19"/>
  <c r="P18" i="19"/>
  <c r="R33" i="19"/>
  <c r="R36" i="19"/>
  <c r="R24" i="19"/>
  <c r="R27" i="19"/>
  <c r="R31" i="19"/>
  <c r="R25" i="19"/>
  <c r="R15" i="19"/>
  <c r="R34" i="19"/>
  <c r="R22" i="19"/>
  <c r="Z13" i="20"/>
  <c r="L29" i="20"/>
  <c r="Z15" i="26"/>
  <c r="D18" i="11"/>
  <c r="F15" i="11"/>
  <c r="F21" i="11"/>
  <c r="F16" i="11"/>
  <c r="F33" i="11"/>
  <c r="F27" i="11"/>
  <c r="F22" i="11"/>
  <c r="F18" i="11"/>
  <c r="F34" i="11"/>
  <c r="F29" i="11"/>
  <c r="F24" i="11"/>
  <c r="L12" i="11"/>
  <c r="F20" i="11"/>
  <c r="F36" i="11"/>
  <c r="F31" i="11"/>
  <c r="F25" i="11"/>
  <c r="X16" i="11"/>
  <c r="X20" i="11"/>
  <c r="N15" i="13"/>
  <c r="L21" i="13"/>
  <c r="L16" i="14"/>
  <c r="L20" i="14"/>
  <c r="X12" i="16"/>
  <c r="R36" i="16"/>
  <c r="R34" i="16"/>
  <c r="R33" i="16"/>
  <c r="R31" i="16"/>
  <c r="R29" i="16"/>
  <c r="R27" i="16"/>
  <c r="R25" i="16"/>
  <c r="R24" i="16"/>
  <c r="R22" i="16"/>
  <c r="R21" i="16"/>
  <c r="P18" i="16"/>
  <c r="R15" i="16"/>
  <c r="R16" i="16"/>
  <c r="R20" i="16"/>
  <c r="R18" i="16"/>
  <c r="Z22" i="16"/>
  <c r="Z24" i="16"/>
  <c r="Z21" i="17"/>
  <c r="X25" i="17"/>
  <c r="X29" i="17"/>
  <c r="X33" i="17"/>
  <c r="X34" i="17"/>
  <c r="L13" i="19"/>
  <c r="X16" i="19"/>
  <c r="N24" i="19"/>
  <c r="L33" i="19"/>
  <c r="N29" i="20"/>
  <c r="X33" i="20"/>
  <c r="Z12" i="16"/>
  <c r="V36" i="16"/>
  <c r="V34" i="16"/>
  <c r="V33" i="16"/>
  <c r="V31" i="16"/>
  <c r="V29" i="16"/>
  <c r="V27" i="16"/>
  <c r="V25" i="16"/>
  <c r="V24" i="16"/>
  <c r="V22" i="16"/>
  <c r="V21" i="16"/>
  <c r="V20" i="16"/>
  <c r="V18" i="16"/>
  <c r="V16" i="16"/>
  <c r="T18" i="16"/>
  <c r="V15" i="16"/>
  <c r="L15" i="16"/>
  <c r="Z25" i="16"/>
  <c r="Z29" i="16"/>
  <c r="Z33" i="16"/>
  <c r="Z34" i="16"/>
  <c r="X12" i="17"/>
  <c r="R36" i="17"/>
  <c r="R34" i="17"/>
  <c r="R33" i="17"/>
  <c r="R31" i="17"/>
  <c r="R29" i="17"/>
  <c r="R27" i="17"/>
  <c r="R25" i="17"/>
  <c r="R24" i="17"/>
  <c r="R22" i="17"/>
  <c r="R21" i="17"/>
  <c r="R20" i="17"/>
  <c r="R18" i="17"/>
  <c r="R16" i="17"/>
  <c r="R15" i="17"/>
  <c r="P18" i="17"/>
  <c r="Z22" i="17"/>
  <c r="Z24" i="17"/>
  <c r="N13" i="19"/>
  <c r="N21" i="19"/>
  <c r="Z21" i="20"/>
  <c r="L25" i="20"/>
  <c r="Z13" i="23"/>
  <c r="L13" i="13"/>
  <c r="N21" i="13"/>
  <c r="L25" i="13"/>
  <c r="L29" i="13"/>
  <c r="L33" i="13"/>
  <c r="L34" i="13"/>
  <c r="N16" i="14"/>
  <c r="N20" i="14"/>
  <c r="L22" i="14"/>
  <c r="L24" i="14"/>
  <c r="L16" i="16"/>
  <c r="L20" i="16"/>
  <c r="Z12" i="17"/>
  <c r="V36" i="17"/>
  <c r="V34" i="17"/>
  <c r="V33" i="17"/>
  <c r="V31" i="17"/>
  <c r="V29" i="17"/>
  <c r="V27" i="17"/>
  <c r="V25" i="17"/>
  <c r="V24" i="17"/>
  <c r="V22" i="17"/>
  <c r="V21" i="17"/>
  <c r="V20" i="17"/>
  <c r="V18" i="17"/>
  <c r="V16" i="17"/>
  <c r="T18" i="17"/>
  <c r="V15" i="17"/>
  <c r="L15" i="17"/>
  <c r="Z25" i="17"/>
  <c r="Z29" i="17"/>
  <c r="Z33" i="17"/>
  <c r="Z34" i="17"/>
  <c r="L29" i="19"/>
  <c r="L22" i="20"/>
  <c r="N25" i="20"/>
  <c r="X29" i="20"/>
  <c r="L34" i="20"/>
  <c r="L16" i="23"/>
  <c r="N13" i="13"/>
  <c r="N22" i="13"/>
  <c r="N24" i="13"/>
  <c r="L13" i="14"/>
  <c r="N21" i="14"/>
  <c r="L25" i="14"/>
  <c r="L29" i="14"/>
  <c r="L33" i="14"/>
  <c r="L34" i="14"/>
  <c r="N15" i="16"/>
  <c r="L21" i="16"/>
  <c r="L16" i="17"/>
  <c r="L20" i="17"/>
  <c r="Z24" i="19"/>
  <c r="X33" i="19"/>
  <c r="X15" i="20"/>
  <c r="N34" i="20"/>
  <c r="L13" i="22"/>
  <c r="N16" i="23"/>
  <c r="Z25" i="10"/>
  <c r="Z29" i="10"/>
  <c r="Z33" i="10"/>
  <c r="Z34" i="10"/>
  <c r="X12" i="11"/>
  <c r="R36" i="11"/>
  <c r="R34" i="11"/>
  <c r="R33" i="11"/>
  <c r="R31" i="11"/>
  <c r="R29" i="11"/>
  <c r="R27" i="11"/>
  <c r="R25" i="11"/>
  <c r="P18" i="11"/>
  <c r="R15" i="11"/>
  <c r="R18" i="11"/>
  <c r="R24" i="11"/>
  <c r="R20" i="11"/>
  <c r="R21" i="11"/>
  <c r="R16" i="11"/>
  <c r="R22" i="11"/>
  <c r="Z22" i="11"/>
  <c r="Z24" i="11"/>
  <c r="X15" i="13"/>
  <c r="N25" i="13"/>
  <c r="N29" i="13"/>
  <c r="N33" i="13"/>
  <c r="N34" i="13"/>
  <c r="N13" i="14"/>
  <c r="N22" i="14"/>
  <c r="N24" i="14"/>
  <c r="N16" i="16"/>
  <c r="N20" i="16"/>
  <c r="L22" i="16"/>
  <c r="L24" i="16"/>
  <c r="N15" i="17"/>
  <c r="L21" i="17"/>
  <c r="Z21" i="19"/>
  <c r="L25" i="19"/>
  <c r="N20" i="20"/>
  <c r="X25" i="20"/>
  <c r="N34" i="23"/>
  <c r="V36" i="11"/>
  <c r="V34" i="11"/>
  <c r="V33" i="11"/>
  <c r="V31" i="11"/>
  <c r="V29" i="11"/>
  <c r="V27" i="11"/>
  <c r="V25" i="11"/>
  <c r="V24" i="11"/>
  <c r="V22" i="11"/>
  <c r="V21" i="11"/>
  <c r="T18" i="11"/>
  <c r="V20" i="11"/>
  <c r="V15" i="11"/>
  <c r="Z12" i="11"/>
  <c r="V16" i="11"/>
  <c r="V18" i="11"/>
  <c r="L15" i="11"/>
  <c r="Z25" i="11"/>
  <c r="Z29" i="11"/>
  <c r="Z33" i="11"/>
  <c r="Z34" i="11"/>
  <c r="F36" i="13"/>
  <c r="F34" i="13"/>
  <c r="F33" i="13"/>
  <c r="F31" i="13"/>
  <c r="F29" i="13"/>
  <c r="F27" i="13"/>
  <c r="F25" i="13"/>
  <c r="F24" i="13"/>
  <c r="F22" i="13"/>
  <c r="F20" i="13"/>
  <c r="F18" i="13"/>
  <c r="F16" i="13"/>
  <c r="D18" i="13"/>
  <c r="F15" i="13"/>
  <c r="F21" i="13"/>
  <c r="L12" i="13"/>
  <c r="X16" i="13"/>
  <c r="X20" i="13"/>
  <c r="X15" i="14"/>
  <c r="N25" i="14"/>
  <c r="N29" i="14"/>
  <c r="N33" i="14"/>
  <c r="N34" i="14"/>
  <c r="L13" i="16"/>
  <c r="N21" i="16"/>
  <c r="L25" i="16"/>
  <c r="L29" i="16"/>
  <c r="L33" i="16"/>
  <c r="L34" i="16"/>
  <c r="N16" i="17"/>
  <c r="N20" i="17"/>
  <c r="L22" i="17"/>
  <c r="L24" i="17"/>
  <c r="X29" i="19"/>
  <c r="L34" i="19"/>
  <c r="X22" i="20"/>
  <c r="X34" i="20"/>
  <c r="X29" i="22"/>
  <c r="N15" i="25"/>
  <c r="L16" i="11"/>
  <c r="L20" i="11"/>
  <c r="J36" i="13"/>
  <c r="J34" i="13"/>
  <c r="J33" i="13"/>
  <c r="J31" i="13"/>
  <c r="J29" i="13"/>
  <c r="J27" i="13"/>
  <c r="J25" i="13"/>
  <c r="J24" i="13"/>
  <c r="J22" i="13"/>
  <c r="J21" i="13"/>
  <c r="J20" i="13"/>
  <c r="J18" i="13"/>
  <c r="J16" i="13"/>
  <c r="N12" i="13"/>
  <c r="J15" i="13"/>
  <c r="H18" i="13"/>
  <c r="X13" i="13"/>
  <c r="Z15" i="13"/>
  <c r="X21" i="13"/>
  <c r="F36" i="14"/>
  <c r="F34" i="14"/>
  <c r="F33" i="14"/>
  <c r="F31" i="14"/>
  <c r="F29" i="14"/>
  <c r="F27" i="14"/>
  <c r="F25" i="14"/>
  <c r="F24" i="14"/>
  <c r="F22" i="14"/>
  <c r="F21" i="14"/>
  <c r="D18" i="14"/>
  <c r="F15" i="14"/>
  <c r="L12" i="14"/>
  <c r="F20" i="14"/>
  <c r="F18" i="14"/>
  <c r="F16" i="14"/>
  <c r="X16" i="14"/>
  <c r="X20" i="14"/>
  <c r="N13" i="16"/>
  <c r="N22" i="16"/>
  <c r="N24" i="16"/>
  <c r="L13" i="17"/>
  <c r="N21" i="17"/>
  <c r="L25" i="17"/>
  <c r="L29" i="17"/>
  <c r="L33" i="17"/>
  <c r="L34" i="17"/>
  <c r="N16" i="20"/>
  <c r="X15" i="19"/>
  <c r="N25" i="19"/>
  <c r="N29" i="19"/>
  <c r="N33" i="19"/>
  <c r="N34" i="19"/>
  <c r="N13" i="20"/>
  <c r="N22" i="20"/>
  <c r="N24" i="20"/>
  <c r="Z15" i="22"/>
  <c r="L22" i="22"/>
  <c r="L21" i="23"/>
  <c r="X22" i="23"/>
  <c r="N25" i="23"/>
  <c r="X34" i="26"/>
  <c r="H18" i="19"/>
  <c r="J15" i="19"/>
  <c r="J24" i="19"/>
  <c r="J22" i="19"/>
  <c r="J25" i="19"/>
  <c r="J29" i="19"/>
  <c r="J18" i="19"/>
  <c r="J33" i="19"/>
  <c r="J21" i="19"/>
  <c r="J36" i="19"/>
  <c r="J27" i="19"/>
  <c r="J16" i="19"/>
  <c r="N12" i="19"/>
  <c r="J20" i="19"/>
  <c r="J34" i="19"/>
  <c r="J31" i="19"/>
  <c r="X13" i="19"/>
  <c r="Z15" i="19"/>
  <c r="X21" i="19"/>
  <c r="F20" i="20"/>
  <c r="F18" i="20"/>
  <c r="F16" i="20"/>
  <c r="D18" i="20"/>
  <c r="F15" i="20"/>
  <c r="F36" i="20"/>
  <c r="F34" i="20"/>
  <c r="F33" i="20"/>
  <c r="F31" i="20"/>
  <c r="F29" i="20"/>
  <c r="F27" i="20"/>
  <c r="F25" i="20"/>
  <c r="L12" i="20"/>
  <c r="F22" i="20"/>
  <c r="F24" i="20"/>
  <c r="F21" i="20"/>
  <c r="X16" i="20"/>
  <c r="X20" i="20"/>
  <c r="L16" i="22"/>
  <c r="N33" i="22"/>
  <c r="L15" i="23"/>
  <c r="N29" i="23"/>
  <c r="Z34" i="23"/>
  <c r="Z22" i="25"/>
  <c r="X25" i="26"/>
  <c r="N15" i="31"/>
  <c r="Z13" i="19"/>
  <c r="Z16" i="19"/>
  <c r="Z20" i="19"/>
  <c r="X22" i="19"/>
  <c r="X24" i="19"/>
  <c r="J36" i="20"/>
  <c r="J34" i="20"/>
  <c r="J33" i="20"/>
  <c r="J31" i="20"/>
  <c r="J29" i="20"/>
  <c r="J27" i="20"/>
  <c r="J25" i="20"/>
  <c r="J21" i="20"/>
  <c r="J20" i="20"/>
  <c r="J22" i="20"/>
  <c r="J15" i="20"/>
  <c r="J18" i="20"/>
  <c r="H18" i="20"/>
  <c r="N12" i="20"/>
  <c r="J24" i="20"/>
  <c r="J16" i="20"/>
  <c r="X13" i="20"/>
  <c r="Z15" i="20"/>
  <c r="X21" i="20"/>
  <c r="L21" i="22"/>
  <c r="L20" i="23"/>
  <c r="L24" i="23"/>
  <c r="Z25" i="23"/>
  <c r="Z16" i="25"/>
  <c r="X24" i="25"/>
  <c r="X13" i="22"/>
  <c r="N16" i="22"/>
  <c r="F24" i="23"/>
  <c r="F22" i="23"/>
  <c r="F34" i="23"/>
  <c r="F31" i="23"/>
  <c r="F18" i="23"/>
  <c r="D18" i="23"/>
  <c r="F27" i="23"/>
  <c r="F36" i="23"/>
  <c r="L12" i="23"/>
  <c r="F20" i="23"/>
  <c r="F33" i="23"/>
  <c r="F15" i="23"/>
  <c r="F16" i="23"/>
  <c r="F29" i="23"/>
  <c r="F25" i="23"/>
  <c r="F21" i="23"/>
  <c r="N15" i="23"/>
  <c r="X16" i="23"/>
  <c r="N24" i="23"/>
  <c r="N33" i="23"/>
  <c r="Z24" i="25"/>
  <c r="X33" i="28"/>
  <c r="N21" i="22"/>
  <c r="L25" i="22"/>
  <c r="X33" i="22"/>
  <c r="Z16" i="23"/>
  <c r="N20" i="23"/>
  <c r="Z29" i="23"/>
  <c r="J36" i="28"/>
  <c r="J34" i="28"/>
  <c r="J33" i="28"/>
  <c r="J31" i="28"/>
  <c r="J29" i="28"/>
  <c r="J27" i="28"/>
  <c r="J25" i="28"/>
  <c r="J21" i="28"/>
  <c r="J20" i="28"/>
  <c r="J18" i="28"/>
  <c r="J16" i="28"/>
  <c r="H18" i="28"/>
  <c r="J15" i="28"/>
  <c r="J22" i="28"/>
  <c r="N12" i="28"/>
  <c r="J24" i="28"/>
  <c r="Z12" i="19"/>
  <c r="V36" i="19"/>
  <c r="V34" i="19"/>
  <c r="V33" i="19"/>
  <c r="V31" i="19"/>
  <c r="V29" i="19"/>
  <c r="V27" i="19"/>
  <c r="V25" i="19"/>
  <c r="V24" i="19"/>
  <c r="V22" i="19"/>
  <c r="T18" i="19"/>
  <c r="V15" i="19"/>
  <c r="V18" i="19"/>
  <c r="V21" i="19"/>
  <c r="V16" i="19"/>
  <c r="V20" i="19"/>
  <c r="L15" i="19"/>
  <c r="Z25" i="19"/>
  <c r="Z29" i="19"/>
  <c r="Z33" i="19"/>
  <c r="Z34" i="19"/>
  <c r="X12" i="20"/>
  <c r="R36" i="20"/>
  <c r="R34" i="20"/>
  <c r="R33" i="20"/>
  <c r="R31" i="20"/>
  <c r="R29" i="20"/>
  <c r="R27" i="20"/>
  <c r="R25" i="20"/>
  <c r="R20" i="20"/>
  <c r="R18" i="20"/>
  <c r="R16" i="20"/>
  <c r="P18" i="20"/>
  <c r="R15" i="20"/>
  <c r="R22" i="20"/>
  <c r="R21" i="20"/>
  <c r="R24" i="20"/>
  <c r="Z22" i="20"/>
  <c r="Z24" i="20"/>
  <c r="L20" i="22"/>
  <c r="N25" i="22"/>
  <c r="V36" i="23"/>
  <c r="V34" i="23"/>
  <c r="V33" i="23"/>
  <c r="V31" i="23"/>
  <c r="V29" i="23"/>
  <c r="V27" i="23"/>
  <c r="V25" i="23"/>
  <c r="V21" i="23"/>
  <c r="V20" i="23"/>
  <c r="V18" i="23"/>
  <c r="V16" i="23"/>
  <c r="V15" i="23"/>
  <c r="V24" i="23"/>
  <c r="Z12" i="23"/>
  <c r="T18" i="23"/>
  <c r="V22" i="23"/>
  <c r="X29" i="26"/>
  <c r="N15" i="28"/>
  <c r="L16" i="19"/>
  <c r="L20" i="19"/>
  <c r="Z12" i="20"/>
  <c r="V36" i="20"/>
  <c r="V34" i="20"/>
  <c r="V33" i="20"/>
  <c r="V31" i="20"/>
  <c r="V29" i="20"/>
  <c r="V27" i="20"/>
  <c r="V25" i="20"/>
  <c r="V24" i="20"/>
  <c r="V22" i="20"/>
  <c r="V21" i="20"/>
  <c r="V15" i="20"/>
  <c r="V18" i="20"/>
  <c r="T18" i="20"/>
  <c r="V16" i="20"/>
  <c r="V20" i="20"/>
  <c r="L15" i="20"/>
  <c r="Z25" i="20"/>
  <c r="Z29" i="20"/>
  <c r="Z33" i="20"/>
  <c r="Z34" i="20"/>
  <c r="F36" i="22"/>
  <c r="F34" i="22"/>
  <c r="F33" i="22"/>
  <c r="F31" i="22"/>
  <c r="F29" i="22"/>
  <c r="F27" i="22"/>
  <c r="F25" i="22"/>
  <c r="L12" i="22"/>
  <c r="D18" i="22"/>
  <c r="F24" i="22"/>
  <c r="F20" i="22"/>
  <c r="F15" i="22"/>
  <c r="F21" i="22"/>
  <c r="F16" i="22"/>
  <c r="F18" i="22"/>
  <c r="F22" i="22"/>
  <c r="N15" i="22"/>
  <c r="X16" i="22"/>
  <c r="X15" i="23"/>
  <c r="X24" i="23"/>
  <c r="Z33" i="23"/>
  <c r="R20" i="25"/>
  <c r="R18" i="25"/>
  <c r="R16" i="25"/>
  <c r="P18" i="25"/>
  <c r="R15" i="25"/>
  <c r="X12" i="25"/>
  <c r="R24" i="25"/>
  <c r="R22" i="25"/>
  <c r="R29" i="25"/>
  <c r="R27" i="25"/>
  <c r="R36" i="25"/>
  <c r="R25" i="25"/>
  <c r="R34" i="25"/>
  <c r="R33" i="25"/>
  <c r="R31" i="25"/>
  <c r="R21" i="25"/>
  <c r="J36" i="26"/>
  <c r="J34" i="26"/>
  <c r="J33" i="26"/>
  <c r="J31" i="26"/>
  <c r="J29" i="26"/>
  <c r="J27" i="26"/>
  <c r="J25" i="26"/>
  <c r="J24" i="26"/>
  <c r="J22" i="26"/>
  <c r="J21" i="26"/>
  <c r="J20" i="26"/>
  <c r="J18" i="26"/>
  <c r="J16" i="26"/>
  <c r="H18" i="26"/>
  <c r="J15" i="26"/>
  <c r="N12" i="26"/>
  <c r="X21" i="26"/>
  <c r="Z15" i="28"/>
  <c r="N15" i="19"/>
  <c r="L21" i="19"/>
  <c r="L16" i="20"/>
  <c r="L20" i="20"/>
  <c r="J21" i="22"/>
  <c r="J24" i="22"/>
  <c r="J20" i="22"/>
  <c r="N12" i="22"/>
  <c r="J15" i="22"/>
  <c r="J36" i="22"/>
  <c r="J31" i="22"/>
  <c r="J25" i="22"/>
  <c r="J16" i="22"/>
  <c r="J33" i="22"/>
  <c r="J27" i="22"/>
  <c r="J22" i="22"/>
  <c r="H18" i="22"/>
  <c r="J29" i="22"/>
  <c r="J34" i="22"/>
  <c r="J18" i="22"/>
  <c r="N20" i="22"/>
  <c r="X21" i="22"/>
  <c r="L24" i="22"/>
  <c r="X20" i="23"/>
  <c r="L22" i="23"/>
  <c r="Z21" i="26"/>
  <c r="Z16" i="29"/>
  <c r="N16" i="19"/>
  <c r="N20" i="19"/>
  <c r="L22" i="19"/>
  <c r="L24" i="19"/>
  <c r="N15" i="20"/>
  <c r="L21" i="20"/>
  <c r="Z21" i="22"/>
  <c r="X25" i="22"/>
  <c r="L29" i="22"/>
  <c r="L34" i="22"/>
  <c r="Z20" i="23"/>
  <c r="N22" i="23"/>
  <c r="Z13" i="25"/>
  <c r="Z20" i="25"/>
  <c r="X13" i="26"/>
  <c r="L20" i="32"/>
  <c r="Z16" i="34"/>
  <c r="X15" i="22"/>
  <c r="N29" i="22"/>
  <c r="N34" i="22"/>
  <c r="N13" i="23"/>
  <c r="X33" i="26"/>
  <c r="L21" i="28"/>
  <c r="Z13" i="22"/>
  <c r="Z16" i="22"/>
  <c r="Z20" i="22"/>
  <c r="X22" i="22"/>
  <c r="X24" i="22"/>
  <c r="J20" i="23"/>
  <c r="J18" i="23"/>
  <c r="J16" i="23"/>
  <c r="N12" i="23"/>
  <c r="J31" i="23"/>
  <c r="J22" i="23"/>
  <c r="H18" i="23"/>
  <c r="J27" i="23"/>
  <c r="J36" i="23"/>
  <c r="J33" i="23"/>
  <c r="J24" i="23"/>
  <c r="J15" i="23"/>
  <c r="J29" i="23"/>
  <c r="J21" i="23"/>
  <c r="J34" i="23"/>
  <c r="J25" i="23"/>
  <c r="X13" i="23"/>
  <c r="Z15" i="23"/>
  <c r="X21" i="23"/>
  <c r="Z21" i="25"/>
  <c r="X25" i="25"/>
  <c r="X29" i="25"/>
  <c r="X33" i="25"/>
  <c r="X34" i="25"/>
  <c r="Z13" i="26"/>
  <c r="Z16" i="26"/>
  <c r="Z20" i="26"/>
  <c r="X22" i="26"/>
  <c r="X24" i="26"/>
  <c r="X15" i="28"/>
  <c r="Z12" i="29"/>
  <c r="V21" i="29"/>
  <c r="V20" i="29"/>
  <c r="V18" i="29"/>
  <c r="V16" i="29"/>
  <c r="V34" i="29"/>
  <c r="V29" i="29"/>
  <c r="V24" i="29"/>
  <c r="V15" i="29"/>
  <c r="V33" i="29"/>
  <c r="V27" i="29"/>
  <c r="V22" i="29"/>
  <c r="T18" i="29"/>
  <c r="V36" i="29"/>
  <c r="V31" i="29"/>
  <c r="V25" i="29"/>
  <c r="Z25" i="29"/>
  <c r="Z34" i="31"/>
  <c r="R36" i="22"/>
  <c r="R34" i="22"/>
  <c r="R33" i="22"/>
  <c r="R31" i="22"/>
  <c r="R29" i="22"/>
  <c r="R27" i="22"/>
  <c r="R25" i="22"/>
  <c r="R21" i="22"/>
  <c r="X12" i="22"/>
  <c r="R16" i="22"/>
  <c r="R22" i="22"/>
  <c r="R18" i="22"/>
  <c r="P18" i="22"/>
  <c r="R20" i="22"/>
  <c r="R15" i="22"/>
  <c r="R24" i="22"/>
  <c r="Z22" i="22"/>
  <c r="Z24" i="22"/>
  <c r="Z21" i="23"/>
  <c r="X25" i="23"/>
  <c r="X29" i="23"/>
  <c r="X33" i="23"/>
  <c r="X34" i="23"/>
  <c r="V36" i="25"/>
  <c r="V34" i="25"/>
  <c r="V33" i="25"/>
  <c r="V31" i="25"/>
  <c r="V29" i="25"/>
  <c r="V27" i="25"/>
  <c r="V25" i="25"/>
  <c r="V24" i="25"/>
  <c r="V22" i="25"/>
  <c r="V20" i="25"/>
  <c r="V18" i="25"/>
  <c r="V16" i="25"/>
  <c r="Z12" i="25"/>
  <c r="T18" i="25"/>
  <c r="V21" i="25"/>
  <c r="V15" i="25"/>
  <c r="L15" i="25"/>
  <c r="Z25" i="25"/>
  <c r="Z29" i="25"/>
  <c r="Z33" i="25"/>
  <c r="Z34" i="25"/>
  <c r="P18" i="26"/>
  <c r="R15" i="26"/>
  <c r="X12" i="26"/>
  <c r="R36" i="26"/>
  <c r="R34" i="26"/>
  <c r="R33" i="26"/>
  <c r="R31" i="26"/>
  <c r="R29" i="26"/>
  <c r="R27" i="26"/>
  <c r="R25" i="26"/>
  <c r="R21" i="26"/>
  <c r="R22" i="26"/>
  <c r="R20" i="26"/>
  <c r="R18" i="26"/>
  <c r="R24" i="26"/>
  <c r="R16" i="26"/>
  <c r="Z22" i="26"/>
  <c r="Z24" i="26"/>
  <c r="Z21" i="28"/>
  <c r="Z25" i="31"/>
  <c r="V24" i="22"/>
  <c r="V22" i="22"/>
  <c r="V21" i="22"/>
  <c r="T18" i="22"/>
  <c r="V15" i="22"/>
  <c r="V36" i="22"/>
  <c r="V31" i="22"/>
  <c r="V25" i="22"/>
  <c r="V16" i="22"/>
  <c r="V33" i="22"/>
  <c r="V27" i="22"/>
  <c r="V18" i="22"/>
  <c r="V34" i="22"/>
  <c r="V29" i="22"/>
  <c r="Z12" i="22"/>
  <c r="V20" i="22"/>
  <c r="L15" i="22"/>
  <c r="Z25" i="22"/>
  <c r="Z29" i="22"/>
  <c r="Z33" i="22"/>
  <c r="Z34" i="22"/>
  <c r="R36" i="23"/>
  <c r="R34" i="23"/>
  <c r="R33" i="23"/>
  <c r="R31" i="23"/>
  <c r="R29" i="23"/>
  <c r="R27" i="23"/>
  <c r="R25" i="23"/>
  <c r="R24" i="23"/>
  <c r="R22" i="23"/>
  <c r="R20" i="23"/>
  <c r="R18" i="23"/>
  <c r="R16" i="23"/>
  <c r="R15" i="23"/>
  <c r="X12" i="23"/>
  <c r="R21" i="23"/>
  <c r="P18" i="23"/>
  <c r="Z22" i="23"/>
  <c r="Z24" i="23"/>
  <c r="L16" i="25"/>
  <c r="L20" i="25"/>
  <c r="Z12" i="26"/>
  <c r="V36" i="26"/>
  <c r="V34" i="26"/>
  <c r="V33" i="26"/>
  <c r="V31" i="26"/>
  <c r="V29" i="26"/>
  <c r="V27" i="26"/>
  <c r="V25" i="26"/>
  <c r="V24" i="26"/>
  <c r="V22" i="26"/>
  <c r="V21" i="26"/>
  <c r="T18" i="26"/>
  <c r="V15" i="26"/>
  <c r="V20" i="26"/>
  <c r="V18" i="26"/>
  <c r="V16" i="26"/>
  <c r="L15" i="26"/>
  <c r="Z25" i="26"/>
  <c r="Z29" i="26"/>
  <c r="Z33" i="26"/>
  <c r="Z34" i="26"/>
  <c r="V21" i="28"/>
  <c r="T18" i="28"/>
  <c r="V15" i="28"/>
  <c r="V22" i="28"/>
  <c r="V36" i="28"/>
  <c r="V31" i="28"/>
  <c r="V25" i="28"/>
  <c r="V20" i="28"/>
  <c r="V16" i="28"/>
  <c r="Z12" i="28"/>
  <c r="V34" i="28"/>
  <c r="V29" i="28"/>
  <c r="V24" i="28"/>
  <c r="V18" i="28"/>
  <c r="V33" i="28"/>
  <c r="V27" i="28"/>
  <c r="X29" i="28"/>
  <c r="X34" i="28"/>
  <c r="Z13" i="29"/>
  <c r="X22" i="29"/>
  <c r="L21" i="25"/>
  <c r="L16" i="26"/>
  <c r="L20" i="26"/>
  <c r="L16" i="28"/>
  <c r="L20" i="28"/>
  <c r="L15" i="29"/>
  <c r="Z33" i="29"/>
  <c r="R25" i="32"/>
  <c r="R24" i="32"/>
  <c r="R22" i="32"/>
  <c r="R27" i="32"/>
  <c r="R21" i="32"/>
  <c r="R29" i="32"/>
  <c r="R20" i="32"/>
  <c r="R18" i="32"/>
  <c r="R16" i="32"/>
  <c r="R31" i="32"/>
  <c r="P18" i="32"/>
  <c r="R15" i="32"/>
  <c r="R33" i="32"/>
  <c r="R34" i="32"/>
  <c r="R36" i="32"/>
  <c r="X12" i="32"/>
  <c r="Z33" i="35"/>
  <c r="N16" i="25"/>
  <c r="N20" i="25"/>
  <c r="L22" i="25"/>
  <c r="L24" i="25"/>
  <c r="N15" i="26"/>
  <c r="L21" i="26"/>
  <c r="L20" i="29"/>
  <c r="L13" i="25"/>
  <c r="N21" i="25"/>
  <c r="L25" i="25"/>
  <c r="L29" i="25"/>
  <c r="L33" i="25"/>
  <c r="L34" i="25"/>
  <c r="N16" i="26"/>
  <c r="N20" i="26"/>
  <c r="L22" i="26"/>
  <c r="L24" i="26"/>
  <c r="X20" i="29"/>
  <c r="Z29" i="31"/>
  <c r="Z22" i="32"/>
  <c r="L34" i="32"/>
  <c r="N13" i="25"/>
  <c r="N22" i="25"/>
  <c r="N24" i="25"/>
  <c r="L13" i="26"/>
  <c r="N21" i="26"/>
  <c r="L25" i="26"/>
  <c r="L29" i="26"/>
  <c r="L33" i="26"/>
  <c r="L34" i="26"/>
  <c r="X13" i="28"/>
  <c r="X25" i="28"/>
  <c r="Z20" i="29"/>
  <c r="X24" i="29"/>
  <c r="L21" i="31"/>
  <c r="N34" i="32"/>
  <c r="N13" i="22"/>
  <c r="N22" i="22"/>
  <c r="N24" i="22"/>
  <c r="L13" i="23"/>
  <c r="N21" i="23"/>
  <c r="L25" i="23"/>
  <c r="L29" i="23"/>
  <c r="L33" i="23"/>
  <c r="L34" i="23"/>
  <c r="X15" i="25"/>
  <c r="N25" i="25"/>
  <c r="N29" i="25"/>
  <c r="N33" i="25"/>
  <c r="N34" i="25"/>
  <c r="N13" i="26"/>
  <c r="N22" i="26"/>
  <c r="N24" i="26"/>
  <c r="Z29" i="29"/>
  <c r="Z34" i="29"/>
  <c r="V21" i="31"/>
  <c r="V20" i="31"/>
  <c r="V18" i="31"/>
  <c r="V16" i="31"/>
  <c r="T18" i="31"/>
  <c r="V15" i="31"/>
  <c r="V36" i="31"/>
  <c r="V34" i="31"/>
  <c r="V33" i="31"/>
  <c r="V31" i="31"/>
  <c r="V29" i="31"/>
  <c r="V27" i="31"/>
  <c r="V25" i="31"/>
  <c r="V22" i="31"/>
  <c r="Z12" i="31"/>
  <c r="V24" i="31"/>
  <c r="Z24" i="32"/>
  <c r="L15" i="35"/>
  <c r="N13" i="37"/>
  <c r="F36" i="25"/>
  <c r="F34" i="25"/>
  <c r="F33" i="25"/>
  <c r="F31" i="25"/>
  <c r="F29" i="25"/>
  <c r="F27" i="25"/>
  <c r="F25" i="25"/>
  <c r="F24" i="25"/>
  <c r="F22" i="25"/>
  <c r="F21" i="25"/>
  <c r="D18" i="25"/>
  <c r="F15" i="25"/>
  <c r="F20" i="25"/>
  <c r="L12" i="25"/>
  <c r="F18" i="25"/>
  <c r="F16" i="25"/>
  <c r="X16" i="25"/>
  <c r="X20" i="25"/>
  <c r="X15" i="26"/>
  <c r="N25" i="26"/>
  <c r="N29" i="26"/>
  <c r="N33" i="26"/>
  <c r="N34" i="26"/>
  <c r="L15" i="28"/>
  <c r="L16" i="29"/>
  <c r="L16" i="32"/>
  <c r="Z15" i="35"/>
  <c r="L24" i="37"/>
  <c r="J36" i="25"/>
  <c r="J34" i="25"/>
  <c r="J33" i="25"/>
  <c r="J31" i="25"/>
  <c r="J29" i="25"/>
  <c r="J27" i="25"/>
  <c r="J25" i="25"/>
  <c r="J24" i="25"/>
  <c r="J22" i="25"/>
  <c r="J21" i="25"/>
  <c r="J20" i="25"/>
  <c r="J18" i="25"/>
  <c r="J16" i="25"/>
  <c r="H18" i="25"/>
  <c r="J15" i="25"/>
  <c r="N12" i="25"/>
  <c r="X13" i="25"/>
  <c r="Z15" i="25"/>
  <c r="X21" i="25"/>
  <c r="F36" i="26"/>
  <c r="F34" i="26"/>
  <c r="F33" i="26"/>
  <c r="F31" i="26"/>
  <c r="F29" i="26"/>
  <c r="F27" i="26"/>
  <c r="F25" i="26"/>
  <c r="F24" i="26"/>
  <c r="F22" i="26"/>
  <c r="F21" i="26"/>
  <c r="F20" i="26"/>
  <c r="F18" i="26"/>
  <c r="F16" i="26"/>
  <c r="D18" i="26"/>
  <c r="F15" i="26"/>
  <c r="L12" i="26"/>
  <c r="X16" i="26"/>
  <c r="X20" i="26"/>
  <c r="F36" i="29"/>
  <c r="F34" i="29"/>
  <c r="F33" i="29"/>
  <c r="F31" i="29"/>
  <c r="F29" i="29"/>
  <c r="F27" i="29"/>
  <c r="F25" i="29"/>
  <c r="F24" i="29"/>
  <c r="F22" i="29"/>
  <c r="F21" i="29"/>
  <c r="F20" i="29"/>
  <c r="F18" i="29"/>
  <c r="F16" i="29"/>
  <c r="F15" i="29"/>
  <c r="D18" i="29"/>
  <c r="L12" i="29"/>
  <c r="X16" i="29"/>
  <c r="L15" i="31"/>
  <c r="Z33" i="31"/>
  <c r="Z25" i="32"/>
  <c r="L16" i="34"/>
  <c r="X25" i="37"/>
  <c r="Z13" i="28"/>
  <c r="Z16" i="28"/>
  <c r="Z20" i="28"/>
  <c r="X22" i="28"/>
  <c r="X24" i="28"/>
  <c r="J24" i="29"/>
  <c r="J22" i="29"/>
  <c r="J21" i="29"/>
  <c r="J20" i="29"/>
  <c r="J18" i="29"/>
  <c r="J16" i="29"/>
  <c r="H18" i="29"/>
  <c r="J15" i="29"/>
  <c r="N12" i="29"/>
  <c r="J36" i="29"/>
  <c r="J31" i="29"/>
  <c r="J25" i="29"/>
  <c r="J34" i="29"/>
  <c r="J29" i="29"/>
  <c r="J33" i="29"/>
  <c r="J27" i="29"/>
  <c r="X13" i="29"/>
  <c r="Z15" i="29"/>
  <c r="X21" i="29"/>
  <c r="L16" i="31"/>
  <c r="L20" i="31"/>
  <c r="V29" i="32"/>
  <c r="V20" i="32"/>
  <c r="V18" i="32"/>
  <c r="V16" i="32"/>
  <c r="V31" i="32"/>
  <c r="T18" i="32"/>
  <c r="V15" i="32"/>
  <c r="V33" i="32"/>
  <c r="V34" i="32"/>
  <c r="V36" i="32"/>
  <c r="Z12" i="32"/>
  <c r="V25" i="32"/>
  <c r="V24" i="32"/>
  <c r="V22" i="32"/>
  <c r="V21" i="32"/>
  <c r="V27" i="32"/>
  <c r="L15" i="32"/>
  <c r="L33" i="32"/>
  <c r="J36" i="34"/>
  <c r="J34" i="34"/>
  <c r="J33" i="34"/>
  <c r="J31" i="34"/>
  <c r="J29" i="34"/>
  <c r="J27" i="34"/>
  <c r="J25" i="34"/>
  <c r="J24" i="34"/>
  <c r="J22" i="34"/>
  <c r="J21" i="34"/>
  <c r="J20" i="34"/>
  <c r="J18" i="34"/>
  <c r="J16" i="34"/>
  <c r="H18" i="34"/>
  <c r="J15" i="34"/>
  <c r="N12" i="34"/>
  <c r="X21" i="34"/>
  <c r="X20" i="35"/>
  <c r="L29" i="38"/>
  <c r="P18" i="28"/>
  <c r="R15" i="28"/>
  <c r="R36" i="28"/>
  <c r="R34" i="28"/>
  <c r="R33" i="28"/>
  <c r="R31" i="28"/>
  <c r="R29" i="28"/>
  <c r="R27" i="28"/>
  <c r="R25" i="28"/>
  <c r="R21" i="28"/>
  <c r="R22" i="28"/>
  <c r="R20" i="28"/>
  <c r="R16" i="28"/>
  <c r="X12" i="28"/>
  <c r="R24" i="28"/>
  <c r="R18" i="28"/>
  <c r="Z22" i="28"/>
  <c r="Z24" i="28"/>
  <c r="Z21" i="29"/>
  <c r="X25" i="29"/>
  <c r="X29" i="29"/>
  <c r="X33" i="29"/>
  <c r="X34" i="29"/>
  <c r="N16" i="31"/>
  <c r="N20" i="31"/>
  <c r="L22" i="31"/>
  <c r="L24" i="31"/>
  <c r="N15" i="32"/>
  <c r="L21" i="32"/>
  <c r="L29" i="32"/>
  <c r="N33" i="32"/>
  <c r="Z12" i="34"/>
  <c r="V21" i="34"/>
  <c r="V20" i="34"/>
  <c r="V18" i="34"/>
  <c r="V16" i="34"/>
  <c r="V24" i="34"/>
  <c r="V15" i="34"/>
  <c r="V33" i="34"/>
  <c r="V27" i="34"/>
  <c r="V22" i="34"/>
  <c r="T18" i="34"/>
  <c r="V36" i="34"/>
  <c r="V31" i="34"/>
  <c r="V25" i="34"/>
  <c r="V34" i="34"/>
  <c r="V29" i="34"/>
  <c r="Z25" i="34"/>
  <c r="Z24" i="35"/>
  <c r="X25" i="40"/>
  <c r="Z25" i="28"/>
  <c r="Z29" i="28"/>
  <c r="Z33" i="28"/>
  <c r="Z34" i="28"/>
  <c r="R36" i="29"/>
  <c r="R34" i="29"/>
  <c r="R33" i="29"/>
  <c r="R31" i="29"/>
  <c r="R29" i="29"/>
  <c r="R27" i="29"/>
  <c r="R25" i="29"/>
  <c r="R24" i="29"/>
  <c r="R22" i="29"/>
  <c r="R20" i="29"/>
  <c r="R18" i="29"/>
  <c r="R16" i="29"/>
  <c r="R15" i="29"/>
  <c r="P18" i="29"/>
  <c r="R21" i="29"/>
  <c r="X12" i="29"/>
  <c r="Z22" i="29"/>
  <c r="Z24" i="29"/>
  <c r="L13" i="31"/>
  <c r="N21" i="31"/>
  <c r="L25" i="31"/>
  <c r="L29" i="31"/>
  <c r="L33" i="31"/>
  <c r="L34" i="31"/>
  <c r="N16" i="32"/>
  <c r="N20" i="32"/>
  <c r="L22" i="32"/>
  <c r="L24" i="32"/>
  <c r="Z29" i="35"/>
  <c r="Z34" i="35"/>
  <c r="N13" i="31"/>
  <c r="N22" i="31"/>
  <c r="N24" i="31"/>
  <c r="L13" i="32"/>
  <c r="N21" i="32"/>
  <c r="L25" i="32"/>
  <c r="N29" i="32"/>
  <c r="X34" i="32"/>
  <c r="X13" i="34"/>
  <c r="F36" i="35"/>
  <c r="F34" i="35"/>
  <c r="F33" i="35"/>
  <c r="F31" i="35"/>
  <c r="F29" i="35"/>
  <c r="F27" i="35"/>
  <c r="F25" i="35"/>
  <c r="F24" i="35"/>
  <c r="F22" i="35"/>
  <c r="F21" i="35"/>
  <c r="F20" i="35"/>
  <c r="F18" i="35"/>
  <c r="F16" i="35"/>
  <c r="D18" i="35"/>
  <c r="F15" i="35"/>
  <c r="L12" i="35"/>
  <c r="X16" i="35"/>
  <c r="L29" i="37"/>
  <c r="X34" i="38"/>
  <c r="X15" i="31"/>
  <c r="N25" i="31"/>
  <c r="N29" i="31"/>
  <c r="N33" i="31"/>
  <c r="N34" i="31"/>
  <c r="N13" i="32"/>
  <c r="N22" i="32"/>
  <c r="N24" i="32"/>
  <c r="X33" i="32"/>
  <c r="Z13" i="34"/>
  <c r="X22" i="34"/>
  <c r="J24" i="35"/>
  <c r="J22" i="35"/>
  <c r="J21" i="35"/>
  <c r="J20" i="35"/>
  <c r="J18" i="35"/>
  <c r="J16" i="35"/>
  <c r="H18" i="35"/>
  <c r="J15" i="35"/>
  <c r="N12" i="35"/>
  <c r="J33" i="35"/>
  <c r="J27" i="35"/>
  <c r="J36" i="35"/>
  <c r="J31" i="35"/>
  <c r="J25" i="35"/>
  <c r="J34" i="35"/>
  <c r="J29" i="35"/>
  <c r="X21" i="35"/>
  <c r="L21" i="38"/>
  <c r="F36" i="41"/>
  <c r="F34" i="41"/>
  <c r="F33" i="41"/>
  <c r="F31" i="41"/>
  <c r="F29" i="41"/>
  <c r="F27" i="41"/>
  <c r="F25" i="41"/>
  <c r="F24" i="41"/>
  <c r="F22" i="41"/>
  <c r="F21" i="41"/>
  <c r="F20" i="41"/>
  <c r="F18" i="41"/>
  <c r="F16" i="41"/>
  <c r="D18" i="41"/>
  <c r="F15" i="41"/>
  <c r="L12" i="41"/>
  <c r="N16" i="28"/>
  <c r="N20" i="28"/>
  <c r="L22" i="28"/>
  <c r="L24" i="28"/>
  <c r="N15" i="29"/>
  <c r="L21" i="29"/>
  <c r="L12" i="31"/>
  <c r="F36" i="31"/>
  <c r="F34" i="31"/>
  <c r="F33" i="31"/>
  <c r="F31" i="31"/>
  <c r="F29" i="31"/>
  <c r="F27" i="31"/>
  <c r="F25" i="31"/>
  <c r="F24" i="31"/>
  <c r="F22" i="31"/>
  <c r="F21" i="31"/>
  <c r="D18" i="31"/>
  <c r="F15" i="31"/>
  <c r="F20" i="31"/>
  <c r="F18" i="31"/>
  <c r="F16" i="31"/>
  <c r="X16" i="31"/>
  <c r="X20" i="31"/>
  <c r="X15" i="32"/>
  <c r="N25" i="32"/>
  <c r="Z34" i="32"/>
  <c r="L15" i="34"/>
  <c r="Z33" i="34"/>
  <c r="X12" i="35"/>
  <c r="R24" i="35"/>
  <c r="R22" i="35"/>
  <c r="R21" i="35"/>
  <c r="R33" i="35"/>
  <c r="R27" i="35"/>
  <c r="R18" i="35"/>
  <c r="P18" i="35"/>
  <c r="R36" i="35"/>
  <c r="R31" i="35"/>
  <c r="R25" i="35"/>
  <c r="R16" i="35"/>
  <c r="R34" i="35"/>
  <c r="R29" i="35"/>
  <c r="R15" i="35"/>
  <c r="R20" i="35"/>
  <c r="Z20" i="41"/>
  <c r="L13" i="28"/>
  <c r="N21" i="28"/>
  <c r="L25" i="28"/>
  <c r="L29" i="28"/>
  <c r="L33" i="28"/>
  <c r="L34" i="28"/>
  <c r="N16" i="29"/>
  <c r="N20" i="29"/>
  <c r="L22" i="29"/>
  <c r="L24" i="29"/>
  <c r="N12" i="31"/>
  <c r="J36" i="31"/>
  <c r="J34" i="31"/>
  <c r="J33" i="31"/>
  <c r="J31" i="31"/>
  <c r="J29" i="31"/>
  <c r="J27" i="31"/>
  <c r="J25" i="31"/>
  <c r="J24" i="31"/>
  <c r="J22" i="31"/>
  <c r="J21" i="31"/>
  <c r="J20" i="31"/>
  <c r="J18" i="31"/>
  <c r="J16" i="31"/>
  <c r="H18" i="31"/>
  <c r="J15" i="31"/>
  <c r="X13" i="31"/>
  <c r="Z15" i="31"/>
  <c r="X21" i="31"/>
  <c r="L12" i="32"/>
  <c r="F25" i="32"/>
  <c r="F27" i="32"/>
  <c r="F24" i="32"/>
  <c r="F22" i="32"/>
  <c r="F29" i="32"/>
  <c r="F21" i="32"/>
  <c r="F31" i="32"/>
  <c r="F20" i="32"/>
  <c r="F18" i="32"/>
  <c r="F16" i="32"/>
  <c r="F34" i="32"/>
  <c r="F36" i="32"/>
  <c r="F15" i="32"/>
  <c r="F33" i="32"/>
  <c r="D18" i="32"/>
  <c r="X16" i="32"/>
  <c r="X20" i="32"/>
  <c r="X29" i="32"/>
  <c r="Z33" i="32"/>
  <c r="L20" i="34"/>
  <c r="Z12" i="35"/>
  <c r="V36" i="35"/>
  <c r="V34" i="35"/>
  <c r="V33" i="35"/>
  <c r="V31" i="35"/>
  <c r="V29" i="35"/>
  <c r="V27" i="35"/>
  <c r="V25" i="35"/>
  <c r="V20" i="35"/>
  <c r="V18" i="35"/>
  <c r="V16" i="35"/>
  <c r="T18" i="35"/>
  <c r="V15" i="35"/>
  <c r="V21" i="35"/>
  <c r="V24" i="35"/>
  <c r="V22" i="35"/>
  <c r="Z25" i="35"/>
  <c r="N13" i="28"/>
  <c r="N22" i="28"/>
  <c r="N24" i="28"/>
  <c r="L13" i="29"/>
  <c r="N21" i="29"/>
  <c r="L25" i="29"/>
  <c r="L29" i="29"/>
  <c r="L33" i="29"/>
  <c r="L34" i="29"/>
  <c r="Z13" i="31"/>
  <c r="Z16" i="31"/>
  <c r="Z20" i="31"/>
  <c r="X22" i="31"/>
  <c r="X24" i="31"/>
  <c r="N12" i="32"/>
  <c r="J25" i="32"/>
  <c r="J27" i="32"/>
  <c r="J24" i="32"/>
  <c r="J22" i="32"/>
  <c r="J29" i="32"/>
  <c r="J21" i="32"/>
  <c r="J31" i="32"/>
  <c r="J20" i="32"/>
  <c r="J18" i="32"/>
  <c r="J16" i="32"/>
  <c r="J33" i="32"/>
  <c r="H18" i="32"/>
  <c r="J15" i="32"/>
  <c r="J34" i="32"/>
  <c r="J36" i="32"/>
  <c r="X13" i="32"/>
  <c r="Z15" i="32"/>
  <c r="X21" i="32"/>
  <c r="Z15" i="34"/>
  <c r="L34" i="37"/>
  <c r="N25" i="28"/>
  <c r="N29" i="28"/>
  <c r="N33" i="28"/>
  <c r="N34" i="28"/>
  <c r="N13" i="29"/>
  <c r="N22" i="29"/>
  <c r="N24" i="29"/>
  <c r="Z21" i="31"/>
  <c r="X25" i="31"/>
  <c r="X29" i="31"/>
  <c r="X33" i="31"/>
  <c r="X34" i="31"/>
  <c r="Z13" i="32"/>
  <c r="Z16" i="32"/>
  <c r="Z20" i="32"/>
  <c r="X22" i="32"/>
  <c r="X24" i="32"/>
  <c r="X25" i="32"/>
  <c r="Z29" i="32"/>
  <c r="Z20" i="34"/>
  <c r="X24" i="34"/>
  <c r="X13" i="35"/>
  <c r="Z21" i="37"/>
  <c r="F36" i="28"/>
  <c r="F34" i="28"/>
  <c r="F33" i="28"/>
  <c r="F31" i="28"/>
  <c r="F29" i="28"/>
  <c r="F27" i="28"/>
  <c r="F25" i="28"/>
  <c r="F24" i="28"/>
  <c r="F22" i="28"/>
  <c r="F21" i="28"/>
  <c r="L12" i="28"/>
  <c r="D18" i="28"/>
  <c r="F15" i="28"/>
  <c r="F20" i="28"/>
  <c r="F16" i="28"/>
  <c r="F18" i="28"/>
  <c r="X16" i="28"/>
  <c r="X20" i="28"/>
  <c r="X15" i="29"/>
  <c r="N25" i="29"/>
  <c r="N29" i="29"/>
  <c r="N33" i="29"/>
  <c r="N34" i="29"/>
  <c r="R36" i="31"/>
  <c r="R34" i="31"/>
  <c r="R33" i="31"/>
  <c r="R31" i="31"/>
  <c r="R29" i="31"/>
  <c r="R27" i="31"/>
  <c r="R25" i="31"/>
  <c r="R24" i="31"/>
  <c r="R22" i="31"/>
  <c r="R21" i="31"/>
  <c r="R20" i="31"/>
  <c r="R18" i="31"/>
  <c r="R16" i="31"/>
  <c r="P18" i="31"/>
  <c r="R15" i="31"/>
  <c r="X12" i="31"/>
  <c r="Z22" i="31"/>
  <c r="Z24" i="31"/>
  <c r="Z21" i="32"/>
  <c r="Z29" i="34"/>
  <c r="Z34" i="34"/>
  <c r="Z22" i="35"/>
  <c r="Z21" i="34"/>
  <c r="X25" i="34"/>
  <c r="X29" i="34"/>
  <c r="X33" i="34"/>
  <c r="X34" i="34"/>
  <c r="Z13" i="35"/>
  <c r="Z16" i="35"/>
  <c r="Z20" i="35"/>
  <c r="X22" i="35"/>
  <c r="X24" i="35"/>
  <c r="X13" i="37"/>
  <c r="N24" i="37"/>
  <c r="Z25" i="37"/>
  <c r="L13" i="38"/>
  <c r="N21" i="38"/>
  <c r="X25" i="38"/>
  <c r="Z34" i="38"/>
  <c r="Z24" i="50"/>
  <c r="P18" i="34"/>
  <c r="R15" i="34"/>
  <c r="R36" i="34"/>
  <c r="R34" i="34"/>
  <c r="R33" i="34"/>
  <c r="R31" i="34"/>
  <c r="R29" i="34"/>
  <c r="R27" i="34"/>
  <c r="R25" i="34"/>
  <c r="R24" i="34"/>
  <c r="R22" i="34"/>
  <c r="R20" i="34"/>
  <c r="R18" i="34"/>
  <c r="X12" i="34"/>
  <c r="R16" i="34"/>
  <c r="R21" i="34"/>
  <c r="Z22" i="34"/>
  <c r="Z24" i="34"/>
  <c r="Z21" i="35"/>
  <c r="X25" i="35"/>
  <c r="X29" i="35"/>
  <c r="X33" i="35"/>
  <c r="X34" i="35"/>
  <c r="L16" i="37"/>
  <c r="L24" i="38"/>
  <c r="Z25" i="38"/>
  <c r="L33" i="38"/>
  <c r="L29" i="43"/>
  <c r="N16" i="37"/>
  <c r="L22" i="37"/>
  <c r="X29" i="37"/>
  <c r="X34" i="37"/>
  <c r="Z13" i="38"/>
  <c r="N16" i="38"/>
  <c r="X29" i="38"/>
  <c r="X29" i="40"/>
  <c r="Z13" i="41"/>
  <c r="X22" i="41"/>
  <c r="Z21" i="46"/>
  <c r="J36" i="37"/>
  <c r="J34" i="37"/>
  <c r="J33" i="37"/>
  <c r="J31" i="37"/>
  <c r="J29" i="37"/>
  <c r="J27" i="37"/>
  <c r="J25" i="37"/>
  <c r="J24" i="37"/>
  <c r="J22" i="37"/>
  <c r="J20" i="37"/>
  <c r="J21" i="37"/>
  <c r="J15" i="37"/>
  <c r="N12" i="37"/>
  <c r="J16" i="37"/>
  <c r="J18" i="37"/>
  <c r="H18" i="37"/>
  <c r="L15" i="37"/>
  <c r="Z24" i="37"/>
  <c r="L33" i="37"/>
  <c r="Z21" i="38"/>
  <c r="Z29" i="38"/>
  <c r="J36" i="40"/>
  <c r="J34" i="40"/>
  <c r="J33" i="40"/>
  <c r="J31" i="40"/>
  <c r="J29" i="40"/>
  <c r="J27" i="40"/>
  <c r="J25" i="40"/>
  <c r="J24" i="40"/>
  <c r="J22" i="40"/>
  <c r="J21" i="40"/>
  <c r="J20" i="40"/>
  <c r="J18" i="40"/>
  <c r="J16" i="40"/>
  <c r="H18" i="40"/>
  <c r="J15" i="40"/>
  <c r="N12" i="40"/>
  <c r="X21" i="40"/>
  <c r="L34" i="43"/>
  <c r="X29" i="46"/>
  <c r="N15" i="34"/>
  <c r="L21" i="34"/>
  <c r="L16" i="35"/>
  <c r="L20" i="35"/>
  <c r="N22" i="37"/>
  <c r="Z29" i="37"/>
  <c r="Z34" i="37"/>
  <c r="X16" i="38"/>
  <c r="N20" i="38"/>
  <c r="X24" i="38"/>
  <c r="X33" i="38"/>
  <c r="Z21" i="40"/>
  <c r="X24" i="41"/>
  <c r="L12" i="44"/>
  <c r="F36" i="44"/>
  <c r="F34" i="44"/>
  <c r="F33" i="44"/>
  <c r="F31" i="44"/>
  <c r="F29" i="44"/>
  <c r="F27" i="44"/>
  <c r="F25" i="44"/>
  <c r="F24" i="44"/>
  <c r="F22" i="44"/>
  <c r="F20" i="44"/>
  <c r="F18" i="44"/>
  <c r="F16" i="44"/>
  <c r="F21" i="44"/>
  <c r="F15" i="44"/>
  <c r="D18" i="44"/>
  <c r="N16" i="34"/>
  <c r="N20" i="34"/>
  <c r="L22" i="34"/>
  <c r="L24" i="34"/>
  <c r="N15" i="35"/>
  <c r="L21" i="35"/>
  <c r="R21" i="37"/>
  <c r="P18" i="37"/>
  <c r="R15" i="37"/>
  <c r="R33" i="37"/>
  <c r="R27" i="37"/>
  <c r="X12" i="37"/>
  <c r="R22" i="37"/>
  <c r="R16" i="37"/>
  <c r="R34" i="37"/>
  <c r="R29" i="37"/>
  <c r="R18" i="37"/>
  <c r="R24" i="37"/>
  <c r="R20" i="37"/>
  <c r="R36" i="37"/>
  <c r="R31" i="37"/>
  <c r="R25" i="37"/>
  <c r="D18" i="38"/>
  <c r="F15" i="38"/>
  <c r="F36" i="38"/>
  <c r="F34" i="38"/>
  <c r="F33" i="38"/>
  <c r="F31" i="38"/>
  <c r="F29" i="38"/>
  <c r="F27" i="38"/>
  <c r="F25" i="38"/>
  <c r="F18" i="38"/>
  <c r="F22" i="38"/>
  <c r="L12" i="38"/>
  <c r="F20" i="38"/>
  <c r="F24" i="38"/>
  <c r="F16" i="38"/>
  <c r="F21" i="38"/>
  <c r="L15" i="38"/>
  <c r="Z16" i="38"/>
  <c r="Z33" i="38"/>
  <c r="X13" i="40"/>
  <c r="X16" i="41"/>
  <c r="Z13" i="47"/>
  <c r="L13" i="34"/>
  <c r="N21" i="34"/>
  <c r="L25" i="34"/>
  <c r="L29" i="34"/>
  <c r="L33" i="34"/>
  <c r="L34" i="34"/>
  <c r="N16" i="35"/>
  <c r="N20" i="35"/>
  <c r="L22" i="35"/>
  <c r="L24" i="35"/>
  <c r="Z12" i="37"/>
  <c r="T18" i="37"/>
  <c r="V15" i="37"/>
  <c r="V33" i="37"/>
  <c r="V27" i="37"/>
  <c r="V22" i="37"/>
  <c r="V16" i="37"/>
  <c r="V34" i="37"/>
  <c r="V29" i="37"/>
  <c r="V24" i="37"/>
  <c r="V18" i="37"/>
  <c r="V36" i="37"/>
  <c r="V31" i="37"/>
  <c r="V25" i="37"/>
  <c r="V20" i="37"/>
  <c r="V21" i="37"/>
  <c r="N21" i="37"/>
  <c r="X33" i="37"/>
  <c r="N15" i="38"/>
  <c r="X20" i="38"/>
  <c r="L22" i="38"/>
  <c r="X33" i="40"/>
  <c r="Z16" i="41"/>
  <c r="X13" i="43"/>
  <c r="X16" i="44"/>
  <c r="N13" i="34"/>
  <c r="N22" i="34"/>
  <c r="N24" i="34"/>
  <c r="L13" i="35"/>
  <c r="N21" i="35"/>
  <c r="L25" i="35"/>
  <c r="L29" i="35"/>
  <c r="L33" i="35"/>
  <c r="L34" i="35"/>
  <c r="L20" i="37"/>
  <c r="Z22" i="37"/>
  <c r="L25" i="37"/>
  <c r="Z20" i="38"/>
  <c r="Z15" i="40"/>
  <c r="X22" i="47"/>
  <c r="X15" i="34"/>
  <c r="N25" i="34"/>
  <c r="N29" i="34"/>
  <c r="N33" i="34"/>
  <c r="N34" i="34"/>
  <c r="N13" i="35"/>
  <c r="N22" i="35"/>
  <c r="N24" i="35"/>
  <c r="X15" i="37"/>
  <c r="N20" i="37"/>
  <c r="Z33" i="37"/>
  <c r="X12" i="38"/>
  <c r="R36" i="38"/>
  <c r="R34" i="38"/>
  <c r="R33" i="38"/>
  <c r="R31" i="38"/>
  <c r="R29" i="38"/>
  <c r="R27" i="38"/>
  <c r="R25" i="38"/>
  <c r="R20" i="38"/>
  <c r="R18" i="38"/>
  <c r="R16" i="38"/>
  <c r="R15" i="38"/>
  <c r="R24" i="38"/>
  <c r="R21" i="38"/>
  <c r="R22" i="38"/>
  <c r="P18" i="38"/>
  <c r="L34" i="38"/>
  <c r="X34" i="40"/>
  <c r="X24" i="47"/>
  <c r="F36" i="34"/>
  <c r="F34" i="34"/>
  <c r="F33" i="34"/>
  <c r="F31" i="34"/>
  <c r="F29" i="34"/>
  <c r="F27" i="34"/>
  <c r="F25" i="34"/>
  <c r="F24" i="34"/>
  <c r="F22" i="34"/>
  <c r="F21" i="34"/>
  <c r="F20" i="34"/>
  <c r="F18" i="34"/>
  <c r="F16" i="34"/>
  <c r="F15" i="34"/>
  <c r="D18" i="34"/>
  <c r="L12" i="34"/>
  <c r="X16" i="34"/>
  <c r="X20" i="34"/>
  <c r="X15" i="35"/>
  <c r="N25" i="35"/>
  <c r="N29" i="35"/>
  <c r="N33" i="35"/>
  <c r="N34" i="35"/>
  <c r="L13" i="37"/>
  <c r="Z15" i="37"/>
  <c r="X21" i="37"/>
  <c r="V36" i="38"/>
  <c r="V34" i="38"/>
  <c r="V33" i="38"/>
  <c r="V31" i="38"/>
  <c r="V29" i="38"/>
  <c r="V27" i="38"/>
  <c r="V25" i="38"/>
  <c r="V21" i="38"/>
  <c r="V20" i="38"/>
  <c r="V24" i="38"/>
  <c r="V16" i="38"/>
  <c r="V18" i="38"/>
  <c r="T18" i="38"/>
  <c r="V22" i="38"/>
  <c r="V15" i="38"/>
  <c r="Z12" i="38"/>
  <c r="X22" i="38"/>
  <c r="L25" i="38"/>
  <c r="X20" i="41"/>
  <c r="L22" i="44"/>
  <c r="Z13" i="40"/>
  <c r="Z16" i="40"/>
  <c r="Z20" i="40"/>
  <c r="X22" i="40"/>
  <c r="X24" i="40"/>
  <c r="J24" i="41"/>
  <c r="J22" i="41"/>
  <c r="J21" i="41"/>
  <c r="J20" i="41"/>
  <c r="J18" i="41"/>
  <c r="J16" i="41"/>
  <c r="H18" i="41"/>
  <c r="J15" i="41"/>
  <c r="N12" i="41"/>
  <c r="J29" i="41"/>
  <c r="J27" i="41"/>
  <c r="J36" i="41"/>
  <c r="J25" i="41"/>
  <c r="J34" i="41"/>
  <c r="J33" i="41"/>
  <c r="J31" i="41"/>
  <c r="X13" i="41"/>
  <c r="Z15" i="41"/>
  <c r="X21" i="41"/>
  <c r="N15" i="43"/>
  <c r="J36" i="46"/>
  <c r="J34" i="46"/>
  <c r="J33" i="46"/>
  <c r="J31" i="46"/>
  <c r="J29" i="46"/>
  <c r="J27" i="46"/>
  <c r="J25" i="46"/>
  <c r="J24" i="46"/>
  <c r="J22" i="46"/>
  <c r="J21" i="46"/>
  <c r="J20" i="46"/>
  <c r="J18" i="46"/>
  <c r="J16" i="46"/>
  <c r="H18" i="46"/>
  <c r="J15" i="46"/>
  <c r="N12" i="46"/>
  <c r="X21" i="46"/>
  <c r="Z34" i="47"/>
  <c r="X21" i="49"/>
  <c r="X15" i="53"/>
  <c r="N25" i="37"/>
  <c r="N29" i="37"/>
  <c r="N33" i="37"/>
  <c r="N34" i="37"/>
  <c r="N13" i="38"/>
  <c r="N22" i="38"/>
  <c r="N24" i="38"/>
  <c r="P18" i="40"/>
  <c r="R15" i="40"/>
  <c r="X12" i="40"/>
  <c r="R36" i="40"/>
  <c r="R34" i="40"/>
  <c r="R33" i="40"/>
  <c r="R31" i="40"/>
  <c r="R29" i="40"/>
  <c r="R27" i="40"/>
  <c r="R25" i="40"/>
  <c r="R21" i="40"/>
  <c r="R16" i="40"/>
  <c r="R24" i="40"/>
  <c r="R22" i="40"/>
  <c r="R20" i="40"/>
  <c r="R18" i="40"/>
  <c r="Z22" i="40"/>
  <c r="Z24" i="40"/>
  <c r="Z21" i="41"/>
  <c r="X25" i="41"/>
  <c r="X29" i="41"/>
  <c r="X33" i="41"/>
  <c r="X34" i="41"/>
  <c r="X20" i="43"/>
  <c r="N33" i="44"/>
  <c r="X13" i="46"/>
  <c r="X16" i="47"/>
  <c r="F20" i="37"/>
  <c r="F18" i="37"/>
  <c r="F16" i="37"/>
  <c r="L12" i="37"/>
  <c r="F36" i="37"/>
  <c r="F31" i="37"/>
  <c r="F25" i="37"/>
  <c r="F21" i="37"/>
  <c r="F33" i="37"/>
  <c r="F27" i="37"/>
  <c r="F15" i="37"/>
  <c r="F22" i="37"/>
  <c r="F34" i="37"/>
  <c r="F29" i="37"/>
  <c r="D18" i="37"/>
  <c r="F24" i="37"/>
  <c r="X16" i="37"/>
  <c r="X20" i="37"/>
  <c r="X15" i="38"/>
  <c r="N25" i="38"/>
  <c r="N29" i="38"/>
  <c r="N33" i="38"/>
  <c r="N34" i="38"/>
  <c r="Z12" i="40"/>
  <c r="V36" i="40"/>
  <c r="V34" i="40"/>
  <c r="V33" i="40"/>
  <c r="V31" i="40"/>
  <c r="V29" i="40"/>
  <c r="V27" i="40"/>
  <c r="V25" i="40"/>
  <c r="V24" i="40"/>
  <c r="V22" i="40"/>
  <c r="V21" i="40"/>
  <c r="T18" i="40"/>
  <c r="V15" i="40"/>
  <c r="V20" i="40"/>
  <c r="V18" i="40"/>
  <c r="V16" i="40"/>
  <c r="L15" i="40"/>
  <c r="Z25" i="40"/>
  <c r="Z29" i="40"/>
  <c r="Z33" i="40"/>
  <c r="Z34" i="40"/>
  <c r="X12" i="41"/>
  <c r="R36" i="41"/>
  <c r="R34" i="41"/>
  <c r="R33" i="41"/>
  <c r="R31" i="41"/>
  <c r="R29" i="41"/>
  <c r="R27" i="41"/>
  <c r="R25" i="41"/>
  <c r="R24" i="41"/>
  <c r="R22" i="41"/>
  <c r="R20" i="41"/>
  <c r="R18" i="41"/>
  <c r="R16" i="41"/>
  <c r="P18" i="41"/>
  <c r="R15" i="41"/>
  <c r="R21" i="41"/>
  <c r="Z22" i="41"/>
  <c r="Z24" i="41"/>
  <c r="Z15" i="43"/>
  <c r="X33" i="46"/>
  <c r="Z16" i="47"/>
  <c r="Z25" i="49"/>
  <c r="L16" i="40"/>
  <c r="L20" i="40"/>
  <c r="Z12" i="41"/>
  <c r="V36" i="41"/>
  <c r="V34" i="41"/>
  <c r="V33" i="41"/>
  <c r="V31" i="41"/>
  <c r="V29" i="41"/>
  <c r="V27" i="41"/>
  <c r="V25" i="41"/>
  <c r="V24" i="41"/>
  <c r="V22" i="41"/>
  <c r="V21" i="41"/>
  <c r="V20" i="41"/>
  <c r="V18" i="41"/>
  <c r="V16" i="41"/>
  <c r="T18" i="41"/>
  <c r="V15" i="41"/>
  <c r="L15" i="41"/>
  <c r="Z25" i="41"/>
  <c r="Z29" i="41"/>
  <c r="Z33" i="41"/>
  <c r="Z34" i="41"/>
  <c r="L21" i="43"/>
  <c r="L20" i="44"/>
  <c r="Z15" i="46"/>
  <c r="Z13" i="37"/>
  <c r="Z16" i="37"/>
  <c r="Z20" i="37"/>
  <c r="X22" i="37"/>
  <c r="X24" i="37"/>
  <c r="J24" i="38"/>
  <c r="J22" i="38"/>
  <c r="J21" i="38"/>
  <c r="J34" i="38"/>
  <c r="H18" i="38"/>
  <c r="J31" i="38"/>
  <c r="J15" i="38"/>
  <c r="N12" i="38"/>
  <c r="J27" i="38"/>
  <c r="J20" i="38"/>
  <c r="J36" i="38"/>
  <c r="J16" i="38"/>
  <c r="J33" i="38"/>
  <c r="J29" i="38"/>
  <c r="J25" i="38"/>
  <c r="J18" i="38"/>
  <c r="X13" i="38"/>
  <c r="Z15" i="38"/>
  <c r="X21" i="38"/>
  <c r="N15" i="40"/>
  <c r="L21" i="40"/>
  <c r="L16" i="41"/>
  <c r="L20" i="41"/>
  <c r="N21" i="43"/>
  <c r="L25" i="43"/>
  <c r="N20" i="44"/>
  <c r="L24" i="44"/>
  <c r="X34" i="46"/>
  <c r="N16" i="40"/>
  <c r="N20" i="40"/>
  <c r="L22" i="40"/>
  <c r="L24" i="40"/>
  <c r="N15" i="41"/>
  <c r="L21" i="41"/>
  <c r="D18" i="43"/>
  <c r="F15" i="43"/>
  <c r="L12" i="43"/>
  <c r="F36" i="43"/>
  <c r="F34" i="43"/>
  <c r="F33" i="43"/>
  <c r="F31" i="43"/>
  <c r="F29" i="43"/>
  <c r="F27" i="43"/>
  <c r="F25" i="43"/>
  <c r="F21" i="43"/>
  <c r="F22" i="43"/>
  <c r="F18" i="43"/>
  <c r="F16" i="43"/>
  <c r="F20" i="43"/>
  <c r="F24" i="43"/>
  <c r="X16" i="43"/>
  <c r="X15" i="44"/>
  <c r="N29" i="44"/>
  <c r="N34" i="44"/>
  <c r="X20" i="47"/>
  <c r="L13" i="40"/>
  <c r="N21" i="40"/>
  <c r="L25" i="40"/>
  <c r="L29" i="40"/>
  <c r="L33" i="40"/>
  <c r="L34" i="40"/>
  <c r="N16" i="41"/>
  <c r="N20" i="41"/>
  <c r="L22" i="41"/>
  <c r="L24" i="41"/>
  <c r="N12" i="43"/>
  <c r="J24" i="43"/>
  <c r="J22" i="43"/>
  <c r="J21" i="43"/>
  <c r="H18" i="43"/>
  <c r="J15" i="43"/>
  <c r="J33" i="43"/>
  <c r="J27" i="43"/>
  <c r="J18" i="43"/>
  <c r="J36" i="43"/>
  <c r="J31" i="43"/>
  <c r="J25" i="43"/>
  <c r="J16" i="43"/>
  <c r="J34" i="43"/>
  <c r="J29" i="43"/>
  <c r="J20" i="43"/>
  <c r="X21" i="43"/>
  <c r="X20" i="44"/>
  <c r="X25" i="46"/>
  <c r="Z20" i="47"/>
  <c r="Z22" i="38"/>
  <c r="Z24" i="38"/>
  <c r="N13" i="40"/>
  <c r="N22" i="40"/>
  <c r="N24" i="40"/>
  <c r="L13" i="41"/>
  <c r="N21" i="41"/>
  <c r="L25" i="41"/>
  <c r="L29" i="41"/>
  <c r="L33" i="41"/>
  <c r="L34" i="41"/>
  <c r="L16" i="44"/>
  <c r="F27" i="47"/>
  <c r="F25" i="47"/>
  <c r="F29" i="47"/>
  <c r="F24" i="47"/>
  <c r="F22" i="47"/>
  <c r="F31" i="47"/>
  <c r="F21" i="47"/>
  <c r="F33" i="47"/>
  <c r="F20" i="47"/>
  <c r="F18" i="47"/>
  <c r="F16" i="47"/>
  <c r="F34" i="47"/>
  <c r="D18" i="47"/>
  <c r="F15" i="47"/>
  <c r="F36" i="47"/>
  <c r="L12" i="47"/>
  <c r="J36" i="49"/>
  <c r="J34" i="49"/>
  <c r="J33" i="49"/>
  <c r="J31" i="49"/>
  <c r="J29" i="49"/>
  <c r="J27" i="49"/>
  <c r="J25" i="49"/>
  <c r="J24" i="49"/>
  <c r="J22" i="49"/>
  <c r="J21" i="49"/>
  <c r="J20" i="49"/>
  <c r="J18" i="49"/>
  <c r="J16" i="49"/>
  <c r="H18" i="49"/>
  <c r="J15" i="49"/>
  <c r="N12" i="49"/>
  <c r="X15" i="40"/>
  <c r="N25" i="40"/>
  <c r="N29" i="40"/>
  <c r="N33" i="40"/>
  <c r="N34" i="40"/>
  <c r="N13" i="41"/>
  <c r="N22" i="41"/>
  <c r="N24" i="41"/>
  <c r="L13" i="43"/>
  <c r="L33" i="43"/>
  <c r="N16" i="44"/>
  <c r="V36" i="49"/>
  <c r="V34" i="49"/>
  <c r="V33" i="49"/>
  <c r="V31" i="49"/>
  <c r="V29" i="49"/>
  <c r="V27" i="49"/>
  <c r="V25" i="49"/>
  <c r="V21" i="49"/>
  <c r="V20" i="49"/>
  <c r="V18" i="49"/>
  <c r="V16" i="49"/>
  <c r="V24" i="49"/>
  <c r="V15" i="49"/>
  <c r="V22" i="49"/>
  <c r="T18" i="49"/>
  <c r="Z12" i="49"/>
  <c r="N15" i="37"/>
  <c r="L21" i="37"/>
  <c r="L16" i="38"/>
  <c r="L20" i="38"/>
  <c r="F36" i="40"/>
  <c r="F34" i="40"/>
  <c r="F33" i="40"/>
  <c r="F31" i="40"/>
  <c r="F29" i="40"/>
  <c r="F27" i="40"/>
  <c r="F25" i="40"/>
  <c r="F24" i="40"/>
  <c r="F22" i="40"/>
  <c r="F21" i="40"/>
  <c r="F20" i="40"/>
  <c r="F18" i="40"/>
  <c r="F16" i="40"/>
  <c r="D18" i="40"/>
  <c r="F15" i="40"/>
  <c r="L12" i="40"/>
  <c r="X16" i="40"/>
  <c r="X20" i="40"/>
  <c r="X15" i="41"/>
  <c r="N25" i="41"/>
  <c r="N29" i="41"/>
  <c r="N33" i="41"/>
  <c r="N34" i="41"/>
  <c r="N25" i="44"/>
  <c r="X20" i="50"/>
  <c r="L12" i="52"/>
  <c r="F36" i="52"/>
  <c r="F34" i="52"/>
  <c r="F33" i="52"/>
  <c r="F31" i="52"/>
  <c r="F29" i="52"/>
  <c r="F27" i="52"/>
  <c r="F25" i="52"/>
  <c r="F21" i="52"/>
  <c r="F20" i="52"/>
  <c r="F18" i="52"/>
  <c r="F16" i="52"/>
  <c r="F24" i="52"/>
  <c r="F15" i="52"/>
  <c r="F22" i="52"/>
  <c r="D18" i="52"/>
  <c r="N16" i="43"/>
  <c r="N20" i="43"/>
  <c r="L22" i="43"/>
  <c r="L24" i="43"/>
  <c r="N15" i="44"/>
  <c r="L21" i="44"/>
  <c r="Z13" i="46"/>
  <c r="Z16" i="46"/>
  <c r="Z20" i="46"/>
  <c r="X22" i="46"/>
  <c r="X24" i="46"/>
  <c r="J29" i="47"/>
  <c r="J24" i="47"/>
  <c r="J22" i="47"/>
  <c r="J31" i="47"/>
  <c r="J21" i="47"/>
  <c r="J33" i="47"/>
  <c r="J20" i="47"/>
  <c r="J18" i="47"/>
  <c r="J16" i="47"/>
  <c r="J34" i="47"/>
  <c r="H18" i="47"/>
  <c r="J15" i="47"/>
  <c r="J36" i="47"/>
  <c r="N12" i="47"/>
  <c r="J27" i="47"/>
  <c r="J25" i="47"/>
  <c r="X13" i="47"/>
  <c r="Z15" i="47"/>
  <c r="X21" i="47"/>
  <c r="X29" i="47"/>
  <c r="Z33" i="47"/>
  <c r="Z16" i="49"/>
  <c r="Z15" i="50"/>
  <c r="N20" i="53"/>
  <c r="N13" i="43"/>
  <c r="N22" i="43"/>
  <c r="N24" i="43"/>
  <c r="L13" i="44"/>
  <c r="N21" i="44"/>
  <c r="L25" i="44"/>
  <c r="L29" i="44"/>
  <c r="L33" i="44"/>
  <c r="L34" i="44"/>
  <c r="P18" i="46"/>
  <c r="R15" i="46"/>
  <c r="X12" i="46"/>
  <c r="R36" i="46"/>
  <c r="R34" i="46"/>
  <c r="R33" i="46"/>
  <c r="R31" i="46"/>
  <c r="R29" i="46"/>
  <c r="R27" i="46"/>
  <c r="R25" i="46"/>
  <c r="R21" i="46"/>
  <c r="R20" i="46"/>
  <c r="R18" i="46"/>
  <c r="R16" i="46"/>
  <c r="R24" i="46"/>
  <c r="R22" i="46"/>
  <c r="Z22" i="46"/>
  <c r="Z24" i="46"/>
  <c r="Z21" i="47"/>
  <c r="X25" i="47"/>
  <c r="Z29" i="47"/>
  <c r="L16" i="50"/>
  <c r="N21" i="52"/>
  <c r="L24" i="53"/>
  <c r="X15" i="43"/>
  <c r="N25" i="43"/>
  <c r="N29" i="43"/>
  <c r="N33" i="43"/>
  <c r="N34" i="43"/>
  <c r="N13" i="44"/>
  <c r="N22" i="44"/>
  <c r="N24" i="44"/>
  <c r="Z12" i="46"/>
  <c r="V36" i="46"/>
  <c r="V34" i="46"/>
  <c r="V33" i="46"/>
  <c r="V31" i="46"/>
  <c r="V29" i="46"/>
  <c r="V27" i="46"/>
  <c r="V25" i="46"/>
  <c r="V24" i="46"/>
  <c r="V22" i="46"/>
  <c r="V21" i="46"/>
  <c r="T18" i="46"/>
  <c r="V15" i="46"/>
  <c r="V18" i="46"/>
  <c r="V16" i="46"/>
  <c r="V20" i="46"/>
  <c r="L15" i="46"/>
  <c r="Z25" i="46"/>
  <c r="Z29" i="46"/>
  <c r="Z33" i="46"/>
  <c r="Z34" i="46"/>
  <c r="R34" i="47"/>
  <c r="R36" i="47"/>
  <c r="X12" i="47"/>
  <c r="R25" i="47"/>
  <c r="R27" i="47"/>
  <c r="R24" i="47"/>
  <c r="R22" i="47"/>
  <c r="R31" i="47"/>
  <c r="R20" i="47"/>
  <c r="R18" i="47"/>
  <c r="R16" i="47"/>
  <c r="R33" i="47"/>
  <c r="R21" i="47"/>
  <c r="R29" i="47"/>
  <c r="P18" i="47"/>
  <c r="R15" i="47"/>
  <c r="Z22" i="47"/>
  <c r="Z24" i="47"/>
  <c r="X13" i="49"/>
  <c r="F29" i="50"/>
  <c r="F27" i="50"/>
  <c r="F25" i="50"/>
  <c r="F31" i="50"/>
  <c r="F24" i="50"/>
  <c r="F22" i="50"/>
  <c r="F21" i="50"/>
  <c r="F33" i="50"/>
  <c r="F20" i="50"/>
  <c r="F18" i="50"/>
  <c r="F16" i="50"/>
  <c r="F34" i="50"/>
  <c r="F36" i="50"/>
  <c r="L12" i="50"/>
  <c r="F15" i="50"/>
  <c r="D18" i="50"/>
  <c r="X16" i="50"/>
  <c r="L16" i="46"/>
  <c r="L20" i="46"/>
  <c r="Z12" i="47"/>
  <c r="V25" i="47"/>
  <c r="V27" i="47"/>
  <c r="V24" i="47"/>
  <c r="V22" i="47"/>
  <c r="V29" i="47"/>
  <c r="V21" i="47"/>
  <c r="V31" i="47"/>
  <c r="V20" i="47"/>
  <c r="V18" i="47"/>
  <c r="V16" i="47"/>
  <c r="V34" i="47"/>
  <c r="T18" i="47"/>
  <c r="V36" i="47"/>
  <c r="V33" i="47"/>
  <c r="V15" i="47"/>
  <c r="L15" i="47"/>
  <c r="Z25" i="47"/>
  <c r="L34" i="47"/>
  <c r="Z13" i="49"/>
  <c r="X22" i="49"/>
  <c r="J31" i="50"/>
  <c r="J24" i="50"/>
  <c r="J22" i="50"/>
  <c r="J21" i="50"/>
  <c r="J33" i="50"/>
  <c r="J20" i="50"/>
  <c r="J18" i="50"/>
  <c r="J16" i="50"/>
  <c r="H18" i="50"/>
  <c r="J15" i="50"/>
  <c r="J34" i="50"/>
  <c r="J36" i="50"/>
  <c r="N12" i="50"/>
  <c r="J27" i="50"/>
  <c r="J25" i="50"/>
  <c r="J29" i="50"/>
  <c r="X21" i="50"/>
  <c r="L25" i="52"/>
  <c r="N15" i="46"/>
  <c r="L21" i="46"/>
  <c r="L16" i="47"/>
  <c r="L20" i="47"/>
  <c r="L33" i="47"/>
  <c r="L15" i="49"/>
  <c r="Z33" i="49"/>
  <c r="R34" i="50"/>
  <c r="R36" i="50"/>
  <c r="R24" i="50"/>
  <c r="R22" i="50"/>
  <c r="R31" i="50"/>
  <c r="R21" i="50"/>
  <c r="R27" i="50"/>
  <c r="R18" i="50"/>
  <c r="R33" i="50"/>
  <c r="P18" i="50"/>
  <c r="X12" i="50"/>
  <c r="R25" i="50"/>
  <c r="R16" i="50"/>
  <c r="R20" i="50"/>
  <c r="R15" i="50"/>
  <c r="R29" i="50"/>
  <c r="N29" i="53"/>
  <c r="Z13" i="43"/>
  <c r="Z16" i="43"/>
  <c r="Z20" i="43"/>
  <c r="X22" i="43"/>
  <c r="X24" i="43"/>
  <c r="N12" i="44"/>
  <c r="J21" i="44"/>
  <c r="J20" i="44"/>
  <c r="J18" i="44"/>
  <c r="J16" i="44"/>
  <c r="J34" i="44"/>
  <c r="J29" i="44"/>
  <c r="J24" i="44"/>
  <c r="J15" i="44"/>
  <c r="J33" i="44"/>
  <c r="J27" i="44"/>
  <c r="J22" i="44"/>
  <c r="H18" i="44"/>
  <c r="J36" i="44"/>
  <c r="J31" i="44"/>
  <c r="J25" i="44"/>
  <c r="X13" i="44"/>
  <c r="Z15" i="44"/>
  <c r="X21" i="44"/>
  <c r="N16" i="46"/>
  <c r="N20" i="46"/>
  <c r="L22" i="46"/>
  <c r="L24" i="46"/>
  <c r="N15" i="47"/>
  <c r="L21" i="47"/>
  <c r="N34" i="47"/>
  <c r="N15" i="49"/>
  <c r="L33" i="50"/>
  <c r="Z21" i="43"/>
  <c r="X25" i="43"/>
  <c r="X29" i="43"/>
  <c r="X33" i="43"/>
  <c r="X34" i="43"/>
  <c r="Z13" i="44"/>
  <c r="Z16" i="44"/>
  <c r="Z20" i="44"/>
  <c r="X22" i="44"/>
  <c r="X24" i="44"/>
  <c r="L13" i="46"/>
  <c r="N21" i="46"/>
  <c r="L25" i="46"/>
  <c r="L29" i="46"/>
  <c r="L33" i="46"/>
  <c r="L34" i="46"/>
  <c r="N16" i="47"/>
  <c r="N20" i="47"/>
  <c r="L22" i="47"/>
  <c r="L24" i="47"/>
  <c r="L29" i="47"/>
  <c r="N33" i="47"/>
  <c r="Z15" i="49"/>
  <c r="N34" i="53"/>
  <c r="X12" i="43"/>
  <c r="R36" i="43"/>
  <c r="R34" i="43"/>
  <c r="R33" i="43"/>
  <c r="R31" i="43"/>
  <c r="R29" i="43"/>
  <c r="R27" i="43"/>
  <c r="R25" i="43"/>
  <c r="R24" i="43"/>
  <c r="R22" i="43"/>
  <c r="R21" i="43"/>
  <c r="P18" i="43"/>
  <c r="R16" i="43"/>
  <c r="R20" i="43"/>
  <c r="R15" i="43"/>
  <c r="R18" i="43"/>
  <c r="Z22" i="43"/>
  <c r="Z24" i="43"/>
  <c r="Z21" i="44"/>
  <c r="X25" i="44"/>
  <c r="X29" i="44"/>
  <c r="X33" i="44"/>
  <c r="X34" i="44"/>
  <c r="N13" i="46"/>
  <c r="N22" i="46"/>
  <c r="N24" i="46"/>
  <c r="L13" i="47"/>
  <c r="N21" i="47"/>
  <c r="L25" i="47"/>
  <c r="Z20" i="49"/>
  <c r="X24" i="49"/>
  <c r="X13" i="50"/>
  <c r="Z33" i="50"/>
  <c r="V36" i="43"/>
  <c r="V34" i="43"/>
  <c r="V33" i="43"/>
  <c r="V31" i="43"/>
  <c r="V29" i="43"/>
  <c r="V27" i="43"/>
  <c r="V25" i="43"/>
  <c r="V24" i="43"/>
  <c r="V22" i="43"/>
  <c r="V21" i="43"/>
  <c r="V20" i="43"/>
  <c r="V18" i="43"/>
  <c r="V16" i="43"/>
  <c r="T18" i="43"/>
  <c r="V15" i="43"/>
  <c r="Z12" i="43"/>
  <c r="L15" i="43"/>
  <c r="Z25" i="43"/>
  <c r="Z29" i="43"/>
  <c r="Z33" i="43"/>
  <c r="Z34" i="43"/>
  <c r="R36" i="44"/>
  <c r="R34" i="44"/>
  <c r="R33" i="44"/>
  <c r="R31" i="44"/>
  <c r="R29" i="44"/>
  <c r="R27" i="44"/>
  <c r="R25" i="44"/>
  <c r="R24" i="44"/>
  <c r="R22" i="44"/>
  <c r="R21" i="44"/>
  <c r="R20" i="44"/>
  <c r="R18" i="44"/>
  <c r="R16" i="44"/>
  <c r="R15" i="44"/>
  <c r="P18" i="44"/>
  <c r="X12" i="44"/>
  <c r="Z22" i="44"/>
  <c r="Z24" i="44"/>
  <c r="X15" i="46"/>
  <c r="N25" i="46"/>
  <c r="N29" i="46"/>
  <c r="N33" i="46"/>
  <c r="N34" i="46"/>
  <c r="N13" i="47"/>
  <c r="N22" i="47"/>
  <c r="N24" i="47"/>
  <c r="N29" i="47"/>
  <c r="X34" i="47"/>
  <c r="Z29" i="49"/>
  <c r="Z34" i="49"/>
  <c r="Z22" i="50"/>
  <c r="L34" i="50"/>
  <c r="L16" i="43"/>
  <c r="L20" i="43"/>
  <c r="V24" i="44"/>
  <c r="V22" i="44"/>
  <c r="V21" i="44"/>
  <c r="V20" i="44"/>
  <c r="V18" i="44"/>
  <c r="V16" i="44"/>
  <c r="T18" i="44"/>
  <c r="V15" i="44"/>
  <c r="Z12" i="44"/>
  <c r="V34" i="44"/>
  <c r="V29" i="44"/>
  <c r="V33" i="44"/>
  <c r="V27" i="44"/>
  <c r="V36" i="44"/>
  <c r="V31" i="44"/>
  <c r="V25" i="44"/>
  <c r="L15" i="44"/>
  <c r="Z25" i="44"/>
  <c r="Z29" i="44"/>
  <c r="Z33" i="44"/>
  <c r="Z34" i="44"/>
  <c r="F36" i="46"/>
  <c r="F34" i="46"/>
  <c r="F33" i="46"/>
  <c r="F31" i="46"/>
  <c r="F29" i="46"/>
  <c r="F27" i="46"/>
  <c r="F25" i="46"/>
  <c r="F24" i="46"/>
  <c r="F22" i="46"/>
  <c r="F21" i="46"/>
  <c r="F20" i="46"/>
  <c r="F18" i="46"/>
  <c r="F16" i="46"/>
  <c r="D18" i="46"/>
  <c r="F15" i="46"/>
  <c r="L12" i="46"/>
  <c r="X16" i="46"/>
  <c r="X20" i="46"/>
  <c r="X15" i="47"/>
  <c r="N25" i="47"/>
  <c r="X33" i="47"/>
  <c r="L21" i="49"/>
  <c r="L20" i="50"/>
  <c r="N34" i="50"/>
  <c r="Z21" i="49"/>
  <c r="X25" i="49"/>
  <c r="X29" i="49"/>
  <c r="X33" i="49"/>
  <c r="X34" i="49"/>
  <c r="Z13" i="50"/>
  <c r="Z16" i="50"/>
  <c r="Z20" i="50"/>
  <c r="X22" i="50"/>
  <c r="X24" i="50"/>
  <c r="T18" i="52"/>
  <c r="V15" i="52"/>
  <c r="Z12" i="52"/>
  <c r="V21" i="52"/>
  <c r="V20" i="52"/>
  <c r="V18" i="52"/>
  <c r="V16" i="52"/>
  <c r="V34" i="52"/>
  <c r="V29" i="52"/>
  <c r="V24" i="52"/>
  <c r="V33" i="52"/>
  <c r="V27" i="52"/>
  <c r="V22" i="52"/>
  <c r="V36" i="52"/>
  <c r="V31" i="52"/>
  <c r="V25" i="52"/>
  <c r="Z25" i="52"/>
  <c r="Z24" i="53"/>
  <c r="P18" i="49"/>
  <c r="R15" i="49"/>
  <c r="X12" i="49"/>
  <c r="R36" i="49"/>
  <c r="R34" i="49"/>
  <c r="R33" i="49"/>
  <c r="R31" i="49"/>
  <c r="R29" i="49"/>
  <c r="R27" i="49"/>
  <c r="R25" i="49"/>
  <c r="R24" i="49"/>
  <c r="R22" i="49"/>
  <c r="R20" i="49"/>
  <c r="R18" i="49"/>
  <c r="R21" i="49"/>
  <c r="R16" i="49"/>
  <c r="Z22" i="49"/>
  <c r="Z24" i="49"/>
  <c r="Z21" i="50"/>
  <c r="X25" i="50"/>
  <c r="X29" i="50"/>
  <c r="Z29" i="53"/>
  <c r="Z34" i="53"/>
  <c r="L13" i="52"/>
  <c r="L33" i="52"/>
  <c r="N16" i="53"/>
  <c r="L16" i="49"/>
  <c r="L20" i="49"/>
  <c r="V36" i="50"/>
  <c r="Z12" i="50"/>
  <c r="V24" i="50"/>
  <c r="V22" i="50"/>
  <c r="V20" i="50"/>
  <c r="V18" i="50"/>
  <c r="V16" i="50"/>
  <c r="V33" i="50"/>
  <c r="T18" i="50"/>
  <c r="V15" i="50"/>
  <c r="V27" i="50"/>
  <c r="V25" i="50"/>
  <c r="V31" i="50"/>
  <c r="V21" i="50"/>
  <c r="V29" i="50"/>
  <c r="V34" i="50"/>
  <c r="L15" i="50"/>
  <c r="Z25" i="50"/>
  <c r="Z29" i="50"/>
  <c r="N25" i="53"/>
  <c r="L15" i="52"/>
  <c r="Z33" i="52"/>
  <c r="R20" i="53"/>
  <c r="R18" i="53"/>
  <c r="R16" i="53"/>
  <c r="P18" i="53"/>
  <c r="R15" i="53"/>
  <c r="X12" i="53"/>
  <c r="R24" i="53"/>
  <c r="R22" i="53"/>
  <c r="R21" i="53"/>
  <c r="R33" i="53"/>
  <c r="R27" i="53"/>
  <c r="R36" i="53"/>
  <c r="R31" i="53"/>
  <c r="R25" i="53"/>
  <c r="R34" i="53"/>
  <c r="R29" i="53"/>
  <c r="N16" i="49"/>
  <c r="N20" i="49"/>
  <c r="L22" i="49"/>
  <c r="L24" i="49"/>
  <c r="N15" i="50"/>
  <c r="L21" i="50"/>
  <c r="L20" i="52"/>
  <c r="Z12" i="53"/>
  <c r="V36" i="53"/>
  <c r="V34" i="53"/>
  <c r="V33" i="53"/>
  <c r="V31" i="53"/>
  <c r="V29" i="53"/>
  <c r="V27" i="53"/>
  <c r="V25" i="53"/>
  <c r="V20" i="53"/>
  <c r="V18" i="53"/>
  <c r="V16" i="53"/>
  <c r="T18" i="53"/>
  <c r="V15" i="53"/>
  <c r="V22" i="53"/>
  <c r="V21" i="53"/>
  <c r="V24" i="53"/>
  <c r="Z25" i="53"/>
  <c r="L13" i="49"/>
  <c r="N21" i="49"/>
  <c r="L25" i="49"/>
  <c r="L29" i="49"/>
  <c r="L33" i="49"/>
  <c r="L34" i="49"/>
  <c r="N16" i="50"/>
  <c r="N20" i="50"/>
  <c r="L22" i="50"/>
  <c r="L24" i="50"/>
  <c r="N33" i="50"/>
  <c r="L29" i="52"/>
  <c r="L34" i="52"/>
  <c r="L22" i="53"/>
  <c r="N13" i="49"/>
  <c r="N22" i="49"/>
  <c r="N24" i="49"/>
  <c r="L13" i="50"/>
  <c r="N21" i="50"/>
  <c r="L25" i="50"/>
  <c r="L29" i="50"/>
  <c r="X34" i="50"/>
  <c r="X20" i="52"/>
  <c r="N33" i="53"/>
  <c r="X15" i="49"/>
  <c r="N25" i="49"/>
  <c r="N29" i="49"/>
  <c r="N33" i="49"/>
  <c r="N34" i="49"/>
  <c r="N13" i="50"/>
  <c r="N22" i="50"/>
  <c r="N24" i="50"/>
  <c r="Z29" i="52"/>
  <c r="Z34" i="52"/>
  <c r="Z22" i="53"/>
  <c r="F36" i="49"/>
  <c r="F34" i="49"/>
  <c r="F33" i="49"/>
  <c r="F31" i="49"/>
  <c r="F29" i="49"/>
  <c r="F27" i="49"/>
  <c r="F25" i="49"/>
  <c r="F24" i="49"/>
  <c r="F22" i="49"/>
  <c r="F21" i="49"/>
  <c r="D18" i="49"/>
  <c r="F15" i="49"/>
  <c r="F16" i="49"/>
  <c r="F20" i="49"/>
  <c r="F18" i="49"/>
  <c r="L12" i="49"/>
  <c r="X16" i="49"/>
  <c r="X20" i="49"/>
  <c r="X15" i="50"/>
  <c r="N25" i="50"/>
  <c r="N29" i="50"/>
  <c r="X33" i="50"/>
  <c r="Z34" i="50"/>
  <c r="L16" i="52"/>
  <c r="L15" i="53"/>
  <c r="Z33" i="53"/>
  <c r="Z21" i="52"/>
  <c r="X25" i="52"/>
  <c r="X29" i="52"/>
  <c r="X33" i="52"/>
  <c r="X34" i="52"/>
  <c r="Z13" i="53"/>
  <c r="Z16" i="53"/>
  <c r="Z20" i="53"/>
  <c r="X22" i="53"/>
  <c r="X24" i="53"/>
  <c r="R21" i="52"/>
  <c r="R20" i="52"/>
  <c r="R18" i="52"/>
  <c r="R16" i="52"/>
  <c r="R36" i="52"/>
  <c r="R34" i="52"/>
  <c r="R33" i="52"/>
  <c r="R31" i="52"/>
  <c r="R29" i="52"/>
  <c r="R27" i="52"/>
  <c r="R25" i="52"/>
  <c r="R24" i="52"/>
  <c r="R22" i="52"/>
  <c r="R15" i="52"/>
  <c r="P18" i="52"/>
  <c r="X12" i="52"/>
  <c r="Z22" i="52"/>
  <c r="Z24" i="52"/>
  <c r="Z21" i="53"/>
  <c r="X25" i="53"/>
  <c r="X29" i="53"/>
  <c r="X33" i="53"/>
  <c r="X34" i="53"/>
  <c r="N15" i="52"/>
  <c r="L21" i="52"/>
  <c r="L16" i="53"/>
  <c r="L20" i="53"/>
  <c r="N16" i="52"/>
  <c r="N20" i="52"/>
  <c r="L22" i="52"/>
  <c r="L24" i="52"/>
  <c r="N15" i="53"/>
  <c r="L21" i="53"/>
  <c r="N13" i="52"/>
  <c r="N22" i="52"/>
  <c r="N24" i="52"/>
  <c r="L13" i="53"/>
  <c r="N21" i="53"/>
  <c r="L25" i="53"/>
  <c r="L29" i="53"/>
  <c r="L33" i="53"/>
  <c r="L34" i="53"/>
  <c r="X15" i="52"/>
  <c r="N25" i="52"/>
  <c r="N29" i="52"/>
  <c r="N33" i="52"/>
  <c r="N34" i="52"/>
  <c r="N13" i="53"/>
  <c r="N22" i="53"/>
  <c r="N24" i="53"/>
  <c r="J24" i="52"/>
  <c r="J22" i="52"/>
  <c r="J21" i="52"/>
  <c r="H18" i="52"/>
  <c r="J15" i="52"/>
  <c r="N12" i="52"/>
  <c r="J34" i="52"/>
  <c r="J29" i="52"/>
  <c r="J20" i="52"/>
  <c r="J33" i="52"/>
  <c r="J27" i="52"/>
  <c r="J18" i="52"/>
  <c r="J36" i="52"/>
  <c r="J31" i="52"/>
  <c r="J25" i="52"/>
  <c r="J16" i="52"/>
  <c r="X13" i="52"/>
  <c r="Z15" i="52"/>
  <c r="X21" i="52"/>
  <c r="F36" i="53"/>
  <c r="F34" i="53"/>
  <c r="F33" i="53"/>
  <c r="F31" i="53"/>
  <c r="F29" i="53"/>
  <c r="F27" i="53"/>
  <c r="F25" i="53"/>
  <c r="F24" i="53"/>
  <c r="F22" i="53"/>
  <c r="F20" i="53"/>
  <c r="F18" i="53"/>
  <c r="F16" i="53"/>
  <c r="D18" i="53"/>
  <c r="F15" i="53"/>
  <c r="L12" i="53"/>
  <c r="F21" i="53"/>
  <c r="X16" i="53"/>
  <c r="X20" i="53"/>
  <c r="Z13" i="52"/>
  <c r="Z16" i="52"/>
  <c r="Z20" i="52"/>
  <c r="X22" i="52"/>
  <c r="X24" i="52"/>
  <c r="J36" i="53"/>
  <c r="J34" i="53"/>
  <c r="J33" i="53"/>
  <c r="J31" i="53"/>
  <c r="J29" i="53"/>
  <c r="J27" i="53"/>
  <c r="J25" i="53"/>
  <c r="J21" i="53"/>
  <c r="J20" i="53"/>
  <c r="J18" i="53"/>
  <c r="J16" i="53"/>
  <c r="N12" i="53"/>
  <c r="J22" i="53"/>
  <c r="H18" i="53"/>
  <c r="J15" i="53"/>
  <c r="J24" i="53"/>
  <c r="X13" i="53"/>
  <c r="Z15" i="53"/>
  <c r="X21" i="53"/>
  <c r="N15" i="111"/>
  <c r="J21" i="112"/>
  <c r="J20" i="112"/>
  <c r="J18" i="112"/>
  <c r="J16" i="112"/>
  <c r="H18" i="112"/>
  <c r="J15" i="112"/>
  <c r="J36" i="112"/>
  <c r="J34" i="112"/>
  <c r="J33" i="112"/>
  <c r="J31" i="112"/>
  <c r="J29" i="112"/>
  <c r="J27" i="112"/>
  <c r="J25" i="112"/>
  <c r="J24" i="112"/>
  <c r="J22" i="112"/>
  <c r="N12" i="112"/>
  <c r="Z34" i="111"/>
  <c r="L21" i="112"/>
  <c r="L15" i="111"/>
  <c r="Z24" i="111"/>
  <c r="L21" i="110"/>
  <c r="X25" i="112"/>
  <c r="N21" i="110"/>
  <c r="X13" i="112"/>
  <c r="Z25" i="112"/>
  <c r="L29" i="111"/>
  <c r="N34" i="110"/>
  <c r="N20" i="111"/>
  <c r="X29" i="112"/>
  <c r="L13" i="110"/>
  <c r="L16" i="112"/>
  <c r="X15" i="110"/>
  <c r="Z33" i="111"/>
  <c r="L16" i="110"/>
  <c r="Z25" i="110"/>
  <c r="L22" i="111"/>
  <c r="T18" i="110"/>
  <c r="V15" i="110"/>
  <c r="V21" i="110"/>
  <c r="V20" i="110"/>
  <c r="V18" i="110"/>
  <c r="V16" i="110"/>
  <c r="V36" i="110"/>
  <c r="V29" i="110"/>
  <c r="V25" i="110"/>
  <c r="V27" i="110"/>
  <c r="V24" i="110"/>
  <c r="V34" i="110"/>
  <c r="V22" i="110"/>
  <c r="Z12" i="110"/>
  <c r="V33" i="110"/>
  <c r="V31" i="110"/>
  <c r="N22" i="110"/>
  <c r="L34" i="110"/>
  <c r="N16" i="111"/>
  <c r="L20" i="111"/>
  <c r="Z29" i="111"/>
  <c r="X33" i="111"/>
  <c r="P18" i="112"/>
  <c r="R15" i="112"/>
  <c r="R27" i="112"/>
  <c r="R36" i="112"/>
  <c r="R20" i="112"/>
  <c r="R33" i="112"/>
  <c r="R24" i="112"/>
  <c r="R16" i="112"/>
  <c r="R29" i="112"/>
  <c r="R25" i="112"/>
  <c r="R18" i="112"/>
  <c r="R31" i="112"/>
  <c r="R22" i="112"/>
  <c r="R34" i="112"/>
  <c r="X12" i="112"/>
  <c r="R21" i="112"/>
  <c r="L25" i="110"/>
  <c r="V36" i="112"/>
  <c r="V20" i="112"/>
  <c r="V33" i="112"/>
  <c r="V24" i="112"/>
  <c r="V16" i="112"/>
  <c r="V29" i="112"/>
  <c r="V21" i="112"/>
  <c r="V25" i="112"/>
  <c r="V18" i="112"/>
  <c r="Z12" i="112"/>
  <c r="V27" i="112"/>
  <c r="V15" i="112"/>
  <c r="V34" i="112"/>
  <c r="T18" i="112"/>
  <c r="V31" i="112"/>
  <c r="V22" i="112"/>
  <c r="Z22" i="112"/>
  <c r="X34" i="112"/>
  <c r="N25" i="110"/>
  <c r="L29" i="110"/>
  <c r="Z34" i="110"/>
  <c r="X21" i="112"/>
  <c r="Z34" i="112"/>
  <c r="N13" i="110"/>
  <c r="L24" i="110"/>
  <c r="N29" i="110"/>
  <c r="L33" i="110"/>
  <c r="Z13" i="112"/>
  <c r="Z21" i="112"/>
  <c r="N16" i="110"/>
  <c r="L20" i="110"/>
  <c r="Z29" i="110"/>
  <c r="P18" i="111"/>
  <c r="R15" i="111"/>
  <c r="R21" i="111"/>
  <c r="R20" i="111"/>
  <c r="R18" i="111"/>
  <c r="R16" i="111"/>
  <c r="R29" i="111"/>
  <c r="R34" i="111"/>
  <c r="X12" i="111"/>
  <c r="R31" i="111"/>
  <c r="R22" i="111"/>
  <c r="R36" i="111"/>
  <c r="R33" i="111"/>
  <c r="R24" i="111"/>
  <c r="R27" i="111"/>
  <c r="R25" i="111"/>
  <c r="L34" i="111"/>
  <c r="L20" i="112"/>
  <c r="X24" i="112"/>
  <c r="Z29" i="112"/>
  <c r="X33" i="112"/>
  <c r="N24" i="110"/>
  <c r="N33" i="110"/>
  <c r="T18" i="111"/>
  <c r="V15" i="111"/>
  <c r="V25" i="111"/>
  <c r="V34" i="111"/>
  <c r="V31" i="111"/>
  <c r="V22" i="111"/>
  <c r="V27" i="111"/>
  <c r="V36" i="111"/>
  <c r="V33" i="111"/>
  <c r="V24" i="111"/>
  <c r="V29" i="111"/>
  <c r="V21" i="111"/>
  <c r="V20" i="111"/>
  <c r="V18" i="111"/>
  <c r="V16" i="111"/>
  <c r="Z12" i="111"/>
  <c r="Z22" i="111"/>
  <c r="L25" i="111"/>
  <c r="X34" i="111"/>
  <c r="Z16" i="112"/>
  <c r="L15" i="110"/>
  <c r="N20" i="110"/>
  <c r="Z33" i="110"/>
  <c r="L21" i="111"/>
  <c r="X25" i="111"/>
  <c r="L15" i="112"/>
  <c r="Z24" i="112"/>
  <c r="Z33" i="112"/>
  <c r="Z20" i="112"/>
  <c r="N15" i="110"/>
  <c r="L22" i="110"/>
  <c r="L16" i="111"/>
  <c r="N21" i="111"/>
  <c r="Z25" i="111"/>
  <c r="X29" i="111"/>
  <c r="N15" i="112"/>
  <c r="R21" i="110"/>
  <c r="R20" i="110"/>
  <c r="R18" i="110"/>
  <c r="R16" i="110"/>
  <c r="P18" i="110"/>
  <c r="R15" i="110"/>
  <c r="R36" i="110"/>
  <c r="R34" i="110"/>
  <c r="R33" i="110"/>
  <c r="R31" i="110"/>
  <c r="R29" i="110"/>
  <c r="R27" i="110"/>
  <c r="R25" i="110"/>
  <c r="R24" i="110"/>
  <c r="R22" i="110"/>
  <c r="X12" i="110"/>
  <c r="L13" i="111"/>
  <c r="Z21" i="111"/>
  <c r="L24" i="111"/>
  <c r="L33" i="111"/>
  <c r="Z15" i="112"/>
  <c r="X22" i="112"/>
  <c r="Z21" i="110"/>
  <c r="X25" i="110"/>
  <c r="X29" i="110"/>
  <c r="X33" i="110"/>
  <c r="X34" i="110"/>
  <c r="J36" i="111"/>
  <c r="J34" i="111"/>
  <c r="J33" i="111"/>
  <c r="J31" i="111"/>
  <c r="J29" i="111"/>
  <c r="J27" i="111"/>
  <c r="J25" i="111"/>
  <c r="J24" i="111"/>
  <c r="J22" i="111"/>
  <c r="J21" i="111"/>
  <c r="J18" i="111"/>
  <c r="H18" i="111"/>
  <c r="J15" i="111"/>
  <c r="N12" i="111"/>
  <c r="J20" i="111"/>
  <c r="J16" i="111"/>
  <c r="X13" i="111"/>
  <c r="Z15" i="111"/>
  <c r="X21" i="111"/>
  <c r="X15" i="112"/>
  <c r="N25" i="112"/>
  <c r="N29" i="112"/>
  <c r="N33" i="112"/>
  <c r="N34" i="112"/>
  <c r="Z22" i="110"/>
  <c r="Z24" i="110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D18" i="112"/>
  <c r="L12" i="112"/>
  <c r="F20" i="112"/>
  <c r="F16" i="112"/>
  <c r="F18" i="112"/>
  <c r="F15" i="112"/>
  <c r="X16" i="112"/>
  <c r="X20" i="112"/>
  <c r="L12" i="110"/>
  <c r="F31" i="110"/>
  <c r="F22" i="110"/>
  <c r="D18" i="110"/>
  <c r="F36" i="110"/>
  <c r="F20" i="110"/>
  <c r="F33" i="110"/>
  <c r="F24" i="110"/>
  <c r="F16" i="110"/>
  <c r="F21" i="110"/>
  <c r="F34" i="110"/>
  <c r="F18" i="110"/>
  <c r="F25" i="110"/>
  <c r="F15" i="110"/>
  <c r="F27" i="110"/>
  <c r="F29" i="110"/>
  <c r="X16" i="110"/>
  <c r="X20" i="110"/>
  <c r="N13" i="111"/>
  <c r="N22" i="111"/>
  <c r="N24" i="111"/>
  <c r="N16" i="112"/>
  <c r="N20" i="112"/>
  <c r="L22" i="112"/>
  <c r="L24" i="112"/>
  <c r="J36" i="110"/>
  <c r="J34" i="110"/>
  <c r="J33" i="110"/>
  <c r="J31" i="110"/>
  <c r="J29" i="110"/>
  <c r="J27" i="110"/>
  <c r="J25" i="110"/>
  <c r="N12" i="110"/>
  <c r="J15" i="110"/>
  <c r="J24" i="110"/>
  <c r="J16" i="110"/>
  <c r="J21" i="110"/>
  <c r="J22" i="110"/>
  <c r="H18" i="110"/>
  <c r="J18" i="110"/>
  <c r="J20" i="110"/>
  <c r="X13" i="110"/>
  <c r="Z15" i="110"/>
  <c r="X21" i="110"/>
  <c r="X15" i="111"/>
  <c r="N25" i="111"/>
  <c r="N29" i="111"/>
  <c r="N33" i="111"/>
  <c r="N34" i="111"/>
  <c r="L13" i="112"/>
  <c r="N21" i="112"/>
  <c r="L25" i="112"/>
  <c r="L29" i="112"/>
  <c r="L33" i="112"/>
  <c r="L34" i="112"/>
  <c r="Z13" i="110"/>
  <c r="Z16" i="110"/>
  <c r="Z20" i="110"/>
  <c r="X22" i="110"/>
  <c r="X24" i="110"/>
  <c r="F36" i="111"/>
  <c r="F34" i="111"/>
  <c r="F33" i="111"/>
  <c r="F31" i="111"/>
  <c r="F29" i="111"/>
  <c r="F27" i="111"/>
  <c r="F25" i="111"/>
  <c r="L12" i="111"/>
  <c r="F16" i="111"/>
  <c r="F18" i="111"/>
  <c r="F22" i="111"/>
  <c r="D18" i="111"/>
  <c r="F15" i="111"/>
  <c r="F20" i="111"/>
  <c r="F24" i="111"/>
  <c r="F21" i="111"/>
  <c r="X16" i="111"/>
  <c r="X20" i="111"/>
  <c r="N13" i="112"/>
  <c r="N22" i="112"/>
  <c r="N24" i="112"/>
  <c r="P12" i="3"/>
  <c r="Z146" i="3"/>
  <c r="X28" i="6"/>
  <c r="Z28" i="6" s="1"/>
  <c r="Z45" i="9"/>
  <c r="D12" i="3"/>
  <c r="L14" i="3"/>
  <c r="X158" i="3"/>
  <c r="Z158" i="3" s="1"/>
  <c r="Z174" i="3"/>
  <c r="Z186" i="3"/>
  <c r="Z188" i="3"/>
  <c r="Z267" i="3"/>
  <c r="L15" i="9"/>
  <c r="N15" i="9"/>
  <c r="F29" i="9"/>
  <c r="V48" i="9"/>
  <c r="N58" i="9"/>
  <c r="V72" i="9"/>
  <c r="N91" i="9"/>
  <c r="Z201" i="3"/>
  <c r="Z203" i="3"/>
  <c r="X29" i="6"/>
  <c r="Z29" i="6"/>
  <c r="N61" i="9"/>
  <c r="L63" i="9"/>
  <c r="N63" i="9" s="1"/>
  <c r="Z82" i="9"/>
  <c r="N219" i="3"/>
  <c r="N240" i="3"/>
  <c r="L12" i="6"/>
  <c r="F22" i="6"/>
  <c r="F20" i="6"/>
  <c r="F18" i="6"/>
  <c r="F16" i="6"/>
  <c r="F14" i="6"/>
  <c r="F24" i="6"/>
  <c r="D16" i="6"/>
  <c r="F31" i="6"/>
  <c r="F29" i="6"/>
  <c r="F28" i="6"/>
  <c r="F26" i="6"/>
  <c r="V91" i="9"/>
  <c r="V79" i="9"/>
  <c r="V67" i="9"/>
  <c r="V59" i="9"/>
  <c r="V31" i="9"/>
  <c r="V27" i="9"/>
  <c r="V23" i="9"/>
  <c r="V90" i="9"/>
  <c r="V78" i="9"/>
  <c r="V50" i="9"/>
  <c r="V66" i="9"/>
  <c r="V30" i="9"/>
  <c r="V26" i="9"/>
  <c r="V22" i="9"/>
  <c r="V93" i="9"/>
  <c r="V85" i="9"/>
  <c r="V73" i="9"/>
  <c r="V61" i="9"/>
  <c r="V41" i="9"/>
  <c r="V37" i="9"/>
  <c r="V33" i="9"/>
  <c r="V98" i="9"/>
  <c r="V109" i="9"/>
  <c r="V106" i="9"/>
  <c r="V104" i="9"/>
  <c r="V92" i="9"/>
  <c r="V80" i="9"/>
  <c r="V68" i="9"/>
  <c r="V60" i="9"/>
  <c r="V52" i="9"/>
  <c r="V28" i="9"/>
  <c r="V24" i="9"/>
  <c r="V20" i="9"/>
  <c r="V44" i="9"/>
  <c r="Z12" i="9"/>
  <c r="V63" i="9"/>
  <c r="V51" i="9"/>
  <c r="V43" i="9"/>
  <c r="V19" i="9"/>
  <c r="V17" i="9"/>
  <c r="V15" i="9"/>
  <c r="V46" i="9"/>
  <c r="V94" i="9"/>
  <c r="V86" i="9"/>
  <c r="V82" i="9"/>
  <c r="V74" i="9"/>
  <c r="V62" i="9"/>
  <c r="V54" i="9"/>
  <c r="V42" i="9"/>
  <c r="V38" i="9"/>
  <c r="V34" i="9"/>
  <c r="T17" i="9"/>
  <c r="V58" i="9"/>
  <c r="V81" i="9"/>
  <c r="V69" i="9"/>
  <c r="V53" i="9"/>
  <c r="V45" i="9"/>
  <c r="V29" i="9"/>
  <c r="V25" i="9"/>
  <c r="V21" i="9"/>
  <c r="V88" i="9"/>
  <c r="V76" i="9"/>
  <c r="V64" i="9"/>
  <c r="V56" i="9"/>
  <c r="V97" i="9"/>
  <c r="V95" i="9"/>
  <c r="V87" i="9"/>
  <c r="V83" i="9"/>
  <c r="V75" i="9"/>
  <c r="V71" i="9"/>
  <c r="V55" i="9"/>
  <c r="V47" i="9"/>
  <c r="V39" i="9"/>
  <c r="V35" i="9"/>
  <c r="V70" i="9"/>
  <c r="V99" i="9"/>
  <c r="V89" i="9"/>
  <c r="V77" i="9"/>
  <c r="V65" i="9"/>
  <c r="V57" i="9"/>
  <c r="V49" i="9"/>
  <c r="N32" i="9"/>
  <c r="V36" i="9"/>
  <c r="F53" i="9"/>
  <c r="F81" i="9"/>
  <c r="Z214" i="3"/>
  <c r="P252" i="3"/>
  <c r="X252" i="3" s="1"/>
  <c r="Z268" i="3"/>
  <c r="H102" i="9"/>
  <c r="N17" i="9"/>
  <c r="T270" i="3"/>
  <c r="N228" i="3"/>
  <c r="Z252" i="3"/>
  <c r="F64" i="9"/>
  <c r="F63" i="9"/>
  <c r="F44" i="9"/>
  <c r="F43" i="9"/>
  <c r="F19" i="9"/>
  <c r="F17" i="9"/>
  <c r="F15" i="9"/>
  <c r="F95" i="9"/>
  <c r="F87" i="9"/>
  <c r="F83" i="9"/>
  <c r="F82" i="9"/>
  <c r="F75" i="9"/>
  <c r="F55" i="9"/>
  <c r="F54" i="9"/>
  <c r="F39" i="9"/>
  <c r="F35" i="9"/>
  <c r="D17" i="9"/>
  <c r="F51" i="9"/>
  <c r="F70" i="9"/>
  <c r="F46" i="9"/>
  <c r="F45" i="9"/>
  <c r="F30" i="9"/>
  <c r="F26" i="9"/>
  <c r="F22" i="9"/>
  <c r="L12" i="9"/>
  <c r="F98" i="9"/>
  <c r="F89" i="9"/>
  <c r="F88" i="9"/>
  <c r="F77" i="9"/>
  <c r="F76" i="9"/>
  <c r="F65" i="9"/>
  <c r="F57" i="9"/>
  <c r="F56" i="9"/>
  <c r="F99" i="9"/>
  <c r="F97" i="9"/>
  <c r="F84" i="9"/>
  <c r="F72" i="9"/>
  <c r="F71" i="9"/>
  <c r="F48" i="9"/>
  <c r="F47" i="9"/>
  <c r="F40" i="9"/>
  <c r="F36" i="9"/>
  <c r="F100" i="9"/>
  <c r="F67" i="9"/>
  <c r="F66" i="9"/>
  <c r="F59" i="9"/>
  <c r="F58" i="9"/>
  <c r="F31" i="9"/>
  <c r="F27" i="9"/>
  <c r="F23" i="9"/>
  <c r="F90" i="9"/>
  <c r="F78" i="9"/>
  <c r="F50" i="9"/>
  <c r="F49" i="9"/>
  <c r="F102" i="9"/>
  <c r="F85" i="9"/>
  <c r="F73" i="9"/>
  <c r="F41" i="9"/>
  <c r="F37" i="9"/>
  <c r="F33" i="9"/>
  <c r="F32" i="9"/>
  <c r="F104" i="9"/>
  <c r="F92" i="9"/>
  <c r="F91" i="9"/>
  <c r="F80" i="9"/>
  <c r="F79" i="9"/>
  <c r="F68" i="9"/>
  <c r="F60" i="9"/>
  <c r="F28" i="9"/>
  <c r="F24" i="9"/>
  <c r="F94" i="9"/>
  <c r="F93" i="9"/>
  <c r="F86" i="9"/>
  <c r="F74" i="9"/>
  <c r="F62" i="9"/>
  <c r="F61" i="9"/>
  <c r="F42" i="9"/>
  <c r="F38" i="9"/>
  <c r="F34" i="9"/>
  <c r="F106" i="9"/>
  <c r="N209" i="3"/>
  <c r="X49" i="9"/>
  <c r="Z49" i="9" s="1"/>
  <c r="N146" i="3"/>
  <c r="L19" i="9"/>
  <c r="N19" i="9"/>
  <c r="Z20" i="9"/>
  <c r="N45" i="9"/>
  <c r="F69" i="9"/>
  <c r="F109" i="9"/>
  <c r="X180" i="3"/>
  <c r="Z180" i="3" s="1"/>
  <c r="N186" i="3"/>
  <c r="L43" i="9"/>
  <c r="N43" i="9" s="1"/>
  <c r="F52" i="9"/>
  <c r="Z79" i="9"/>
  <c r="L223" i="12"/>
  <c r="D219" i="12"/>
  <c r="L219" i="12" s="1"/>
  <c r="N219" i="12" s="1"/>
  <c r="Z52" i="9"/>
  <c r="Z190" i="3"/>
  <c r="X226" i="18"/>
  <c r="Z226" i="18" s="1"/>
  <c r="J98" i="3"/>
  <c r="J102" i="3"/>
  <c r="J106" i="3"/>
  <c r="J110" i="3"/>
  <c r="J114" i="3"/>
  <c r="J118" i="3"/>
  <c r="J122" i="3"/>
  <c r="J126" i="3"/>
  <c r="J130" i="3"/>
  <c r="J134" i="3"/>
  <c r="J138" i="3"/>
  <c r="J142" i="3"/>
  <c r="V158" i="3"/>
  <c r="V162" i="3"/>
  <c r="V166" i="3"/>
  <c r="J170" i="3"/>
  <c r="V174" i="3"/>
  <c r="J178" i="3"/>
  <c r="V190" i="3"/>
  <c r="J194" i="3"/>
  <c r="J202" i="3"/>
  <c r="V206" i="3"/>
  <c r="V214" i="3"/>
  <c r="V218" i="3"/>
  <c r="J222" i="3"/>
  <c r="J228" i="3"/>
  <c r="V230" i="3"/>
  <c r="V234" i="3"/>
  <c r="V238" i="3"/>
  <c r="J242" i="3"/>
  <c r="V246" i="3"/>
  <c r="J250" i="3"/>
  <c r="V256" i="3"/>
  <c r="V24" i="6"/>
  <c r="V26" i="6"/>
  <c r="V28" i="6"/>
  <c r="V29" i="6"/>
  <c r="V31" i="6"/>
  <c r="X12" i="9"/>
  <c r="J15" i="9"/>
  <c r="J17" i="9"/>
  <c r="J19" i="9"/>
  <c r="J21" i="9"/>
  <c r="R22" i="9"/>
  <c r="J25" i="9"/>
  <c r="R26" i="9"/>
  <c r="J29" i="9"/>
  <c r="R30" i="9"/>
  <c r="J43" i="9"/>
  <c r="R46" i="9"/>
  <c r="R47" i="9"/>
  <c r="J53" i="9"/>
  <c r="J63" i="9"/>
  <c r="J69" i="9"/>
  <c r="R70" i="9"/>
  <c r="R71" i="9"/>
  <c r="J81" i="9"/>
  <c r="R97" i="9"/>
  <c r="R98" i="9"/>
  <c r="J108" i="12"/>
  <c r="J134" i="12"/>
  <c r="Z157" i="12"/>
  <c r="Z159" i="12"/>
  <c r="N183" i="12"/>
  <c r="J190" i="12"/>
  <c r="J192" i="12"/>
  <c r="J212" i="12"/>
  <c r="Z219" i="12"/>
  <c r="J80" i="15"/>
  <c r="J84" i="15"/>
  <c r="J88" i="15"/>
  <c r="J92" i="15"/>
  <c r="J96" i="15"/>
  <c r="J100" i="15"/>
  <c r="J104" i="15"/>
  <c r="J108" i="15"/>
  <c r="J150" i="15"/>
  <c r="J186" i="15"/>
  <c r="J210" i="15"/>
  <c r="D12" i="18"/>
  <c r="L240" i="18"/>
  <c r="D235" i="18"/>
  <c r="L235" i="18" s="1"/>
  <c r="N235" i="18" s="1"/>
  <c r="V148" i="3"/>
  <c r="V152" i="3"/>
  <c r="V156" i="3"/>
  <c r="J160" i="3"/>
  <c r="J164" i="3"/>
  <c r="J168" i="3"/>
  <c r="V172" i="3"/>
  <c r="V180" i="3"/>
  <c r="J184" i="3"/>
  <c r="V188" i="3"/>
  <c r="J192" i="3"/>
  <c r="J200" i="3"/>
  <c r="V204" i="3"/>
  <c r="V212" i="3"/>
  <c r="J216" i="3"/>
  <c r="J232" i="3"/>
  <c r="J236" i="3"/>
  <c r="V244" i="3"/>
  <c r="J248" i="3"/>
  <c r="V254" i="3"/>
  <c r="N12" i="6"/>
  <c r="R14" i="6"/>
  <c r="R16" i="6"/>
  <c r="R18" i="6"/>
  <c r="R20" i="6"/>
  <c r="R22" i="6"/>
  <c r="R44" i="9"/>
  <c r="R45" i="9"/>
  <c r="J51" i="9"/>
  <c r="J61" i="9"/>
  <c r="R64" i="9"/>
  <c r="J93" i="9"/>
  <c r="J79" i="12"/>
  <c r="H116" i="12"/>
  <c r="J168" i="12"/>
  <c r="Z183" i="12"/>
  <c r="D12" i="15"/>
  <c r="J126" i="15"/>
  <c r="Z150" i="15"/>
  <c r="N155" i="15"/>
  <c r="J196" i="15"/>
  <c r="X205" i="15"/>
  <c r="Z205" i="15" s="1"/>
  <c r="Z61" i="21"/>
  <c r="X61" i="21"/>
  <c r="D12" i="12"/>
  <c r="D12" i="21"/>
  <c r="L13" i="21"/>
  <c r="N13" i="21" s="1"/>
  <c r="X67" i="21"/>
  <c r="Z67" i="21" s="1"/>
  <c r="V134" i="3"/>
  <c r="V142" i="3"/>
  <c r="V144" i="3"/>
  <c r="V146" i="3"/>
  <c r="J150" i="3"/>
  <c r="J154" i="3"/>
  <c r="V170" i="3"/>
  <c r="J176" i="3"/>
  <c r="V178" i="3"/>
  <c r="J182" i="3"/>
  <c r="V186" i="3"/>
  <c r="V194" i="3"/>
  <c r="J198" i="3"/>
  <c r="V202" i="3"/>
  <c r="J210" i="3"/>
  <c r="V222" i="3"/>
  <c r="J226" i="3"/>
  <c r="J240" i="3"/>
  <c r="V242" i="3"/>
  <c r="V250" i="3"/>
  <c r="V252" i="3"/>
  <c r="J259" i="3"/>
  <c r="V14" i="6"/>
  <c r="V16" i="6"/>
  <c r="V18" i="6"/>
  <c r="V20" i="6"/>
  <c r="V22" i="6"/>
  <c r="L13" i="9"/>
  <c r="J91" i="9"/>
  <c r="L13" i="12"/>
  <c r="N13" i="12" s="1"/>
  <c r="J203" i="15"/>
  <c r="J197" i="15"/>
  <c r="J193" i="15"/>
  <c r="J187" i="15"/>
  <c r="J181" i="15"/>
  <c r="J169" i="15"/>
  <c r="J161" i="15"/>
  <c r="J145" i="15"/>
  <c r="J109" i="15"/>
  <c r="J105" i="15"/>
  <c r="J101" i="15"/>
  <c r="J97" i="15"/>
  <c r="J93" i="15"/>
  <c r="J89" i="15"/>
  <c r="J85" i="15"/>
  <c r="J81" i="15"/>
  <c r="J77" i="15"/>
  <c r="J213" i="15"/>
  <c r="J212" i="15"/>
  <c r="J204" i="15"/>
  <c r="J188" i="15"/>
  <c r="J182" i="15"/>
  <c r="J176" i="15"/>
  <c r="J170" i="15"/>
  <c r="J152" i="15"/>
  <c r="J136" i="15"/>
  <c r="J132" i="15"/>
  <c r="J128" i="15"/>
  <c r="J214" i="15"/>
  <c r="J205" i="15"/>
  <c r="J183" i="15"/>
  <c r="J177" i="15"/>
  <c r="J171" i="15"/>
  <c r="J153" i="15"/>
  <c r="J137" i="15"/>
  <c r="J123" i="15"/>
  <c r="J119" i="15"/>
  <c r="J215" i="15"/>
  <c r="J206" i="15"/>
  <c r="J198" i="15"/>
  <c r="J194" i="15"/>
  <c r="J178" i="15"/>
  <c r="J172" i="15"/>
  <c r="J162" i="15"/>
  <c r="J154" i="15"/>
  <c r="J146" i="15"/>
  <c r="J138" i="15"/>
  <c r="J110" i="15"/>
  <c r="J106" i="15"/>
  <c r="J102" i="15"/>
  <c r="J98" i="15"/>
  <c r="J94" i="15"/>
  <c r="J90" i="15"/>
  <c r="J86" i="15"/>
  <c r="J82" i="15"/>
  <c r="J78" i="15"/>
  <c r="J216" i="15"/>
  <c r="J189" i="15"/>
  <c r="J173" i="15"/>
  <c r="J155" i="15"/>
  <c r="J147" i="15"/>
  <c r="J139" i="15"/>
  <c r="J133" i="15"/>
  <c r="J129" i="15"/>
  <c r="J115" i="15"/>
  <c r="J190" i="15"/>
  <c r="J184" i="15"/>
  <c r="J156" i="15"/>
  <c r="J148" i="15"/>
  <c r="J140" i="15"/>
  <c r="J124" i="15"/>
  <c r="J120" i="15"/>
  <c r="J116" i="15"/>
  <c r="J114" i="15"/>
  <c r="J207" i="15"/>
  <c r="J199" i="15"/>
  <c r="J195" i="15"/>
  <c r="J191" i="15"/>
  <c r="J179" i="15"/>
  <c r="J163" i="15"/>
  <c r="J157" i="15"/>
  <c r="H112" i="15"/>
  <c r="J112" i="15" s="1"/>
  <c r="J107" i="15"/>
  <c r="J103" i="15"/>
  <c r="J99" i="15"/>
  <c r="J95" i="15"/>
  <c r="J91" i="15"/>
  <c r="J87" i="15"/>
  <c r="J83" i="15"/>
  <c r="J79" i="15"/>
  <c r="J220" i="15"/>
  <c r="J200" i="15"/>
  <c r="J174" i="15"/>
  <c r="J164" i="15"/>
  <c r="J158" i="15"/>
  <c r="J134" i="15"/>
  <c r="J130" i="15"/>
  <c r="J201" i="15"/>
  <c r="J185" i="15"/>
  <c r="J165" i="15"/>
  <c r="J149" i="15"/>
  <c r="J141" i="15"/>
  <c r="J125" i="15"/>
  <c r="J121" i="15"/>
  <c r="J117" i="15"/>
  <c r="J209" i="15"/>
  <c r="J175" i="15"/>
  <c r="J167" i="15"/>
  <c r="J159" i="15"/>
  <c r="J151" i="15"/>
  <c r="J143" i="15"/>
  <c r="J135" i="15"/>
  <c r="J131" i="15"/>
  <c r="J127" i="15"/>
  <c r="J122" i="15"/>
  <c r="Z126" i="15"/>
  <c r="P16" i="6"/>
  <c r="T16" i="6"/>
  <c r="P17" i="9"/>
  <c r="V147" i="3"/>
  <c r="V151" i="3"/>
  <c r="V155" i="3"/>
  <c r="J159" i="3"/>
  <c r="J163" i="3"/>
  <c r="J167" i="3"/>
  <c r="V171" i="3"/>
  <c r="J175" i="3"/>
  <c r="J191" i="3"/>
  <c r="J197" i="3"/>
  <c r="V203" i="3"/>
  <c r="J209" i="3"/>
  <c r="V211" i="3"/>
  <c r="J215" i="3"/>
  <c r="J225" i="3"/>
  <c r="V227" i="3"/>
  <c r="J231" i="3"/>
  <c r="J235" i="3"/>
  <c r="J239" i="3"/>
  <c r="V243" i="3"/>
  <c r="J247" i="3"/>
  <c r="J258" i="3"/>
  <c r="V263" i="3"/>
  <c r="V265" i="3"/>
  <c r="V267" i="3"/>
  <c r="V268" i="3"/>
  <c r="V270" i="3"/>
  <c r="X12" i="6"/>
  <c r="R20" i="9"/>
  <c r="J32" i="9"/>
  <c r="J50" i="9"/>
  <c r="R51" i="9"/>
  <c r="R52" i="9"/>
  <c r="J78" i="9"/>
  <c r="J90" i="9"/>
  <c r="D97" i="9"/>
  <c r="L97" i="9" s="1"/>
  <c r="J102" i="9"/>
  <c r="R106" i="9"/>
  <c r="R109" i="9"/>
  <c r="N78" i="12"/>
  <c r="J112" i="12"/>
  <c r="N119" i="12"/>
  <c r="N197" i="12"/>
  <c r="X14" i="15"/>
  <c r="P12" i="15"/>
  <c r="X155" i="15"/>
  <c r="Z155" i="15" s="1"/>
  <c r="J166" i="15"/>
  <c r="N172" i="15"/>
  <c r="X214" i="15"/>
  <c r="Z214" i="15" s="1"/>
  <c r="P212" i="15"/>
  <c r="X212" i="15" s="1"/>
  <c r="Z212" i="15" s="1"/>
  <c r="N138" i="18"/>
  <c r="J100" i="3"/>
  <c r="J104" i="3"/>
  <c r="J108" i="3"/>
  <c r="J112" i="3"/>
  <c r="J116" i="3"/>
  <c r="J120" i="3"/>
  <c r="J124" i="3"/>
  <c r="J128" i="3"/>
  <c r="J132" i="3"/>
  <c r="J136" i="3"/>
  <c r="J140" i="3"/>
  <c r="J158" i="3"/>
  <c r="V160" i="3"/>
  <c r="V164" i="3"/>
  <c r="V168" i="3"/>
  <c r="J174" i="3"/>
  <c r="V184" i="3"/>
  <c r="J190" i="3"/>
  <c r="V192" i="3"/>
  <c r="J196" i="3"/>
  <c r="V200" i="3"/>
  <c r="J208" i="3"/>
  <c r="J214" i="3"/>
  <c r="V216" i="3"/>
  <c r="J220" i="3"/>
  <c r="J224" i="3"/>
  <c r="V228" i="3"/>
  <c r="V232" i="3"/>
  <c r="V236" i="3"/>
  <c r="X243" i="3"/>
  <c r="Z243" i="3" s="1"/>
  <c r="V248" i="3"/>
  <c r="J257" i="3"/>
  <c r="J26" i="6"/>
  <c r="J28" i="6"/>
  <c r="J29" i="6"/>
  <c r="J31" i="6"/>
  <c r="J23" i="9"/>
  <c r="R24" i="9"/>
  <c r="J27" i="9"/>
  <c r="R28" i="9"/>
  <c r="J31" i="9"/>
  <c r="J49" i="9"/>
  <c r="X54" i="9"/>
  <c r="Z54" i="9" s="1"/>
  <c r="J59" i="9"/>
  <c r="R60" i="9"/>
  <c r="R61" i="9"/>
  <c r="J67" i="9"/>
  <c r="R68" i="9"/>
  <c r="R80" i="9"/>
  <c r="R92" i="9"/>
  <c r="R93" i="9"/>
  <c r="J100" i="9"/>
  <c r="R104" i="9"/>
  <c r="P12" i="12"/>
  <c r="J78" i="12"/>
  <c r="J107" i="12"/>
  <c r="L118" i="12"/>
  <c r="J174" i="12"/>
  <c r="L207" i="12"/>
  <c r="N207" i="12" s="1"/>
  <c r="N115" i="15"/>
  <c r="N139" i="15"/>
  <c r="N147" i="15"/>
  <c r="Z153" i="15"/>
  <c r="N177" i="15"/>
  <c r="J180" i="15"/>
  <c r="P12" i="18"/>
  <c r="X13" i="18"/>
  <c r="Z13" i="18" s="1"/>
  <c r="X138" i="18"/>
  <c r="P12" i="21"/>
  <c r="X15" i="21"/>
  <c r="Z15" i="21" s="1"/>
  <c r="V97" i="3"/>
  <c r="V101" i="3"/>
  <c r="V105" i="3"/>
  <c r="V109" i="3"/>
  <c r="V113" i="3"/>
  <c r="V117" i="3"/>
  <c r="V121" i="3"/>
  <c r="V125" i="3"/>
  <c r="V129" i="3"/>
  <c r="V133" i="3"/>
  <c r="V137" i="3"/>
  <c r="V141" i="3"/>
  <c r="J149" i="3"/>
  <c r="J153" i="3"/>
  <c r="J157" i="3"/>
  <c r="V169" i="3"/>
  <c r="J173" i="3"/>
  <c r="V177" i="3"/>
  <c r="J181" i="3"/>
  <c r="J189" i="3"/>
  <c r="V193" i="3"/>
  <c r="V201" i="3"/>
  <c r="J207" i="3"/>
  <c r="J213" i="3"/>
  <c r="J219" i="3"/>
  <c r="V221" i="3"/>
  <c r="V241" i="3"/>
  <c r="V249" i="3"/>
  <c r="D252" i="3"/>
  <c r="L252" i="3" s="1"/>
  <c r="N252" i="3" s="1"/>
  <c r="J256" i="3"/>
  <c r="J36" i="9"/>
  <c r="J40" i="9"/>
  <c r="J48" i="9"/>
  <c r="J58" i="9"/>
  <c r="J66" i="9"/>
  <c r="J72" i="9"/>
  <c r="R73" i="9"/>
  <c r="J84" i="9"/>
  <c r="R85" i="9"/>
  <c r="J99" i="9"/>
  <c r="Z119" i="12"/>
  <c r="J172" i="12"/>
  <c r="J118" i="15"/>
  <c r="J202" i="15"/>
  <c r="Z138" i="18"/>
  <c r="V150" i="3"/>
  <c r="V154" i="3"/>
  <c r="J162" i="3"/>
  <c r="J166" i="3"/>
  <c r="J180" i="3"/>
  <c r="V182" i="3"/>
  <c r="J188" i="3"/>
  <c r="V198" i="3"/>
  <c r="J206" i="3"/>
  <c r="V210" i="3"/>
  <c r="J218" i="3"/>
  <c r="V226" i="3"/>
  <c r="J230" i="3"/>
  <c r="J234" i="3"/>
  <c r="J238" i="3"/>
  <c r="J246" i="3"/>
  <c r="J255" i="3"/>
  <c r="J47" i="9"/>
  <c r="J57" i="9"/>
  <c r="J65" i="9"/>
  <c r="J71" i="9"/>
  <c r="J77" i="9"/>
  <c r="R78" i="9"/>
  <c r="R79" i="9"/>
  <c r="J89" i="9"/>
  <c r="R90" i="9"/>
  <c r="R91" i="9"/>
  <c r="J97" i="9"/>
  <c r="J98" i="9"/>
  <c r="N118" i="12"/>
  <c r="X119" i="12"/>
  <c r="N143" i="12"/>
  <c r="N161" i="12"/>
  <c r="Z207" i="12"/>
  <c r="Z115" i="15"/>
  <c r="N137" i="15"/>
  <c r="Z139" i="15"/>
  <c r="Z147" i="15"/>
  <c r="Z172" i="15"/>
  <c r="Z177" i="15"/>
  <c r="L209" i="15"/>
  <c r="N209" i="15" s="1"/>
  <c r="N223" i="18"/>
  <c r="J99" i="3"/>
  <c r="J103" i="3"/>
  <c r="J107" i="3"/>
  <c r="J111" i="3"/>
  <c r="J115" i="3"/>
  <c r="J119" i="3"/>
  <c r="J123" i="3"/>
  <c r="J127" i="3"/>
  <c r="J131" i="3"/>
  <c r="J135" i="3"/>
  <c r="J139" i="3"/>
  <c r="H144" i="3"/>
  <c r="V159" i="3"/>
  <c r="V163" i="3"/>
  <c r="V167" i="3"/>
  <c r="V175" i="3"/>
  <c r="J179" i="3"/>
  <c r="V183" i="3"/>
  <c r="J187" i="3"/>
  <c r="V191" i="3"/>
  <c r="J195" i="3"/>
  <c r="V199" i="3"/>
  <c r="J205" i="3"/>
  <c r="V215" i="3"/>
  <c r="J223" i="3"/>
  <c r="V231" i="3"/>
  <c r="V235" i="3"/>
  <c r="V239" i="3"/>
  <c r="J245" i="3"/>
  <c r="V247" i="3"/>
  <c r="J254" i="3"/>
  <c r="V259" i="3"/>
  <c r="V261" i="3"/>
  <c r="H16" i="6"/>
  <c r="N12" i="9"/>
  <c r="J22" i="9"/>
  <c r="R23" i="9"/>
  <c r="J26" i="9"/>
  <c r="R27" i="9"/>
  <c r="J30" i="9"/>
  <c r="R31" i="9"/>
  <c r="R32" i="9"/>
  <c r="J46" i="9"/>
  <c r="J56" i="9"/>
  <c r="R59" i="9"/>
  <c r="X61" i="9"/>
  <c r="Z61" i="9" s="1"/>
  <c r="R67" i="9"/>
  <c r="J70" i="9"/>
  <c r="J76" i="9"/>
  <c r="J88" i="9"/>
  <c r="X93" i="9"/>
  <c r="Z93" i="9" s="1"/>
  <c r="R102" i="9"/>
  <c r="J215" i="12"/>
  <c r="J203" i="12"/>
  <c r="J199" i="12"/>
  <c r="J187" i="12"/>
  <c r="J175" i="12"/>
  <c r="J157" i="12"/>
  <c r="J141" i="12"/>
  <c r="J127" i="12"/>
  <c r="J123" i="12"/>
  <c r="J216" i="12"/>
  <c r="J188" i="12"/>
  <c r="J182" i="12"/>
  <c r="J176" i="12"/>
  <c r="J166" i="12"/>
  <c r="J158" i="12"/>
  <c r="J150" i="12"/>
  <c r="J142" i="12"/>
  <c r="J114" i="12"/>
  <c r="J110" i="12"/>
  <c r="J106" i="12"/>
  <c r="J102" i="12"/>
  <c r="J98" i="12"/>
  <c r="J94" i="12"/>
  <c r="J90" i="12"/>
  <c r="J86" i="12"/>
  <c r="J82" i="12"/>
  <c r="J217" i="12"/>
  <c r="J209" i="12"/>
  <c r="J193" i="12"/>
  <c r="J189" i="12"/>
  <c r="J183" i="12"/>
  <c r="J177" i="12"/>
  <c r="J159" i="12"/>
  <c r="J151" i="12"/>
  <c r="J143" i="12"/>
  <c r="J137" i="12"/>
  <c r="J133" i="12"/>
  <c r="J119" i="12"/>
  <c r="J210" i="12"/>
  <c r="J204" i="12"/>
  <c r="J200" i="12"/>
  <c r="J194" i="12"/>
  <c r="J184" i="12"/>
  <c r="J178" i="12"/>
  <c r="J160" i="12"/>
  <c r="J152" i="12"/>
  <c r="J144" i="12"/>
  <c r="J128" i="12"/>
  <c r="J124" i="12"/>
  <c r="J120" i="12"/>
  <c r="J118" i="12"/>
  <c r="J116" i="12"/>
  <c r="J220" i="12"/>
  <c r="J219" i="12"/>
  <c r="J211" i="12"/>
  <c r="J195" i="12"/>
  <c r="J179" i="12"/>
  <c r="J167" i="12"/>
  <c r="J161" i="12"/>
  <c r="J222" i="12"/>
  <c r="J213" i="12"/>
  <c r="J205" i="12"/>
  <c r="J201" i="12"/>
  <c r="J185" i="12"/>
  <c r="J169" i="12"/>
  <c r="J153" i="12"/>
  <c r="J145" i="12"/>
  <c r="J129" i="12"/>
  <c r="J125" i="12"/>
  <c r="J121" i="12"/>
  <c r="J223" i="12"/>
  <c r="J196" i="12"/>
  <c r="J180" i="12"/>
  <c r="J170" i="12"/>
  <c r="J154" i="12"/>
  <c r="J146" i="12"/>
  <c r="J197" i="12"/>
  <c r="J191" i="12"/>
  <c r="J171" i="12"/>
  <c r="J163" i="12"/>
  <c r="J155" i="12"/>
  <c r="J147" i="12"/>
  <c r="J139" i="12"/>
  <c r="J135" i="12"/>
  <c r="J131" i="12"/>
  <c r="J227" i="12"/>
  <c r="J207" i="12"/>
  <c r="J181" i="12"/>
  <c r="J173" i="12"/>
  <c r="J165" i="12"/>
  <c r="J149" i="12"/>
  <c r="X78" i="12"/>
  <c r="Z78" i="12" s="1"/>
  <c r="T116" i="12"/>
  <c r="J126" i="12"/>
  <c r="X143" i="12"/>
  <c r="Z151" i="12"/>
  <c r="J198" i="12"/>
  <c r="J144" i="15"/>
  <c r="N137" i="18"/>
  <c r="Z162" i="18"/>
  <c r="T76" i="30"/>
  <c r="V76" i="30" s="1"/>
  <c r="V112" i="3"/>
  <c r="V116" i="3"/>
  <c r="V120" i="3"/>
  <c r="V124" i="3"/>
  <c r="V128" i="3"/>
  <c r="V132" i="3"/>
  <c r="V136" i="3"/>
  <c r="V140" i="3"/>
  <c r="J146" i="3"/>
  <c r="J148" i="3"/>
  <c r="J152" i="3"/>
  <c r="J156" i="3"/>
  <c r="J172" i="3"/>
  <c r="V176" i="3"/>
  <c r="J186" i="3"/>
  <c r="V196" i="3"/>
  <c r="J204" i="3"/>
  <c r="V208" i="3"/>
  <c r="J212" i="3"/>
  <c r="V220" i="3"/>
  <c r="V224" i="3"/>
  <c r="V240" i="3"/>
  <c r="J244" i="3"/>
  <c r="J252" i="3"/>
  <c r="J14" i="6"/>
  <c r="J16" i="6"/>
  <c r="J18" i="6"/>
  <c r="J20" i="6"/>
  <c r="R26" i="6"/>
  <c r="R28" i="6"/>
  <c r="R29" i="6"/>
  <c r="J35" i="9"/>
  <c r="R36" i="9"/>
  <c r="J39" i="9"/>
  <c r="R40" i="9"/>
  <c r="J45" i="9"/>
  <c r="R48" i="9"/>
  <c r="R49" i="9"/>
  <c r="J55" i="9"/>
  <c r="R72" i="9"/>
  <c r="J75" i="9"/>
  <c r="J83" i="9"/>
  <c r="R84" i="9"/>
  <c r="J87" i="9"/>
  <c r="J85" i="12"/>
  <c r="J93" i="12"/>
  <c r="J101" i="12"/>
  <c r="J122" i="12"/>
  <c r="J138" i="12"/>
  <c r="Z141" i="12"/>
  <c r="Z143" i="12"/>
  <c r="Z161" i="12"/>
  <c r="N178" i="12"/>
  <c r="J206" i="12"/>
  <c r="J208" i="12"/>
  <c r="Z137" i="15"/>
  <c r="N142" i="15"/>
  <c r="J192" i="15"/>
  <c r="Z209" i="15"/>
  <c r="X64" i="24"/>
  <c r="Z64" i="24" s="1"/>
  <c r="V133" i="12"/>
  <c r="V137" i="12"/>
  <c r="V161" i="12"/>
  <c r="V177" i="12"/>
  <c r="V189" i="12"/>
  <c r="V193" i="12"/>
  <c r="V209" i="12"/>
  <c r="V217" i="12"/>
  <c r="V219" i="12"/>
  <c r="V115" i="15"/>
  <c r="V119" i="15"/>
  <c r="V123" i="15"/>
  <c r="V139" i="15"/>
  <c r="V147" i="15"/>
  <c r="V155" i="15"/>
  <c r="V171" i="15"/>
  <c r="V183" i="15"/>
  <c r="V215" i="15"/>
  <c r="J92" i="18"/>
  <c r="J96" i="18"/>
  <c r="J100" i="18"/>
  <c r="J104" i="18"/>
  <c r="J108" i="18"/>
  <c r="J112" i="18"/>
  <c r="J116" i="18"/>
  <c r="J120" i="18"/>
  <c r="J124" i="18"/>
  <c r="J128" i="18"/>
  <c r="J132" i="18"/>
  <c r="T135" i="18"/>
  <c r="J194" i="18"/>
  <c r="V204" i="18"/>
  <c r="J208" i="18"/>
  <c r="J211" i="18"/>
  <c r="J223" i="18"/>
  <c r="J225" i="18"/>
  <c r="J228" i="18"/>
  <c r="X59" i="21"/>
  <c r="Z59" i="21" s="1"/>
  <c r="V119" i="12"/>
  <c r="V123" i="12"/>
  <c r="V127" i="12"/>
  <c r="V143" i="12"/>
  <c r="V151" i="12"/>
  <c r="V159" i="12"/>
  <c r="V175" i="12"/>
  <c r="V183" i="12"/>
  <c r="V187" i="12"/>
  <c r="V199" i="12"/>
  <c r="V203" i="12"/>
  <c r="V215" i="12"/>
  <c r="V77" i="15"/>
  <c r="V81" i="15"/>
  <c r="V85" i="15"/>
  <c r="V89" i="15"/>
  <c r="V93" i="15"/>
  <c r="V97" i="15"/>
  <c r="V101" i="15"/>
  <c r="V105" i="15"/>
  <c r="V109" i="15"/>
  <c r="L126" i="15"/>
  <c r="N126" i="15" s="1"/>
  <c r="V137" i="15"/>
  <c r="L142" i="15"/>
  <c r="V145" i="15"/>
  <c r="L150" i="15"/>
  <c r="N150" i="15" s="1"/>
  <c r="V153" i="15"/>
  <c r="V161" i="15"/>
  <c r="L166" i="15"/>
  <c r="N166" i="15" s="1"/>
  <c r="V169" i="15"/>
  <c r="X172" i="15"/>
  <c r="V177" i="15"/>
  <c r="V181" i="15"/>
  <c r="V193" i="15"/>
  <c r="V197" i="15"/>
  <c r="V205" i="15"/>
  <c r="V213" i="15"/>
  <c r="J238" i="18"/>
  <c r="J229" i="18"/>
  <c r="J221" i="18"/>
  <c r="J217" i="18"/>
  <c r="J201" i="18"/>
  <c r="J195" i="18"/>
  <c r="J185" i="18"/>
  <c r="J177" i="18"/>
  <c r="J169" i="18"/>
  <c r="J161" i="18"/>
  <c r="J239" i="18"/>
  <c r="J240" i="18"/>
  <c r="J213" i="18"/>
  <c r="J207" i="18"/>
  <c r="J179" i="18"/>
  <c r="J171" i="18"/>
  <c r="J163" i="18"/>
  <c r="J230" i="18"/>
  <c r="J222" i="18"/>
  <c r="J218" i="18"/>
  <c r="J214" i="18"/>
  <c r="J202" i="18"/>
  <c r="J186" i="18"/>
  <c r="J180" i="18"/>
  <c r="J231" i="18"/>
  <c r="J219" i="18"/>
  <c r="J215" i="18"/>
  <c r="J203" i="18"/>
  <c r="J189" i="18"/>
  <c r="J173" i="18"/>
  <c r="J165" i="18"/>
  <c r="J149" i="18"/>
  <c r="J232" i="18"/>
  <c r="J198" i="18"/>
  <c r="J190" i="18"/>
  <c r="J182" i="18"/>
  <c r="J174" i="18"/>
  <c r="J166" i="18"/>
  <c r="J158" i="18"/>
  <c r="J154" i="18"/>
  <c r="J150" i="18"/>
  <c r="J226" i="18"/>
  <c r="J220" i="18"/>
  <c r="J216" i="18"/>
  <c r="J210" i="18"/>
  <c r="J204" i="18"/>
  <c r="J192" i="18"/>
  <c r="J184" i="18"/>
  <c r="J168" i="18"/>
  <c r="V138" i="18"/>
  <c r="V142" i="18"/>
  <c r="J148" i="18"/>
  <c r="J159" i="18"/>
  <c r="J162" i="18"/>
  <c r="J164" i="18"/>
  <c r="J175" i="18"/>
  <c r="Z176" i="18"/>
  <c r="J188" i="18"/>
  <c r="J199" i="18"/>
  <c r="Z200" i="18"/>
  <c r="V208" i="18"/>
  <c r="Z235" i="18"/>
  <c r="H24" i="21"/>
  <c r="N19" i="21"/>
  <c r="J19" i="21"/>
  <c r="X71" i="21"/>
  <c r="V176" i="12"/>
  <c r="V188" i="12"/>
  <c r="V192" i="12"/>
  <c r="V208" i="12"/>
  <c r="V216" i="12"/>
  <c r="V118" i="15"/>
  <c r="V122" i="15"/>
  <c r="V170" i="15"/>
  <c r="V182" i="15"/>
  <c r="V186" i="15"/>
  <c r="V202" i="15"/>
  <c r="V210" i="15"/>
  <c r="V212" i="15"/>
  <c r="J91" i="18"/>
  <c r="J95" i="18"/>
  <c r="J99" i="18"/>
  <c r="J103" i="18"/>
  <c r="J107" i="18"/>
  <c r="J111" i="18"/>
  <c r="J115" i="18"/>
  <c r="J119" i="18"/>
  <c r="J123" i="18"/>
  <c r="J127" i="18"/>
  <c r="J131" i="18"/>
  <c r="V160" i="18"/>
  <c r="N167" i="18"/>
  <c r="V176" i="18"/>
  <c r="J178" i="18"/>
  <c r="V184" i="18"/>
  <c r="V186" i="18"/>
  <c r="V200" i="18"/>
  <c r="V202" i="18"/>
  <c r="N213" i="18"/>
  <c r="V223" i="18"/>
  <c r="V225" i="18"/>
  <c r="V235" i="18"/>
  <c r="Z71" i="21"/>
  <c r="N87" i="24"/>
  <c r="L87" i="24"/>
  <c r="V81" i="12"/>
  <c r="V85" i="12"/>
  <c r="V89" i="12"/>
  <c r="V93" i="12"/>
  <c r="V97" i="12"/>
  <c r="V101" i="12"/>
  <c r="V105" i="12"/>
  <c r="V109" i="12"/>
  <c r="V113" i="12"/>
  <c r="V141" i="12"/>
  <c r="V149" i="12"/>
  <c r="V157" i="12"/>
  <c r="V165" i="12"/>
  <c r="V173" i="12"/>
  <c r="V181" i="12"/>
  <c r="V227" i="12"/>
  <c r="V127" i="15"/>
  <c r="V131" i="15"/>
  <c r="V135" i="15"/>
  <c r="V143" i="15"/>
  <c r="V151" i="15"/>
  <c r="V159" i="15"/>
  <c r="V167" i="15"/>
  <c r="V175" i="15"/>
  <c r="V187" i="15"/>
  <c r="V203" i="15"/>
  <c r="J90" i="18"/>
  <c r="V92" i="18"/>
  <c r="V96" i="18"/>
  <c r="V100" i="18"/>
  <c r="V104" i="18"/>
  <c r="V108" i="18"/>
  <c r="V112" i="18"/>
  <c r="V116" i="18"/>
  <c r="V120" i="18"/>
  <c r="V124" i="18"/>
  <c r="V128" i="18"/>
  <c r="V132" i="18"/>
  <c r="J140" i="18"/>
  <c r="J144" i="18"/>
  <c r="J156" i="18"/>
  <c r="X162" i="18"/>
  <c r="V164" i="18"/>
  <c r="J167" i="18"/>
  <c r="V172" i="18"/>
  <c r="V188" i="18"/>
  <c r="J191" i="18"/>
  <c r="L193" i="18"/>
  <c r="N193" i="18" s="1"/>
  <c r="J196" i="18"/>
  <c r="N210" i="18"/>
  <c r="V217" i="18"/>
  <c r="J227" i="18"/>
  <c r="V228" i="18"/>
  <c r="J237" i="18"/>
  <c r="L37" i="21"/>
  <c r="N37" i="21" s="1"/>
  <c r="X69" i="24"/>
  <c r="Z69" i="24"/>
  <c r="V192" i="15"/>
  <c r="V196" i="15"/>
  <c r="V208" i="15"/>
  <c r="N79" i="21"/>
  <c r="V163" i="12"/>
  <c r="V171" i="12"/>
  <c r="V191" i="12"/>
  <c r="V207" i="12"/>
  <c r="V117" i="15"/>
  <c r="V121" i="15"/>
  <c r="V125" i="15"/>
  <c r="V141" i="15"/>
  <c r="V149" i="15"/>
  <c r="V165" i="15"/>
  <c r="V185" i="15"/>
  <c r="V201" i="15"/>
  <c r="V209" i="15"/>
  <c r="D212" i="15"/>
  <c r="L212" i="15" s="1"/>
  <c r="N212" i="15" s="1"/>
  <c r="V197" i="18"/>
  <c r="V189" i="18"/>
  <c r="V181" i="18"/>
  <c r="V173" i="18"/>
  <c r="V165" i="18"/>
  <c r="V157" i="18"/>
  <c r="V153" i="18"/>
  <c r="V149" i="18"/>
  <c r="V244" i="18"/>
  <c r="V232" i="18"/>
  <c r="V231" i="18"/>
  <c r="V219" i="18"/>
  <c r="V215" i="18"/>
  <c r="V203" i="18"/>
  <c r="V191" i="18"/>
  <c r="V183" i="18"/>
  <c r="V167" i="18"/>
  <c r="V226" i="18"/>
  <c r="V210" i="18"/>
  <c r="V198" i="18"/>
  <c r="V190" i="18"/>
  <c r="V182" i="18"/>
  <c r="V174" i="18"/>
  <c r="V166" i="18"/>
  <c r="V158" i="18"/>
  <c r="V154" i="18"/>
  <c r="V150" i="18"/>
  <c r="V237" i="18"/>
  <c r="V227" i="18"/>
  <c r="V211" i="18"/>
  <c r="V199" i="18"/>
  <c r="V195" i="18"/>
  <c r="V175" i="18"/>
  <c r="V159" i="18"/>
  <c r="V155" i="18"/>
  <c r="V151" i="18"/>
  <c r="V238" i="18"/>
  <c r="V206" i="18"/>
  <c r="V194" i="18"/>
  <c r="V178" i="18"/>
  <c r="V170" i="18"/>
  <c r="V162" i="18"/>
  <c r="V146" i="18"/>
  <c r="V240" i="18"/>
  <c r="V212" i="18"/>
  <c r="V196" i="18"/>
  <c r="V180" i="18"/>
  <c r="V156" i="18"/>
  <c r="V152" i="18"/>
  <c r="J94" i="18"/>
  <c r="J98" i="18"/>
  <c r="J102" i="18"/>
  <c r="J106" i="18"/>
  <c r="J110" i="18"/>
  <c r="J114" i="18"/>
  <c r="J118" i="18"/>
  <c r="J122" i="18"/>
  <c r="J126" i="18"/>
  <c r="J130" i="18"/>
  <c r="H135" i="18"/>
  <c r="J147" i="18"/>
  <c r="V148" i="18"/>
  <c r="X149" i="18"/>
  <c r="Z149" i="18" s="1"/>
  <c r="N180" i="18"/>
  <c r="J183" i="18"/>
  <c r="L187" i="18"/>
  <c r="N187" i="18" s="1"/>
  <c r="J193" i="18"/>
  <c r="J209" i="18"/>
  <c r="J212" i="18"/>
  <c r="J224" i="18"/>
  <c r="J233" i="18"/>
  <c r="P235" i="18"/>
  <c r="X235" i="18" s="1"/>
  <c r="J86" i="21"/>
  <c r="T24" i="21"/>
  <c r="V24" i="21" s="1"/>
  <c r="Z19" i="21"/>
  <c r="X19" i="21"/>
  <c r="P12" i="24"/>
  <c r="X13" i="24"/>
  <c r="N91" i="27"/>
  <c r="L91" i="27"/>
  <c r="V104" i="12"/>
  <c r="V108" i="12"/>
  <c r="V112" i="12"/>
  <c r="V148" i="12"/>
  <c r="V164" i="12"/>
  <c r="V172" i="12"/>
  <c r="V180" i="12"/>
  <c r="V196" i="12"/>
  <c r="V126" i="15"/>
  <c r="V130" i="15"/>
  <c r="V134" i="15"/>
  <c r="V142" i="15"/>
  <c r="V150" i="15"/>
  <c r="V158" i="15"/>
  <c r="V166" i="15"/>
  <c r="V174" i="15"/>
  <c r="V220" i="15"/>
  <c r="V91" i="18"/>
  <c r="V95" i="18"/>
  <c r="V99" i="18"/>
  <c r="V103" i="18"/>
  <c r="V107" i="18"/>
  <c r="V111" i="18"/>
  <c r="V115" i="18"/>
  <c r="V119" i="18"/>
  <c r="V123" i="18"/>
  <c r="V127" i="18"/>
  <c r="V131" i="18"/>
  <c r="J135" i="18"/>
  <c r="J137" i="18"/>
  <c r="J139" i="18"/>
  <c r="J143" i="18"/>
  <c r="J153" i="18"/>
  <c r="Z167" i="18"/>
  <c r="Z191" i="18"/>
  <c r="Z213" i="18"/>
  <c r="V220" i="18"/>
  <c r="V222" i="18"/>
  <c r="J236" i="18"/>
  <c r="N57" i="21"/>
  <c r="V121" i="12"/>
  <c r="V125" i="12"/>
  <c r="V129" i="12"/>
  <c r="V145" i="12"/>
  <c r="X148" i="12"/>
  <c r="Z148" i="12" s="1"/>
  <c r="V153" i="12"/>
  <c r="X164" i="12"/>
  <c r="Z164" i="12" s="1"/>
  <c r="V169" i="12"/>
  <c r="X172" i="12"/>
  <c r="Z172" i="12" s="1"/>
  <c r="L178" i="12"/>
  <c r="V185" i="12"/>
  <c r="L194" i="12"/>
  <c r="N194" i="12" s="1"/>
  <c r="V197" i="12"/>
  <c r="V201" i="12"/>
  <c r="V205" i="12"/>
  <c r="L210" i="12"/>
  <c r="N210" i="12" s="1"/>
  <c r="V213" i="12"/>
  <c r="V223" i="12"/>
  <c r="V79" i="15"/>
  <c r="V83" i="15"/>
  <c r="V87" i="15"/>
  <c r="V91" i="15"/>
  <c r="V95" i="15"/>
  <c r="V99" i="15"/>
  <c r="V103" i="15"/>
  <c r="V107" i="15"/>
  <c r="V163" i="15"/>
  <c r="V179" i="15"/>
  <c r="V191" i="15"/>
  <c r="V195" i="15"/>
  <c r="V199" i="15"/>
  <c r="V207" i="15"/>
  <c r="J138" i="18"/>
  <c r="V140" i="18"/>
  <c r="V144" i="18"/>
  <c r="V169" i="18"/>
  <c r="J187" i="18"/>
  <c r="Z205" i="18"/>
  <c r="V207" i="18"/>
  <c r="V213" i="18"/>
  <c r="V224" i="18"/>
  <c r="V239" i="18"/>
  <c r="N27" i="21"/>
  <c r="L61" i="21"/>
  <c r="Z99" i="21"/>
  <c r="V130" i="12"/>
  <c r="V134" i="12"/>
  <c r="V138" i="12"/>
  <c r="V146" i="12"/>
  <c r="V154" i="12"/>
  <c r="V162" i="12"/>
  <c r="V170" i="12"/>
  <c r="V190" i="12"/>
  <c r="V222" i="12"/>
  <c r="V116" i="15"/>
  <c r="V120" i="15"/>
  <c r="V124" i="15"/>
  <c r="V140" i="15"/>
  <c r="V148" i="15"/>
  <c r="V156" i="15"/>
  <c r="V164" i="15"/>
  <c r="V184" i="15"/>
  <c r="V200" i="15"/>
  <c r="J93" i="18"/>
  <c r="J97" i="18"/>
  <c r="J101" i="18"/>
  <c r="J105" i="18"/>
  <c r="J109" i="18"/>
  <c r="J113" i="18"/>
  <c r="J117" i="18"/>
  <c r="J121" i="18"/>
  <c r="J125" i="18"/>
  <c r="J129" i="18"/>
  <c r="J133" i="18"/>
  <c r="V161" i="18"/>
  <c r="V171" i="18"/>
  <c r="V177" i="18"/>
  <c r="Z180" i="18"/>
  <c r="Z183" i="18"/>
  <c r="V185" i="18"/>
  <c r="Z193" i="18"/>
  <c r="X193" i="18"/>
  <c r="V201" i="18"/>
  <c r="V205" i="18"/>
  <c r="V229" i="18"/>
  <c r="V233" i="18"/>
  <c r="V67" i="21"/>
  <c r="Z79" i="21"/>
  <c r="V79" i="12"/>
  <c r="V83" i="12"/>
  <c r="V87" i="12"/>
  <c r="V91" i="12"/>
  <c r="V95" i="12"/>
  <c r="V99" i="12"/>
  <c r="V103" i="12"/>
  <c r="V107" i="12"/>
  <c r="V111" i="12"/>
  <c r="V167" i="12"/>
  <c r="V179" i="12"/>
  <c r="V195" i="12"/>
  <c r="V211" i="12"/>
  <c r="T112" i="15"/>
  <c r="V129" i="15"/>
  <c r="V133" i="15"/>
  <c r="V157" i="15"/>
  <c r="V173" i="15"/>
  <c r="V90" i="18"/>
  <c r="V94" i="18"/>
  <c r="V98" i="18"/>
  <c r="V102" i="18"/>
  <c r="V106" i="18"/>
  <c r="V110" i="18"/>
  <c r="V114" i="18"/>
  <c r="V118" i="18"/>
  <c r="V122" i="18"/>
  <c r="V126" i="18"/>
  <c r="V130" i="18"/>
  <c r="J142" i="18"/>
  <c r="J146" i="18"/>
  <c r="V147" i="18"/>
  <c r="J155" i="18"/>
  <c r="V163" i="18"/>
  <c r="X180" i="18"/>
  <c r="V193" i="18"/>
  <c r="V209" i="18"/>
  <c r="V216" i="18"/>
  <c r="V218" i="18"/>
  <c r="L223" i="18"/>
  <c r="L226" i="18"/>
  <c r="N226" i="18" s="1"/>
  <c r="J244" i="18"/>
  <c r="N65" i="21"/>
  <c r="N67" i="21"/>
  <c r="L86" i="21"/>
  <c r="N86" i="21" s="1"/>
  <c r="L83" i="27"/>
  <c r="N83" i="27" s="1"/>
  <c r="V21" i="21"/>
  <c r="J29" i="21"/>
  <c r="J33" i="21"/>
  <c r="V49" i="21"/>
  <c r="V61" i="21"/>
  <c r="J67" i="21"/>
  <c r="V77" i="21"/>
  <c r="J81" i="21"/>
  <c r="J87" i="21"/>
  <c r="J90" i="21"/>
  <c r="V95" i="21"/>
  <c r="J97" i="21"/>
  <c r="J100" i="21"/>
  <c r="J66" i="27"/>
  <c r="P12" i="30"/>
  <c r="X13" i="30"/>
  <c r="Z13" i="30" s="1"/>
  <c r="J37" i="21"/>
  <c r="V39" i="21"/>
  <c r="V43" i="21"/>
  <c r="V47" i="21"/>
  <c r="J55" i="21"/>
  <c r="V59" i="21"/>
  <c r="J65" i="21"/>
  <c r="V71" i="21"/>
  <c r="V75" i="21"/>
  <c r="D12" i="24"/>
  <c r="V26" i="24"/>
  <c r="V33" i="24"/>
  <c r="Z38" i="24"/>
  <c r="V61" i="24"/>
  <c r="V68" i="24"/>
  <c r="L81" i="27"/>
  <c r="N85" i="27"/>
  <c r="N93" i="27"/>
  <c r="J99" i="21"/>
  <c r="J104" i="21"/>
  <c r="J94" i="21"/>
  <c r="J95" i="21"/>
  <c r="V20" i="21"/>
  <c r="J24" i="21"/>
  <c r="J26" i="21"/>
  <c r="J28" i="21"/>
  <c r="J32" i="21"/>
  <c r="J36" i="21"/>
  <c r="V48" i="21"/>
  <c r="J54" i="21"/>
  <c r="V56" i="21"/>
  <c r="J64" i="21"/>
  <c r="V68" i="21"/>
  <c r="V76" i="21"/>
  <c r="J80" i="21"/>
  <c r="Z101" i="21"/>
  <c r="V51" i="24"/>
  <c r="N58" i="24"/>
  <c r="V63" i="24"/>
  <c r="V85" i="24"/>
  <c r="N81" i="27"/>
  <c r="Z126" i="30"/>
  <c r="X126" i="30"/>
  <c r="F129" i="30"/>
  <c r="F48" i="33"/>
  <c r="F44" i="33"/>
  <c r="F40" i="33"/>
  <c r="F39" i="33"/>
  <c r="D26" i="33"/>
  <c r="F71" i="33"/>
  <c r="F67" i="33"/>
  <c r="F66" i="33"/>
  <c r="F59" i="33"/>
  <c r="F58" i="33"/>
  <c r="F73" i="33"/>
  <c r="F72" i="33"/>
  <c r="F68" i="33"/>
  <c r="F60" i="33"/>
  <c r="F75" i="33"/>
  <c r="F74" i="33"/>
  <c r="F51" i="33"/>
  <c r="F50" i="33"/>
  <c r="F63" i="33"/>
  <c r="F55" i="33"/>
  <c r="F54" i="33"/>
  <c r="F47" i="33"/>
  <c r="F43" i="33"/>
  <c r="F34" i="33"/>
  <c r="F65" i="33"/>
  <c r="F61" i="33"/>
  <c r="F26" i="33"/>
  <c r="F52" i="33"/>
  <c r="F46" i="33"/>
  <c r="F70" i="33"/>
  <c r="F37" i="33"/>
  <c r="F32" i="33"/>
  <c r="F28" i="33"/>
  <c r="F56" i="33"/>
  <c r="F49" i="33"/>
  <c r="F29" i="33"/>
  <c r="F53" i="33"/>
  <c r="F41" i="33"/>
  <c r="F35" i="33"/>
  <c r="F30" i="33"/>
  <c r="F62" i="33"/>
  <c r="F78" i="33"/>
  <c r="F64" i="33"/>
  <c r="F57" i="33"/>
  <c r="F38" i="33"/>
  <c r="F33" i="33"/>
  <c r="L12" i="33"/>
  <c r="N12" i="33" s="1"/>
  <c r="F36" i="33"/>
  <c r="F31" i="33"/>
  <c r="F24" i="33"/>
  <c r="F69" i="33"/>
  <c r="F45" i="33"/>
  <c r="F82" i="33"/>
  <c r="J60" i="24"/>
  <c r="N60" i="24"/>
  <c r="J104" i="27"/>
  <c r="J102" i="27"/>
  <c r="J96" i="27"/>
  <c r="J109" i="27"/>
  <c r="J93" i="27"/>
  <c r="J85" i="27"/>
  <c r="J75" i="27"/>
  <c r="J71" i="27"/>
  <c r="J67" i="27"/>
  <c r="J99" i="27"/>
  <c r="J94" i="27"/>
  <c r="J86" i="27"/>
  <c r="J62" i="27"/>
  <c r="J58" i="27"/>
  <c r="J105" i="27"/>
  <c r="J49" i="27"/>
  <c r="J45" i="27"/>
  <c r="J41" i="27"/>
  <c r="J37" i="27"/>
  <c r="J76" i="27"/>
  <c r="J72" i="27"/>
  <c r="J68" i="27"/>
  <c r="J115" i="27"/>
  <c r="J110" i="27"/>
  <c r="J95" i="27"/>
  <c r="J87" i="27"/>
  <c r="J77" i="27"/>
  <c r="J63" i="27"/>
  <c r="J59" i="27"/>
  <c r="J106" i="27"/>
  <c r="J103" i="27"/>
  <c r="J100" i="27"/>
  <c r="J88" i="27"/>
  <c r="J78" i="27"/>
  <c r="J50" i="27"/>
  <c r="J46" i="27"/>
  <c r="J42" i="27"/>
  <c r="J38" i="27"/>
  <c r="J89" i="27"/>
  <c r="J79" i="27"/>
  <c r="J73" i="27"/>
  <c r="J69" i="27"/>
  <c r="J55" i="27"/>
  <c r="J111" i="27"/>
  <c r="J80" i="27"/>
  <c r="J64" i="27"/>
  <c r="J60" i="27"/>
  <c r="J56" i="27"/>
  <c r="J54" i="27"/>
  <c r="J108" i="27"/>
  <c r="J97" i="27"/>
  <c r="J81" i="27"/>
  <c r="H52" i="27"/>
  <c r="J52" i="27" s="1"/>
  <c r="J47" i="27"/>
  <c r="J43" i="27"/>
  <c r="J39" i="27"/>
  <c r="J101" i="27"/>
  <c r="J98" i="27"/>
  <c r="J91" i="27"/>
  <c r="J83" i="27"/>
  <c r="J65" i="27"/>
  <c r="J61" i="27"/>
  <c r="J57" i="27"/>
  <c r="J35" i="27"/>
  <c r="V86" i="24"/>
  <c r="V74" i="24"/>
  <c r="V46" i="24"/>
  <c r="V42" i="24"/>
  <c r="V38" i="24"/>
  <c r="V81" i="24"/>
  <c r="V65" i="24"/>
  <c r="V90" i="24"/>
  <c r="V88" i="24"/>
  <c r="V76" i="24"/>
  <c r="V56" i="24"/>
  <c r="V52" i="24"/>
  <c r="V48" i="24"/>
  <c r="T35" i="24"/>
  <c r="V75" i="24"/>
  <c r="V82" i="24"/>
  <c r="V66" i="24"/>
  <c r="V58" i="24"/>
  <c r="V77" i="24"/>
  <c r="V69" i="24"/>
  <c r="V57" i="24"/>
  <c r="V53" i="24"/>
  <c r="V49" i="24"/>
  <c r="V83" i="24"/>
  <c r="V79" i="24"/>
  <c r="V71" i="24"/>
  <c r="V59" i="24"/>
  <c r="V31" i="24"/>
  <c r="V27" i="24"/>
  <c r="V78" i="24"/>
  <c r="V70" i="24"/>
  <c r="V62" i="24"/>
  <c r="V54" i="24"/>
  <c r="V50" i="24"/>
  <c r="V80" i="24"/>
  <c r="V72" i="24"/>
  <c r="V64" i="24"/>
  <c r="V32" i="24"/>
  <c r="V28" i="24"/>
  <c r="V30" i="24"/>
  <c r="V19" i="21"/>
  <c r="J31" i="21"/>
  <c r="J35" i="21"/>
  <c r="J51" i="21"/>
  <c r="L52" i="21"/>
  <c r="N52" i="21" s="1"/>
  <c r="V55" i="21"/>
  <c r="J61" i="21"/>
  <c r="J83" i="21"/>
  <c r="L84" i="21"/>
  <c r="N84" i="21" s="1"/>
  <c r="V37" i="24"/>
  <c r="V43" i="24"/>
  <c r="L47" i="24"/>
  <c r="N47" i="24" s="1"/>
  <c r="N67" i="24"/>
  <c r="V73" i="24"/>
  <c r="J44" i="27"/>
  <c r="J90" i="27"/>
  <c r="N120" i="30"/>
  <c r="L120" i="30"/>
  <c r="V93" i="21"/>
  <c r="V89" i="21"/>
  <c r="V96" i="21"/>
  <c r="V99" i="21"/>
  <c r="V91" i="21"/>
  <c r="V101" i="21"/>
  <c r="V28" i="21"/>
  <c r="V32" i="21"/>
  <c r="V36" i="21"/>
  <c r="J40" i="21"/>
  <c r="J44" i="21"/>
  <c r="J50" i="21"/>
  <c r="J60" i="21"/>
  <c r="V64" i="21"/>
  <c r="J72" i="21"/>
  <c r="V80" i="21"/>
  <c r="V85" i="21"/>
  <c r="V86" i="21"/>
  <c r="X99" i="21"/>
  <c r="J102" i="21"/>
  <c r="V39" i="24"/>
  <c r="Z58" i="24"/>
  <c r="N62" i="24"/>
  <c r="L62" i="24"/>
  <c r="J48" i="27"/>
  <c r="J74" i="27"/>
  <c r="X77" i="27"/>
  <c r="Z77" i="27" s="1"/>
  <c r="J82" i="27"/>
  <c r="L152" i="30"/>
  <c r="N152" i="30" s="1"/>
  <c r="V65" i="21"/>
  <c r="J71" i="21"/>
  <c r="V73" i="21"/>
  <c r="J77" i="21"/>
  <c r="J98" i="21"/>
  <c r="J108" i="21"/>
  <c r="V25" i="24"/>
  <c r="V41" i="24"/>
  <c r="V45" i="24"/>
  <c r="V55" i="24"/>
  <c r="V60" i="24"/>
  <c r="D12" i="27"/>
  <c r="J84" i="27"/>
  <c r="J92" i="27"/>
  <c r="V22" i="21"/>
  <c r="V26" i="21"/>
  <c r="J30" i="21"/>
  <c r="J34" i="21"/>
  <c r="J48" i="21"/>
  <c r="V54" i="21"/>
  <c r="J58" i="21"/>
  <c r="V62" i="21"/>
  <c r="J70" i="21"/>
  <c r="J76" i="21"/>
  <c r="V78" i="21"/>
  <c r="J82" i="21"/>
  <c r="J88" i="21"/>
  <c r="J91" i="21"/>
  <c r="V92" i="21"/>
  <c r="V104" i="21"/>
  <c r="V35" i="24"/>
  <c r="N64" i="24"/>
  <c r="V94" i="24"/>
  <c r="P12" i="27"/>
  <c r="Z115" i="30"/>
  <c r="N101" i="21"/>
  <c r="V29" i="24"/>
  <c r="V67" i="24"/>
  <c r="V84" i="24"/>
  <c r="N35" i="27"/>
  <c r="N98" i="27"/>
  <c r="L108" i="27"/>
  <c r="N108" i="27" s="1"/>
  <c r="F153" i="30"/>
  <c r="F152" i="30"/>
  <c r="F121" i="30"/>
  <c r="F120" i="30"/>
  <c r="F113" i="30"/>
  <c r="F112" i="30"/>
  <c r="F101" i="30"/>
  <c r="F100" i="30"/>
  <c r="F73" i="30"/>
  <c r="F69" i="30"/>
  <c r="F65" i="30"/>
  <c r="F61" i="30"/>
  <c r="F57" i="30"/>
  <c r="F53" i="30"/>
  <c r="F52" i="30"/>
  <c r="F136" i="30"/>
  <c r="F96" i="30"/>
  <c r="F92" i="30"/>
  <c r="F167" i="30"/>
  <c r="F155" i="30"/>
  <c r="F154" i="30"/>
  <c r="F147" i="30"/>
  <c r="F143" i="30"/>
  <c r="F131" i="30"/>
  <c r="F123" i="30"/>
  <c r="F122" i="30"/>
  <c r="F103" i="30"/>
  <c r="F102" i="30"/>
  <c r="F87" i="30"/>
  <c r="F83" i="30"/>
  <c r="F138" i="30"/>
  <c r="F137" i="30"/>
  <c r="F114" i="30"/>
  <c r="F74" i="30"/>
  <c r="F70" i="30"/>
  <c r="F66" i="30"/>
  <c r="F62" i="30"/>
  <c r="F58" i="30"/>
  <c r="F54" i="30"/>
  <c r="F125" i="30"/>
  <c r="F124" i="30"/>
  <c r="F105" i="30"/>
  <c r="F104" i="30"/>
  <c r="F97" i="30"/>
  <c r="F93" i="30"/>
  <c r="F156" i="30"/>
  <c r="F148" i="30"/>
  <c r="F144" i="30"/>
  <c r="F132" i="30"/>
  <c r="F116" i="30"/>
  <c r="F115" i="30"/>
  <c r="F88" i="30"/>
  <c r="F84" i="30"/>
  <c r="F80" i="30"/>
  <c r="F79" i="30"/>
  <c r="F139" i="30"/>
  <c r="F127" i="30"/>
  <c r="F126" i="30"/>
  <c r="F107" i="30"/>
  <c r="F158" i="30"/>
  <c r="F157" i="30"/>
  <c r="F150" i="30"/>
  <c r="F149" i="30"/>
  <c r="F134" i="30"/>
  <c r="F133" i="30"/>
  <c r="F98" i="30"/>
  <c r="F94" i="30"/>
  <c r="F90" i="30"/>
  <c r="F89" i="30"/>
  <c r="D76" i="30"/>
  <c r="F145" i="30"/>
  <c r="F141" i="30"/>
  <c r="F140" i="30"/>
  <c r="F117" i="30"/>
  <c r="F109" i="30"/>
  <c r="F108" i="30"/>
  <c r="F85" i="30"/>
  <c r="F81" i="30"/>
  <c r="F162" i="30"/>
  <c r="F160" i="30"/>
  <c r="F151" i="30"/>
  <c r="F135" i="30"/>
  <c r="F119" i="30"/>
  <c r="F118" i="30"/>
  <c r="F111" i="30"/>
  <c r="F110" i="30"/>
  <c r="F99" i="30"/>
  <c r="F95" i="30"/>
  <c r="F91" i="30"/>
  <c r="F56" i="30"/>
  <c r="F67" i="30"/>
  <c r="F130" i="30"/>
  <c r="F128" i="30"/>
  <c r="F63" i="30"/>
  <c r="F161" i="30"/>
  <c r="F106" i="30"/>
  <c r="F86" i="30"/>
  <c r="F72" i="30"/>
  <c r="F146" i="30"/>
  <c r="F59" i="30"/>
  <c r="L12" i="30"/>
  <c r="F163" i="30"/>
  <c r="F78" i="30"/>
  <c r="F68" i="30"/>
  <c r="F55" i="30"/>
  <c r="F64" i="30"/>
  <c r="F76" i="30"/>
  <c r="F60" i="30"/>
  <c r="X52" i="30"/>
  <c r="Z52" i="30" s="1"/>
  <c r="J40" i="24"/>
  <c r="J44" i="24"/>
  <c r="J58" i="24"/>
  <c r="J68" i="24"/>
  <c r="J94" i="24"/>
  <c r="V37" i="27"/>
  <c r="V41" i="27"/>
  <c r="V45" i="27"/>
  <c r="V49" i="27"/>
  <c r="Z55" i="27"/>
  <c r="V77" i="27"/>
  <c r="Z79" i="27"/>
  <c r="V99" i="27"/>
  <c r="V89" i="30"/>
  <c r="V97" i="30"/>
  <c r="N118" i="30"/>
  <c r="X124" i="30"/>
  <c r="Z124" i="30" s="1"/>
  <c r="V133" i="30"/>
  <c r="V147" i="30"/>
  <c r="V149" i="30"/>
  <c r="N154" i="30"/>
  <c r="R125" i="36"/>
  <c r="N115" i="39"/>
  <c r="L115" i="39"/>
  <c r="J26" i="24"/>
  <c r="J30" i="24"/>
  <c r="H35" i="24"/>
  <c r="J35" i="24" s="1"/>
  <c r="J66" i="24"/>
  <c r="J76" i="24"/>
  <c r="J82" i="24"/>
  <c r="J90" i="24"/>
  <c r="V67" i="27"/>
  <c r="V71" i="27"/>
  <c r="V75" i="27"/>
  <c r="V103" i="30"/>
  <c r="V115" i="30"/>
  <c r="Z118" i="30"/>
  <c r="Z120" i="30"/>
  <c r="Z122" i="30"/>
  <c r="N160" i="30"/>
  <c r="J24" i="33"/>
  <c r="H26" i="33"/>
  <c r="N24" i="33"/>
  <c r="L24" i="33"/>
  <c r="R39" i="36"/>
  <c r="J25" i="24"/>
  <c r="J37" i="24"/>
  <c r="J39" i="24"/>
  <c r="J43" i="24"/>
  <c r="J75" i="24"/>
  <c r="V110" i="27"/>
  <c r="V101" i="27"/>
  <c r="V104" i="27"/>
  <c r="V108" i="27"/>
  <c r="V106" i="27"/>
  <c r="V36" i="27"/>
  <c r="V40" i="27"/>
  <c r="V44" i="27"/>
  <c r="V48" i="27"/>
  <c r="V84" i="27"/>
  <c r="V92" i="27"/>
  <c r="V79" i="30"/>
  <c r="Z154" i="30"/>
  <c r="D12" i="36"/>
  <c r="V125" i="30"/>
  <c r="J65" i="24"/>
  <c r="J81" i="24"/>
  <c r="J87" i="24"/>
  <c r="V66" i="27"/>
  <c r="V82" i="27"/>
  <c r="V90" i="27"/>
  <c r="L96" i="27"/>
  <c r="N96" i="27" s="1"/>
  <c r="V97" i="27"/>
  <c r="Z108" i="27"/>
  <c r="L110" i="30"/>
  <c r="N110" i="30" s="1"/>
  <c r="N112" i="30"/>
  <c r="Z129" i="30"/>
  <c r="X13" i="33"/>
  <c r="Z13" i="33" s="1"/>
  <c r="P12" i="33"/>
  <c r="X66" i="27"/>
  <c r="Z66" i="27" s="1"/>
  <c r="L88" i="27"/>
  <c r="L105" i="27"/>
  <c r="V156" i="30"/>
  <c r="V148" i="30"/>
  <c r="V144" i="30"/>
  <c r="V140" i="30"/>
  <c r="V132" i="30"/>
  <c r="V116" i="30"/>
  <c r="V108" i="30"/>
  <c r="V88" i="30"/>
  <c r="V84" i="30"/>
  <c r="V80" i="30"/>
  <c r="V139" i="30"/>
  <c r="V127" i="30"/>
  <c r="V107" i="30"/>
  <c r="V71" i="30"/>
  <c r="V67" i="30"/>
  <c r="V63" i="30"/>
  <c r="V59" i="30"/>
  <c r="V55" i="30"/>
  <c r="V160" i="30"/>
  <c r="V158" i="30"/>
  <c r="V150" i="30"/>
  <c r="V134" i="30"/>
  <c r="V118" i="30"/>
  <c r="V110" i="30"/>
  <c r="V98" i="30"/>
  <c r="V94" i="30"/>
  <c r="V90" i="30"/>
  <c r="V161" i="30"/>
  <c r="V145" i="30"/>
  <c r="V141" i="30"/>
  <c r="V129" i="30"/>
  <c r="V117" i="30"/>
  <c r="V109" i="30"/>
  <c r="V85" i="30"/>
  <c r="V81" i="30"/>
  <c r="V162" i="30"/>
  <c r="V152" i="30"/>
  <c r="V128" i="30"/>
  <c r="V120" i="30"/>
  <c r="V112" i="30"/>
  <c r="V100" i="30"/>
  <c r="V72" i="30"/>
  <c r="V68" i="30"/>
  <c r="V64" i="30"/>
  <c r="V60" i="30"/>
  <c r="V56" i="30"/>
  <c r="V52" i="30"/>
  <c r="V163" i="30"/>
  <c r="V151" i="30"/>
  <c r="V135" i="30"/>
  <c r="V119" i="30"/>
  <c r="V111" i="30"/>
  <c r="V99" i="30"/>
  <c r="V95" i="30"/>
  <c r="V91" i="30"/>
  <c r="V154" i="30"/>
  <c r="V146" i="30"/>
  <c r="V142" i="30"/>
  <c r="V130" i="30"/>
  <c r="V122" i="30"/>
  <c r="V153" i="30"/>
  <c r="V137" i="30"/>
  <c r="V121" i="30"/>
  <c r="V113" i="30"/>
  <c r="V101" i="30"/>
  <c r="V73" i="30"/>
  <c r="V69" i="30"/>
  <c r="V65" i="30"/>
  <c r="V61" i="30"/>
  <c r="V57" i="30"/>
  <c r="V53" i="30"/>
  <c r="V136" i="30"/>
  <c r="V124" i="30"/>
  <c r="V104" i="30"/>
  <c r="V96" i="30"/>
  <c r="V92" i="30"/>
  <c r="V138" i="30"/>
  <c r="V126" i="30"/>
  <c r="V114" i="30"/>
  <c r="V106" i="30"/>
  <c r="V78" i="30"/>
  <c r="V74" i="30"/>
  <c r="V70" i="30"/>
  <c r="V66" i="30"/>
  <c r="V62" i="30"/>
  <c r="V58" i="30"/>
  <c r="V54" i="30"/>
  <c r="V83" i="30"/>
  <c r="N100" i="30"/>
  <c r="N102" i="30"/>
  <c r="V123" i="30"/>
  <c r="Z78" i="30"/>
  <c r="V143" i="30"/>
  <c r="V155" i="30"/>
  <c r="V157" i="30"/>
  <c r="Z29" i="33"/>
  <c r="X29" i="33"/>
  <c r="J28" i="24"/>
  <c r="J32" i="24"/>
  <c r="J62" i="24"/>
  <c r="J72" i="24"/>
  <c r="J80" i="24"/>
  <c r="L13" i="27"/>
  <c r="N13" i="27" s="1"/>
  <c r="T52" i="27"/>
  <c r="V69" i="27"/>
  <c r="V73" i="27"/>
  <c r="V81" i="27"/>
  <c r="V89" i="27"/>
  <c r="V111" i="27"/>
  <c r="X78" i="30"/>
  <c r="V86" i="30"/>
  <c r="L89" i="30"/>
  <c r="X104" i="30"/>
  <c r="Z104" i="30" s="1"/>
  <c r="Z110" i="30"/>
  <c r="Z112" i="30"/>
  <c r="N39" i="33"/>
  <c r="R118" i="36"/>
  <c r="R117" i="36"/>
  <c r="R105" i="36"/>
  <c r="R101" i="36"/>
  <c r="R78" i="36"/>
  <c r="R77" i="36"/>
  <c r="R66" i="36"/>
  <c r="R65" i="36"/>
  <c r="R58" i="36"/>
  <c r="R57" i="36"/>
  <c r="R49" i="36"/>
  <c r="R45" i="36"/>
  <c r="R22" i="36"/>
  <c r="R97" i="36"/>
  <c r="R96" i="36"/>
  <c r="R85" i="36"/>
  <c r="R84" i="36"/>
  <c r="R41" i="36"/>
  <c r="R40" i="36"/>
  <c r="R36" i="36"/>
  <c r="R32" i="36"/>
  <c r="R119" i="36"/>
  <c r="R112" i="36"/>
  <c r="R111" i="36"/>
  <c r="R91" i="36"/>
  <c r="R80" i="36"/>
  <c r="R79" i="36"/>
  <c r="R68" i="36"/>
  <c r="R67" i="36"/>
  <c r="R59" i="36"/>
  <c r="R23" i="36"/>
  <c r="R106" i="36"/>
  <c r="R102" i="36"/>
  <c r="R98" i="36"/>
  <c r="R86" i="36"/>
  <c r="R50" i="36"/>
  <c r="R46" i="36"/>
  <c r="R42" i="36"/>
  <c r="R122" i="36"/>
  <c r="R114" i="36"/>
  <c r="R113" i="36"/>
  <c r="R81" i="36"/>
  <c r="R70" i="36"/>
  <c r="R69" i="36"/>
  <c r="R37" i="36"/>
  <c r="R33" i="36"/>
  <c r="R92" i="36"/>
  <c r="R60" i="36"/>
  <c r="R24" i="36"/>
  <c r="X12" i="36"/>
  <c r="R129" i="36"/>
  <c r="R123" i="36"/>
  <c r="R115" i="36"/>
  <c r="R107" i="36"/>
  <c r="R103" i="36"/>
  <c r="R99" i="36"/>
  <c r="R88" i="36"/>
  <c r="R87" i="36"/>
  <c r="R72" i="36"/>
  <c r="R71" i="36"/>
  <c r="R124" i="36"/>
  <c r="R94" i="36"/>
  <c r="R93" i="36"/>
  <c r="R89" i="36"/>
  <c r="R74" i="36"/>
  <c r="R73" i="36"/>
  <c r="R62" i="36"/>
  <c r="R61" i="36"/>
  <c r="R54" i="36"/>
  <c r="R53" i="36"/>
  <c r="R30" i="36"/>
  <c r="R25" i="36"/>
  <c r="R116" i="36"/>
  <c r="R109" i="36"/>
  <c r="R108" i="36"/>
  <c r="R104" i="36"/>
  <c r="R100" i="36"/>
  <c r="R48" i="36"/>
  <c r="R44" i="36"/>
  <c r="R29" i="36"/>
  <c r="R63" i="36"/>
  <c r="R56" i="36"/>
  <c r="R35" i="36"/>
  <c r="R31" i="36"/>
  <c r="R110" i="36"/>
  <c r="R95" i="36"/>
  <c r="R82" i="36"/>
  <c r="R76" i="36"/>
  <c r="R90" i="36"/>
  <c r="R52" i="36"/>
  <c r="R64" i="36"/>
  <c r="R38" i="36"/>
  <c r="R83" i="36"/>
  <c r="R34" i="36"/>
  <c r="R75" i="36"/>
  <c r="R43" i="36"/>
  <c r="P27" i="36"/>
  <c r="Z41" i="39"/>
  <c r="X76" i="24"/>
  <c r="Z76" i="24" s="1"/>
  <c r="X90" i="24"/>
  <c r="X81" i="27"/>
  <c r="Z81" i="27" s="1"/>
  <c r="H76" i="30"/>
  <c r="N52" i="30"/>
  <c r="N89" i="30"/>
  <c r="Z106" i="30"/>
  <c r="J70" i="24"/>
  <c r="J78" i="24"/>
  <c r="J84" i="24"/>
  <c r="L52" i="30"/>
  <c r="V102" i="30"/>
  <c r="Z56" i="33"/>
  <c r="J52" i="30"/>
  <c r="J82" i="30"/>
  <c r="J86" i="30"/>
  <c r="J100" i="30"/>
  <c r="J112" i="30"/>
  <c r="J120" i="30"/>
  <c r="J130" i="30"/>
  <c r="J142" i="30"/>
  <c r="J146" i="30"/>
  <c r="J152" i="30"/>
  <c r="J163" i="30"/>
  <c r="V37" i="33"/>
  <c r="V56" i="33"/>
  <c r="X61" i="33"/>
  <c r="Z61" i="33" s="1"/>
  <c r="Z66" i="33"/>
  <c r="X66" i="33"/>
  <c r="V129" i="36"/>
  <c r="V112" i="36"/>
  <c r="V96" i="36"/>
  <c r="V84" i="36"/>
  <c r="V80" i="36"/>
  <c r="V68" i="36"/>
  <c r="V40" i="36"/>
  <c r="V36" i="36"/>
  <c r="V32" i="36"/>
  <c r="V119" i="36"/>
  <c r="V111" i="36"/>
  <c r="V91" i="36"/>
  <c r="V79" i="36"/>
  <c r="V67" i="36"/>
  <c r="V59" i="36"/>
  <c r="V23" i="36"/>
  <c r="V121" i="36"/>
  <c r="V114" i="36"/>
  <c r="V106" i="36"/>
  <c r="V102" i="36"/>
  <c r="V98" i="36"/>
  <c r="V86" i="36"/>
  <c r="V70" i="36"/>
  <c r="V50" i="36"/>
  <c r="V46" i="36"/>
  <c r="V42" i="36"/>
  <c r="V122" i="36"/>
  <c r="V113" i="36"/>
  <c r="V81" i="36"/>
  <c r="V69" i="36"/>
  <c r="V37" i="36"/>
  <c r="V33" i="36"/>
  <c r="V92" i="36"/>
  <c r="V88" i="36"/>
  <c r="V72" i="36"/>
  <c r="V60" i="36"/>
  <c r="V52" i="36"/>
  <c r="V24" i="36"/>
  <c r="Z12" i="36"/>
  <c r="V123" i="36"/>
  <c r="V115" i="36"/>
  <c r="V107" i="36"/>
  <c r="V103" i="36"/>
  <c r="V99" i="36"/>
  <c r="V87" i="36"/>
  <c r="V71" i="36"/>
  <c r="V51" i="36"/>
  <c r="V47" i="36"/>
  <c r="V43" i="36"/>
  <c r="V94" i="36"/>
  <c r="V82" i="36"/>
  <c r="V74" i="36"/>
  <c r="V62" i="36"/>
  <c r="V124" i="36"/>
  <c r="V109" i="36"/>
  <c r="V93" i="36"/>
  <c r="V89" i="36"/>
  <c r="V116" i="36"/>
  <c r="V108" i="36"/>
  <c r="V104" i="36"/>
  <c r="V100" i="36"/>
  <c r="V76" i="36"/>
  <c r="V64" i="36"/>
  <c r="V56" i="36"/>
  <c r="V48" i="36"/>
  <c r="V44" i="36"/>
  <c r="T27" i="36"/>
  <c r="V95" i="36"/>
  <c r="V83" i="36"/>
  <c r="V75" i="36"/>
  <c r="V63" i="36"/>
  <c r="V55" i="36"/>
  <c r="V39" i="36"/>
  <c r="V35" i="36"/>
  <c r="V31" i="36"/>
  <c r="V41" i="36"/>
  <c r="V53" i="36"/>
  <c r="V65" i="36"/>
  <c r="V73" i="36"/>
  <c r="D121" i="36"/>
  <c r="L121" i="36" s="1"/>
  <c r="N121" i="36" s="1"/>
  <c r="V125" i="36"/>
  <c r="Z28" i="42"/>
  <c r="N12" i="30"/>
  <c r="J56" i="30"/>
  <c r="J60" i="30"/>
  <c r="J64" i="30"/>
  <c r="J68" i="30"/>
  <c r="J72" i="30"/>
  <c r="J110" i="30"/>
  <c r="J118" i="30"/>
  <c r="J128" i="30"/>
  <c r="J160" i="30"/>
  <c r="J161" i="30"/>
  <c r="T26" i="33"/>
  <c r="V29" i="33"/>
  <c r="V48" i="33"/>
  <c r="V52" i="33"/>
  <c r="N54" i="33"/>
  <c r="V61" i="33"/>
  <c r="V65" i="33"/>
  <c r="J50" i="36"/>
  <c r="L68" i="36"/>
  <c r="V77" i="36"/>
  <c r="V101" i="36"/>
  <c r="F114" i="39"/>
  <c r="F102" i="39"/>
  <c r="F98" i="39"/>
  <c r="F74" i="39"/>
  <c r="F73" i="39"/>
  <c r="F26" i="39"/>
  <c r="F116" i="39"/>
  <c r="F115" i="39"/>
  <c r="F108" i="39"/>
  <c r="F88" i="39"/>
  <c r="F76" i="39"/>
  <c r="F75" i="39"/>
  <c r="F40" i="39"/>
  <c r="F36" i="39"/>
  <c r="F32" i="39"/>
  <c r="F31" i="39"/>
  <c r="F103" i="39"/>
  <c r="F99" i="39"/>
  <c r="F95" i="39"/>
  <c r="F94" i="39"/>
  <c r="F83" i="39"/>
  <c r="F82" i="39"/>
  <c r="F67" i="39"/>
  <c r="F66" i="39"/>
  <c r="F59" i="39"/>
  <c r="F58" i="39"/>
  <c r="F30" i="39"/>
  <c r="F119" i="39"/>
  <c r="F110" i="39"/>
  <c r="F109" i="39"/>
  <c r="F78" i="39"/>
  <c r="F77" i="39"/>
  <c r="F50" i="39"/>
  <c r="F46" i="39"/>
  <c r="F42" i="39"/>
  <c r="F41" i="39"/>
  <c r="F120" i="39"/>
  <c r="F118" i="39"/>
  <c r="F89" i="39"/>
  <c r="F37" i="39"/>
  <c r="F33" i="39"/>
  <c r="F121" i="39"/>
  <c r="F112" i="39"/>
  <c r="F111" i="39"/>
  <c r="F104" i="39"/>
  <c r="F100" i="39"/>
  <c r="F96" i="39"/>
  <c r="F122" i="39"/>
  <c r="F79" i="39"/>
  <c r="F51" i="39"/>
  <c r="F47" i="39"/>
  <c r="F43" i="39"/>
  <c r="F90" i="39"/>
  <c r="F86" i="39"/>
  <c r="F85" i="39"/>
  <c r="F70" i="39"/>
  <c r="F69" i="39"/>
  <c r="F38" i="39"/>
  <c r="F34" i="39"/>
  <c r="F126" i="39"/>
  <c r="F92" i="39"/>
  <c r="F91" i="39"/>
  <c r="F80" i="39"/>
  <c r="F72" i="39"/>
  <c r="F71" i="39"/>
  <c r="F48" i="39"/>
  <c r="F44" i="39"/>
  <c r="F107" i="39"/>
  <c r="F101" i="39"/>
  <c r="F84" i="39"/>
  <c r="F57" i="39"/>
  <c r="F24" i="39"/>
  <c r="F105" i="39"/>
  <c r="F64" i="39"/>
  <c r="F52" i="39"/>
  <c r="F39" i="39"/>
  <c r="F35" i="39"/>
  <c r="F62" i="39"/>
  <c r="F60" i="39"/>
  <c r="F55" i="39"/>
  <c r="F65" i="39"/>
  <c r="F53" i="39"/>
  <c r="D28" i="39"/>
  <c r="F28" i="39" s="1"/>
  <c r="F25" i="39"/>
  <c r="F106" i="39"/>
  <c r="F97" i="39"/>
  <c r="F87" i="39"/>
  <c r="F68" i="39"/>
  <c r="L12" i="39"/>
  <c r="N12" i="39" s="1"/>
  <c r="F93" i="39"/>
  <c r="F63" i="39"/>
  <c r="F56" i="39"/>
  <c r="F49" i="39"/>
  <c r="F81" i="39"/>
  <c r="F61" i="39"/>
  <c r="F45" i="39"/>
  <c r="F23" i="39"/>
  <c r="J81" i="30"/>
  <c r="J85" i="30"/>
  <c r="J109" i="30"/>
  <c r="J117" i="30"/>
  <c r="J141" i="30"/>
  <c r="J145" i="30"/>
  <c r="X22" i="36"/>
  <c r="X30" i="36"/>
  <c r="L52" i="36"/>
  <c r="L80" i="36"/>
  <c r="N80" i="36" s="1"/>
  <c r="J150" i="30"/>
  <c r="J158" i="30"/>
  <c r="N50" i="33"/>
  <c r="Z22" i="36"/>
  <c r="Z30" i="36"/>
  <c r="N52" i="36"/>
  <c r="N75" i="39"/>
  <c r="L75" i="39"/>
  <c r="J89" i="30"/>
  <c r="J107" i="30"/>
  <c r="J127" i="30"/>
  <c r="J133" i="30"/>
  <c r="J139" i="30"/>
  <c r="J149" i="30"/>
  <c r="J157" i="30"/>
  <c r="P160" i="30"/>
  <c r="X160" i="30" s="1"/>
  <c r="Z160" i="30" s="1"/>
  <c r="V77" i="33"/>
  <c r="V75" i="33"/>
  <c r="V51" i="33"/>
  <c r="V78" i="33"/>
  <c r="V62" i="33"/>
  <c r="V54" i="33"/>
  <c r="V46" i="33"/>
  <c r="V42" i="33"/>
  <c r="V69" i="33"/>
  <c r="V64" i="33"/>
  <c r="V63" i="33"/>
  <c r="V82" i="33"/>
  <c r="V70" i="33"/>
  <c r="V66" i="33"/>
  <c r="V58" i="33"/>
  <c r="V38" i="33"/>
  <c r="V34" i="33"/>
  <c r="V30" i="33"/>
  <c r="V71" i="33"/>
  <c r="V67" i="33"/>
  <c r="V59" i="33"/>
  <c r="V74" i="33"/>
  <c r="V50" i="33"/>
  <c r="V39" i="33"/>
  <c r="J50" i="33"/>
  <c r="V60" i="33"/>
  <c r="N64" i="33"/>
  <c r="V22" i="36"/>
  <c r="V30" i="36"/>
  <c r="J52" i="36"/>
  <c r="N72" i="36"/>
  <c r="J82" i="36"/>
  <c r="N97" i="36"/>
  <c r="Z109" i="36"/>
  <c r="L73" i="39"/>
  <c r="N73" i="39" s="1"/>
  <c r="J76" i="30"/>
  <c r="J78" i="30"/>
  <c r="J80" i="30"/>
  <c r="J84" i="30"/>
  <c r="J88" i="30"/>
  <c r="J106" i="30"/>
  <c r="J116" i="30"/>
  <c r="J126" i="30"/>
  <c r="J132" i="30"/>
  <c r="J144" i="30"/>
  <c r="J148" i="30"/>
  <c r="J156" i="30"/>
  <c r="L157" i="30"/>
  <c r="N157" i="30" s="1"/>
  <c r="V24" i="33"/>
  <c r="V47" i="33"/>
  <c r="J37" i="36"/>
  <c r="Z62" i="36"/>
  <c r="Z66" i="36"/>
  <c r="J72" i="36"/>
  <c r="N112" i="36"/>
  <c r="Z118" i="36"/>
  <c r="P12" i="45"/>
  <c r="X13" i="45"/>
  <c r="J79" i="30"/>
  <c r="J93" i="30"/>
  <c r="J97" i="30"/>
  <c r="J105" i="30"/>
  <c r="J115" i="30"/>
  <c r="X120" i="30"/>
  <c r="J125" i="30"/>
  <c r="L126" i="30"/>
  <c r="N126" i="30" s="1"/>
  <c r="V33" i="33"/>
  <c r="V44" i="33"/>
  <c r="X58" i="33"/>
  <c r="Z58" i="33" s="1"/>
  <c r="Z64" i="33"/>
  <c r="L14" i="36"/>
  <c r="Z29" i="36"/>
  <c r="X54" i="36"/>
  <c r="V66" i="36"/>
  <c r="J93" i="36"/>
  <c r="V118" i="36"/>
  <c r="P118" i="39"/>
  <c r="X118" i="39" s="1"/>
  <c r="Z118" i="39" s="1"/>
  <c r="X120" i="39"/>
  <c r="Z120" i="39" s="1"/>
  <c r="J54" i="30"/>
  <c r="J58" i="30"/>
  <c r="J62" i="30"/>
  <c r="J66" i="30"/>
  <c r="J70" i="30"/>
  <c r="J74" i="30"/>
  <c r="J104" i="30"/>
  <c r="J114" i="30"/>
  <c r="J124" i="30"/>
  <c r="J138" i="30"/>
  <c r="V35" i="33"/>
  <c r="V57" i="33"/>
  <c r="J77" i="33"/>
  <c r="V25" i="36"/>
  <c r="V29" i="36"/>
  <c r="Z54" i="36"/>
  <c r="X58" i="36"/>
  <c r="J61" i="36"/>
  <c r="Z74" i="36"/>
  <c r="Z78" i="36"/>
  <c r="N88" i="36"/>
  <c r="V90" i="36"/>
  <c r="V97" i="36"/>
  <c r="V105" i="36"/>
  <c r="F54" i="39"/>
  <c r="J83" i="30"/>
  <c r="J87" i="30"/>
  <c r="J103" i="30"/>
  <c r="J123" i="30"/>
  <c r="J131" i="30"/>
  <c r="J137" i="30"/>
  <c r="J143" i="30"/>
  <c r="J147" i="30"/>
  <c r="J155" i="30"/>
  <c r="J167" i="30"/>
  <c r="V41" i="33"/>
  <c r="V68" i="33"/>
  <c r="N41" i="36"/>
  <c r="V54" i="36"/>
  <c r="Z58" i="36"/>
  <c r="J69" i="36"/>
  <c r="V78" i="36"/>
  <c r="V110" i="36"/>
  <c r="J92" i="30"/>
  <c r="J96" i="30"/>
  <c r="J102" i="30"/>
  <c r="J122" i="30"/>
  <c r="J136" i="30"/>
  <c r="L39" i="33"/>
  <c r="V53" i="33"/>
  <c r="Z72" i="33"/>
  <c r="J124" i="36"/>
  <c r="J116" i="36"/>
  <c r="J108" i="36"/>
  <c r="J104" i="36"/>
  <c r="J100" i="36"/>
  <c r="J94" i="36"/>
  <c r="J74" i="36"/>
  <c r="J62" i="36"/>
  <c r="J54" i="36"/>
  <c r="J48" i="36"/>
  <c r="J44" i="36"/>
  <c r="J30" i="36"/>
  <c r="J109" i="36"/>
  <c r="J95" i="36"/>
  <c r="J83" i="36"/>
  <c r="J75" i="36"/>
  <c r="J63" i="36"/>
  <c r="J55" i="36"/>
  <c r="J39" i="36"/>
  <c r="J35" i="36"/>
  <c r="J31" i="36"/>
  <c r="J29" i="36"/>
  <c r="J125" i="36"/>
  <c r="J110" i="36"/>
  <c r="J90" i="36"/>
  <c r="J76" i="36"/>
  <c r="J64" i="36"/>
  <c r="J56" i="36"/>
  <c r="H27" i="36"/>
  <c r="J117" i="36"/>
  <c r="J105" i="36"/>
  <c r="J101" i="36"/>
  <c r="J77" i="36"/>
  <c r="J65" i="36"/>
  <c r="J57" i="36"/>
  <c r="J49" i="36"/>
  <c r="J45" i="36"/>
  <c r="J118" i="36"/>
  <c r="J96" i="36"/>
  <c r="J84" i="36"/>
  <c r="J78" i="36"/>
  <c r="J66" i="36"/>
  <c r="J58" i="36"/>
  <c r="J40" i="36"/>
  <c r="J36" i="36"/>
  <c r="J32" i="36"/>
  <c r="J22" i="36"/>
  <c r="J119" i="36"/>
  <c r="J111" i="36"/>
  <c r="J97" i="36"/>
  <c r="J91" i="36"/>
  <c r="J85" i="36"/>
  <c r="J79" i="36"/>
  <c r="J67" i="36"/>
  <c r="J59" i="36"/>
  <c r="J41" i="36"/>
  <c r="J23" i="36"/>
  <c r="J112" i="36"/>
  <c r="J106" i="36"/>
  <c r="J102" i="36"/>
  <c r="J98" i="36"/>
  <c r="J86" i="36"/>
  <c r="J80" i="36"/>
  <c r="J68" i="36"/>
  <c r="J113" i="36"/>
  <c r="J122" i="36"/>
  <c r="J121" i="36"/>
  <c r="J114" i="36"/>
  <c r="J92" i="36"/>
  <c r="J70" i="36"/>
  <c r="J60" i="36"/>
  <c r="J24" i="36"/>
  <c r="J129" i="36"/>
  <c r="J115" i="36"/>
  <c r="J107" i="36"/>
  <c r="J103" i="36"/>
  <c r="J99" i="36"/>
  <c r="J87" i="36"/>
  <c r="J71" i="36"/>
  <c r="J51" i="36"/>
  <c r="J47" i="36"/>
  <c r="J43" i="36"/>
  <c r="J53" i="36"/>
  <c r="J73" i="36"/>
  <c r="J81" i="36"/>
  <c r="J28" i="33"/>
  <c r="J30" i="33"/>
  <c r="J34" i="33"/>
  <c r="J38" i="33"/>
  <c r="J56" i="33"/>
  <c r="J64" i="33"/>
  <c r="J70" i="33"/>
  <c r="D77" i="33"/>
  <c r="L77" i="33" s="1"/>
  <c r="N77" i="33" s="1"/>
  <c r="J82" i="33"/>
  <c r="Z71" i="39"/>
  <c r="V88" i="39"/>
  <c r="X109" i="39"/>
  <c r="Z109" i="39" s="1"/>
  <c r="V120" i="39"/>
  <c r="L16" i="45"/>
  <c r="D12" i="45"/>
  <c r="J63" i="33"/>
  <c r="J115" i="39"/>
  <c r="X41" i="39"/>
  <c r="Z69" i="39"/>
  <c r="N77" i="39"/>
  <c r="Z111" i="39"/>
  <c r="N59" i="42"/>
  <c r="Z69" i="42"/>
  <c r="X69" i="42"/>
  <c r="Z64" i="39"/>
  <c r="X64" i="39"/>
  <c r="P12" i="42"/>
  <c r="X13" i="42"/>
  <c r="Z13" i="42" s="1"/>
  <c r="J42" i="33"/>
  <c r="J46" i="33"/>
  <c r="J52" i="33"/>
  <c r="J62" i="33"/>
  <c r="P121" i="36"/>
  <c r="X121" i="36" s="1"/>
  <c r="Z121" i="36" s="1"/>
  <c r="V121" i="39"/>
  <c r="V89" i="39"/>
  <c r="V85" i="39"/>
  <c r="V69" i="39"/>
  <c r="V37" i="39"/>
  <c r="V33" i="39"/>
  <c r="V91" i="39"/>
  <c r="V79" i="39"/>
  <c r="V71" i="39"/>
  <c r="V51" i="39"/>
  <c r="V47" i="39"/>
  <c r="V43" i="39"/>
  <c r="V106" i="39"/>
  <c r="V90" i="39"/>
  <c r="V86" i="39"/>
  <c r="V70" i="39"/>
  <c r="V62" i="39"/>
  <c r="V54" i="39"/>
  <c r="V38" i="39"/>
  <c r="V34" i="39"/>
  <c r="V113" i="39"/>
  <c r="V105" i="39"/>
  <c r="V101" i="39"/>
  <c r="V97" i="39"/>
  <c r="V73" i="39"/>
  <c r="V61" i="39"/>
  <c r="V53" i="39"/>
  <c r="V126" i="39"/>
  <c r="V92" i="39"/>
  <c r="V80" i="39"/>
  <c r="V72" i="39"/>
  <c r="V64" i="39"/>
  <c r="V56" i="39"/>
  <c r="V48" i="39"/>
  <c r="V44" i="39"/>
  <c r="V115" i="39"/>
  <c r="V107" i="39"/>
  <c r="V114" i="39"/>
  <c r="V102" i="39"/>
  <c r="V98" i="39"/>
  <c r="V94" i="39"/>
  <c r="V82" i="39"/>
  <c r="V74" i="39"/>
  <c r="V66" i="39"/>
  <c r="V58" i="39"/>
  <c r="V30" i="39"/>
  <c r="V26" i="39"/>
  <c r="V109" i="39"/>
  <c r="V93" i="39"/>
  <c r="V81" i="39"/>
  <c r="V77" i="39"/>
  <c r="V65" i="39"/>
  <c r="V57" i="39"/>
  <c r="V49" i="39"/>
  <c r="V45" i="39"/>
  <c r="V41" i="39"/>
  <c r="T28" i="39"/>
  <c r="V119" i="39"/>
  <c r="V111" i="39"/>
  <c r="V103" i="39"/>
  <c r="V99" i="39"/>
  <c r="V95" i="39"/>
  <c r="V83" i="39"/>
  <c r="V67" i="39"/>
  <c r="V59" i="39"/>
  <c r="Z91" i="39"/>
  <c r="V104" i="39"/>
  <c r="Z27" i="42"/>
  <c r="Z38" i="42"/>
  <c r="D114" i="42"/>
  <c r="L114" i="42" s="1"/>
  <c r="N114" i="42" s="1"/>
  <c r="L115" i="42"/>
  <c r="N115" i="42" s="1"/>
  <c r="J75" i="33"/>
  <c r="L85" i="36"/>
  <c r="L97" i="36"/>
  <c r="H128" i="39"/>
  <c r="V87" i="39"/>
  <c r="V100" i="39"/>
  <c r="V108" i="39"/>
  <c r="V110" i="39"/>
  <c r="X115" i="42"/>
  <c r="Z115" i="42" s="1"/>
  <c r="P114" i="42"/>
  <c r="X114" i="42" s="1"/>
  <c r="Z114" i="42" s="1"/>
  <c r="Z68" i="45"/>
  <c r="X68" i="45"/>
  <c r="J68" i="33"/>
  <c r="J74" i="33"/>
  <c r="V23" i="39"/>
  <c r="V112" i="39"/>
  <c r="J73" i="33"/>
  <c r="X23" i="39"/>
  <c r="Z23" i="39" s="1"/>
  <c r="X56" i="39"/>
  <c r="Z56" i="39" s="1"/>
  <c r="N62" i="39"/>
  <c r="Z85" i="39"/>
  <c r="V116" i="39"/>
  <c r="J72" i="33"/>
  <c r="P12" i="39"/>
  <c r="X13" i="39"/>
  <c r="Z13" i="39" s="1"/>
  <c r="F117" i="42"/>
  <c r="F108" i="42"/>
  <c r="F107" i="42"/>
  <c r="F100" i="42"/>
  <c r="F96" i="42"/>
  <c r="F92" i="42"/>
  <c r="F80" i="42"/>
  <c r="F64" i="42"/>
  <c r="F63" i="42"/>
  <c r="F56" i="42"/>
  <c r="F55" i="42"/>
  <c r="F118" i="42"/>
  <c r="F75" i="42"/>
  <c r="F86" i="42"/>
  <c r="F82" i="42"/>
  <c r="F81" i="42"/>
  <c r="F66" i="42"/>
  <c r="F65" i="42"/>
  <c r="F109" i="42"/>
  <c r="F101" i="42"/>
  <c r="F97" i="42"/>
  <c r="F93" i="42"/>
  <c r="F57" i="42"/>
  <c r="F122" i="42"/>
  <c r="F88" i="42"/>
  <c r="F87" i="42"/>
  <c r="F89" i="42"/>
  <c r="F77" i="42"/>
  <c r="F112" i="42"/>
  <c r="F111" i="42"/>
  <c r="F104" i="42"/>
  <c r="F84" i="42"/>
  <c r="F72" i="42"/>
  <c r="F71" i="42"/>
  <c r="F60" i="42"/>
  <c r="F59" i="42"/>
  <c r="F52" i="42"/>
  <c r="F51" i="42"/>
  <c r="F115" i="42"/>
  <c r="F106" i="42"/>
  <c r="F105" i="42"/>
  <c r="F74" i="42"/>
  <c r="F73" i="42"/>
  <c r="F62" i="42"/>
  <c r="F61" i="42"/>
  <c r="F54" i="42"/>
  <c r="F53" i="42"/>
  <c r="F46" i="42"/>
  <c r="F99" i="42"/>
  <c r="F83" i="42"/>
  <c r="F78" i="42"/>
  <c r="F44" i="42"/>
  <c r="F110" i="42"/>
  <c r="F76" i="42"/>
  <c r="F47" i="42"/>
  <c r="F41" i="42"/>
  <c r="F36" i="42"/>
  <c r="F32" i="42"/>
  <c r="F95" i="42"/>
  <c r="F91" i="42"/>
  <c r="F85" i="42"/>
  <c r="F23" i="42"/>
  <c r="F69" i="42"/>
  <c r="F102" i="42"/>
  <c r="F79" i="42"/>
  <c r="F45" i="42"/>
  <c r="F42" i="42"/>
  <c r="F37" i="42"/>
  <c r="F33" i="42"/>
  <c r="F29" i="42"/>
  <c r="F28" i="42"/>
  <c r="F116" i="42"/>
  <c r="F48" i="42"/>
  <c r="F27" i="42"/>
  <c r="F25" i="42"/>
  <c r="F114" i="42"/>
  <c r="F67" i="42"/>
  <c r="F39" i="42"/>
  <c r="F38" i="42"/>
  <c r="D25" i="42"/>
  <c r="F98" i="42"/>
  <c r="F58" i="42"/>
  <c r="F43" i="42"/>
  <c r="F34" i="42"/>
  <c r="F30" i="42"/>
  <c r="F70" i="42"/>
  <c r="F49" i="42"/>
  <c r="F21" i="42"/>
  <c r="F20" i="42"/>
  <c r="F90" i="42"/>
  <c r="F40" i="42"/>
  <c r="F35" i="42"/>
  <c r="F31" i="42"/>
  <c r="N73" i="42"/>
  <c r="F103" i="42"/>
  <c r="Z18" i="45"/>
  <c r="J31" i="33"/>
  <c r="J35" i="33"/>
  <c r="J59" i="33"/>
  <c r="J67" i="33"/>
  <c r="N31" i="39"/>
  <c r="V46" i="39"/>
  <c r="V50" i="39"/>
  <c r="Z58" i="39"/>
  <c r="V78" i="39"/>
  <c r="J63" i="39"/>
  <c r="J73" i="39"/>
  <c r="J87" i="39"/>
  <c r="J107" i="39"/>
  <c r="J118" i="42"/>
  <c r="J81" i="42"/>
  <c r="J75" i="42"/>
  <c r="J65" i="42"/>
  <c r="J86" i="42"/>
  <c r="J82" i="42"/>
  <c r="J109" i="42"/>
  <c r="J101" i="42"/>
  <c r="J97" i="42"/>
  <c r="J93" i="42"/>
  <c r="J87" i="42"/>
  <c r="J67" i="42"/>
  <c r="J122" i="42"/>
  <c r="J102" i="42"/>
  <c r="J88" i="42"/>
  <c r="J76" i="42"/>
  <c r="J68" i="42"/>
  <c r="J48" i="42"/>
  <c r="J44" i="42"/>
  <c r="J103" i="42"/>
  <c r="J83" i="42"/>
  <c r="J112" i="42"/>
  <c r="J104" i="42"/>
  <c r="J90" i="42"/>
  <c r="J84" i="42"/>
  <c r="J78" i="42"/>
  <c r="J72" i="42"/>
  <c r="J105" i="42"/>
  <c r="J99" i="42"/>
  <c r="J95" i="42"/>
  <c r="J91" i="42"/>
  <c r="J79" i="42"/>
  <c r="J73" i="42"/>
  <c r="J61" i="42"/>
  <c r="J53" i="42"/>
  <c r="J116" i="42"/>
  <c r="J107" i="42"/>
  <c r="J85" i="42"/>
  <c r="J63" i="42"/>
  <c r="J55" i="42"/>
  <c r="J22" i="42"/>
  <c r="T25" i="42"/>
  <c r="V38" i="42"/>
  <c r="J50" i="42"/>
  <c r="V55" i="42"/>
  <c r="N65" i="42"/>
  <c r="L73" i="42"/>
  <c r="V76" i="42"/>
  <c r="J115" i="42"/>
  <c r="L60" i="45"/>
  <c r="N60" i="45" s="1"/>
  <c r="N62" i="45"/>
  <c r="X94" i="45"/>
  <c r="Z94" i="45" s="1"/>
  <c r="Z96" i="45"/>
  <c r="J53" i="39"/>
  <c r="J61" i="39"/>
  <c r="L62" i="39"/>
  <c r="J71" i="39"/>
  <c r="J91" i="39"/>
  <c r="J97" i="39"/>
  <c r="J101" i="39"/>
  <c r="J105" i="39"/>
  <c r="L106" i="39"/>
  <c r="N106" i="39" s="1"/>
  <c r="J113" i="39"/>
  <c r="N12" i="42"/>
  <c r="X27" i="42"/>
  <c r="V28" i="42"/>
  <c r="V32" i="42"/>
  <c r="V36" i="42"/>
  <c r="V41" i="42"/>
  <c r="V44" i="42"/>
  <c r="J46" i="42"/>
  <c r="Z51" i="42"/>
  <c r="V63" i="42"/>
  <c r="V68" i="42"/>
  <c r="J80" i="42"/>
  <c r="J94" i="42"/>
  <c r="Z66" i="45"/>
  <c r="N80" i="45"/>
  <c r="J34" i="39"/>
  <c r="J38" i="39"/>
  <c r="J52" i="39"/>
  <c r="J70" i="39"/>
  <c r="J86" i="39"/>
  <c r="J90" i="39"/>
  <c r="J124" i="39"/>
  <c r="J21" i="42"/>
  <c r="V50" i="42"/>
  <c r="V51" i="42"/>
  <c r="V54" i="42"/>
  <c r="J56" i="42"/>
  <c r="J70" i="42"/>
  <c r="Z71" i="42"/>
  <c r="V86" i="42"/>
  <c r="J92" i="42"/>
  <c r="J96" i="42"/>
  <c r="Z25" i="45"/>
  <c r="X25" i="45"/>
  <c r="V25" i="45"/>
  <c r="N52" i="45"/>
  <c r="N56" i="45"/>
  <c r="Z60" i="45"/>
  <c r="Z62" i="45"/>
  <c r="V72" i="56"/>
  <c r="V64" i="56"/>
  <c r="V56" i="56"/>
  <c r="V44" i="56"/>
  <c r="V28" i="56"/>
  <c r="V24" i="56"/>
  <c r="V20" i="56"/>
  <c r="V47" i="56"/>
  <c r="V19" i="56"/>
  <c r="V17" i="56"/>
  <c r="V15" i="56"/>
  <c r="V78" i="56"/>
  <c r="V76" i="56"/>
  <c r="V74" i="56"/>
  <c r="V66" i="56"/>
  <c r="V58" i="56"/>
  <c r="V46" i="56"/>
  <c r="V38" i="56"/>
  <c r="V34" i="56"/>
  <c r="V30" i="56"/>
  <c r="T17" i="56"/>
  <c r="V49" i="56"/>
  <c r="V29" i="56"/>
  <c r="V25" i="56"/>
  <c r="V21" i="56"/>
  <c r="V48" i="56"/>
  <c r="V67" i="56"/>
  <c r="V59" i="56"/>
  <c r="V51" i="56"/>
  <c r="V39" i="56"/>
  <c r="V35" i="56"/>
  <c r="V31" i="56"/>
  <c r="V85" i="56"/>
  <c r="V82" i="56"/>
  <c r="V80" i="56"/>
  <c r="V50" i="56"/>
  <c r="V26" i="56"/>
  <c r="V22" i="56"/>
  <c r="Z12" i="56"/>
  <c r="V69" i="56"/>
  <c r="V61" i="56"/>
  <c r="V53" i="56"/>
  <c r="V41" i="56"/>
  <c r="V70" i="56"/>
  <c r="V62" i="56"/>
  <c r="V54" i="56"/>
  <c r="V42" i="56"/>
  <c r="V73" i="56"/>
  <c r="V65" i="56"/>
  <c r="V57" i="56"/>
  <c r="V45" i="56"/>
  <c r="V37" i="56"/>
  <c r="V33" i="56"/>
  <c r="V68" i="56"/>
  <c r="V55" i="56"/>
  <c r="V27" i="56"/>
  <c r="V23" i="56"/>
  <c r="V63" i="56"/>
  <c r="V40" i="56"/>
  <c r="V71" i="56"/>
  <c r="V43" i="56"/>
  <c r="V52" i="56"/>
  <c r="V32" i="56"/>
  <c r="V36" i="56"/>
  <c r="H82" i="56"/>
  <c r="V111" i="42"/>
  <c r="V103" i="42"/>
  <c r="V83" i="42"/>
  <c r="V71" i="42"/>
  <c r="V59" i="42"/>
  <c r="V110" i="42"/>
  <c r="V98" i="42"/>
  <c r="V94" i="42"/>
  <c r="V90" i="42"/>
  <c r="V78" i="42"/>
  <c r="V105" i="42"/>
  <c r="V89" i="42"/>
  <c r="V77" i="42"/>
  <c r="V73" i="42"/>
  <c r="V61" i="42"/>
  <c r="V114" i="42"/>
  <c r="V112" i="42"/>
  <c r="V104" i="42"/>
  <c r="V84" i="42"/>
  <c r="V72" i="42"/>
  <c r="V60" i="42"/>
  <c r="V52" i="42"/>
  <c r="V115" i="42"/>
  <c r="V107" i="42"/>
  <c r="V99" i="42"/>
  <c r="V95" i="42"/>
  <c r="V91" i="42"/>
  <c r="V118" i="42"/>
  <c r="V108" i="42"/>
  <c r="V100" i="42"/>
  <c r="V96" i="42"/>
  <c r="V92" i="42"/>
  <c r="V80" i="42"/>
  <c r="V87" i="42"/>
  <c r="V75" i="42"/>
  <c r="V67" i="42"/>
  <c r="V47" i="42"/>
  <c r="V43" i="42"/>
  <c r="V39" i="42"/>
  <c r="V109" i="42"/>
  <c r="V101" i="42"/>
  <c r="V97" i="42"/>
  <c r="V93" i="42"/>
  <c r="V69" i="42"/>
  <c r="V57" i="42"/>
  <c r="V49" i="42"/>
  <c r="V22" i="42"/>
  <c r="J58" i="42"/>
  <c r="J64" i="42"/>
  <c r="V65" i="42"/>
  <c r="J77" i="42"/>
  <c r="J98" i="42"/>
  <c r="V117" i="42"/>
  <c r="N50" i="45"/>
  <c r="J24" i="39"/>
  <c r="J60" i="39"/>
  <c r="J68" i="39"/>
  <c r="J84" i="39"/>
  <c r="J96" i="39"/>
  <c r="J100" i="39"/>
  <c r="J104" i="39"/>
  <c r="J112" i="39"/>
  <c r="J121" i="39"/>
  <c r="V31" i="42"/>
  <c r="V35" i="42"/>
  <c r="J39" i="42"/>
  <c r="V40" i="42"/>
  <c r="V62" i="42"/>
  <c r="V70" i="42"/>
  <c r="J100" i="42"/>
  <c r="X107" i="42"/>
  <c r="N48" i="45"/>
  <c r="L50" i="45"/>
  <c r="X80" i="45"/>
  <c r="Z80" i="45" s="1"/>
  <c r="N44" i="48"/>
  <c r="J89" i="39"/>
  <c r="J111" i="39"/>
  <c r="J120" i="39"/>
  <c r="H25" i="42"/>
  <c r="J38" i="42"/>
  <c r="V46" i="42"/>
  <c r="J52" i="42"/>
  <c r="V56" i="42"/>
  <c r="V82" i="42"/>
  <c r="J106" i="42"/>
  <c r="J111" i="42"/>
  <c r="J114" i="42"/>
  <c r="N37" i="45"/>
  <c r="Z54" i="45"/>
  <c r="X56" i="45"/>
  <c r="Z56" i="45" s="1"/>
  <c r="P71" i="48"/>
  <c r="X17" i="48"/>
  <c r="J50" i="39"/>
  <c r="J78" i="39"/>
  <c r="J110" i="39"/>
  <c r="J118" i="39"/>
  <c r="J119" i="39"/>
  <c r="V21" i="42"/>
  <c r="J25" i="42"/>
  <c r="J27" i="42"/>
  <c r="J29" i="42"/>
  <c r="J33" i="42"/>
  <c r="J37" i="42"/>
  <c r="J42" i="42"/>
  <c r="J45" i="42"/>
  <c r="N55" i="42"/>
  <c r="V58" i="42"/>
  <c r="X59" i="42"/>
  <c r="Z59" i="42" s="1"/>
  <c r="V64" i="42"/>
  <c r="J74" i="42"/>
  <c r="J89" i="42"/>
  <c r="V122" i="42"/>
  <c r="L26" i="45"/>
  <c r="N26" i="45" s="1"/>
  <c r="Z17" i="48"/>
  <c r="T71" i="48"/>
  <c r="J41" i="39"/>
  <c r="J59" i="39"/>
  <c r="J67" i="39"/>
  <c r="J77" i="39"/>
  <c r="J83" i="39"/>
  <c r="J95" i="39"/>
  <c r="J99" i="39"/>
  <c r="J103" i="39"/>
  <c r="J109" i="39"/>
  <c r="J28" i="42"/>
  <c r="V30" i="42"/>
  <c r="V34" i="42"/>
  <c r="Z49" i="42"/>
  <c r="V53" i="42"/>
  <c r="J66" i="42"/>
  <c r="N69" i="42"/>
  <c r="X18" i="45"/>
  <c r="V48" i="42"/>
  <c r="X55" i="42"/>
  <c r="Z55" i="42" s="1"/>
  <c r="J108" i="42"/>
  <c r="V116" i="42"/>
  <c r="T23" i="45"/>
  <c r="D12" i="48"/>
  <c r="L13" i="48"/>
  <c r="N13" i="48" s="1"/>
  <c r="J31" i="39"/>
  <c r="J45" i="39"/>
  <c r="J49" i="39"/>
  <c r="J57" i="39"/>
  <c r="J65" i="39"/>
  <c r="J75" i="39"/>
  <c r="J81" i="39"/>
  <c r="J93" i="39"/>
  <c r="V20" i="42"/>
  <c r="J32" i="42"/>
  <c r="J36" i="42"/>
  <c r="J41" i="42"/>
  <c r="V45" i="42"/>
  <c r="J47" i="42"/>
  <c r="J57" i="42"/>
  <c r="V79" i="42"/>
  <c r="V85" i="42"/>
  <c r="V106" i="42"/>
  <c r="J110" i="42"/>
  <c r="N96" i="45"/>
  <c r="R59" i="48"/>
  <c r="R27" i="48"/>
  <c r="R23" i="48"/>
  <c r="R66" i="48"/>
  <c r="R51" i="48"/>
  <c r="R50" i="48"/>
  <c r="R69" i="48"/>
  <c r="R68" i="48"/>
  <c r="R42" i="48"/>
  <c r="R41" i="48"/>
  <c r="R71" i="48"/>
  <c r="R60" i="48"/>
  <c r="R53" i="48"/>
  <c r="R52" i="48"/>
  <c r="R28" i="48"/>
  <c r="R44" i="48"/>
  <c r="R43" i="48"/>
  <c r="R73" i="48"/>
  <c r="R62" i="48"/>
  <c r="R61" i="48"/>
  <c r="R46" i="48"/>
  <c r="R45" i="48"/>
  <c r="R29" i="48"/>
  <c r="R25" i="48"/>
  <c r="R21" i="48"/>
  <c r="R63" i="48"/>
  <c r="R48" i="48"/>
  <c r="R47" i="48"/>
  <c r="R39" i="48"/>
  <c r="R35" i="48"/>
  <c r="R58" i="48"/>
  <c r="R56" i="48"/>
  <c r="R20" i="48"/>
  <c r="X12" i="48"/>
  <c r="Z12" i="48" s="1"/>
  <c r="R64" i="48"/>
  <c r="R49" i="48"/>
  <c r="R40" i="48"/>
  <c r="R30" i="48"/>
  <c r="R65" i="48"/>
  <c r="R38" i="48"/>
  <c r="R33" i="48"/>
  <c r="R57" i="48"/>
  <c r="R54" i="48"/>
  <c r="R31" i="48"/>
  <c r="R26" i="48"/>
  <c r="R36" i="48"/>
  <c r="R55" i="48"/>
  <c r="R24" i="48"/>
  <c r="R34" i="48"/>
  <c r="R37" i="48"/>
  <c r="R17" i="48"/>
  <c r="J26" i="45"/>
  <c r="V28" i="45"/>
  <c r="V32" i="45"/>
  <c r="V36" i="45"/>
  <c r="J40" i="45"/>
  <c r="J44" i="45"/>
  <c r="J50" i="45"/>
  <c r="V56" i="45"/>
  <c r="J62" i="45"/>
  <c r="V68" i="45"/>
  <c r="V72" i="45"/>
  <c r="J76" i="45"/>
  <c r="V80" i="45"/>
  <c r="V84" i="45"/>
  <c r="V88" i="45"/>
  <c r="J92" i="45"/>
  <c r="V96" i="45"/>
  <c r="Z19" i="48"/>
  <c r="V20" i="48"/>
  <c r="V25" i="48"/>
  <c r="N46" i="48"/>
  <c r="L46" i="48"/>
  <c r="V73" i="48"/>
  <c r="R32" i="56"/>
  <c r="V18" i="45"/>
  <c r="J30" i="45"/>
  <c r="J34" i="45"/>
  <c r="J48" i="45"/>
  <c r="V54" i="45"/>
  <c r="J60" i="45"/>
  <c r="V66" i="45"/>
  <c r="J70" i="45"/>
  <c r="V78" i="45"/>
  <c r="J82" i="45"/>
  <c r="J86" i="45"/>
  <c r="J90" i="45"/>
  <c r="V94" i="45"/>
  <c r="V17" i="48"/>
  <c r="V22" i="48"/>
  <c r="V32" i="48"/>
  <c r="V39" i="48"/>
  <c r="J41" i="48"/>
  <c r="Z44" i="48"/>
  <c r="X46" i="48"/>
  <c r="Z46" i="48" s="1"/>
  <c r="V31" i="45"/>
  <c r="V35" i="45"/>
  <c r="J39" i="45"/>
  <c r="J43" i="45"/>
  <c r="J47" i="45"/>
  <c r="V51" i="45"/>
  <c r="J59" i="45"/>
  <c r="V63" i="45"/>
  <c r="V71" i="45"/>
  <c r="J75" i="45"/>
  <c r="V83" i="45"/>
  <c r="V87" i="45"/>
  <c r="J99" i="45"/>
  <c r="V15" i="48"/>
  <c r="J57" i="48"/>
  <c r="V59" i="48"/>
  <c r="V61" i="48"/>
  <c r="V63" i="48"/>
  <c r="Z48" i="48"/>
  <c r="X23" i="55"/>
  <c r="Z23" i="55" s="1"/>
  <c r="J81" i="45"/>
  <c r="J85" i="45"/>
  <c r="J89" i="45"/>
  <c r="J97" i="45"/>
  <c r="V103" i="45"/>
  <c r="X13" i="48"/>
  <c r="Z13" i="48" s="1"/>
  <c r="V26" i="45"/>
  <c r="V30" i="45"/>
  <c r="V34" i="45"/>
  <c r="J38" i="45"/>
  <c r="J42" i="45"/>
  <c r="J46" i="45"/>
  <c r="V50" i="45"/>
  <c r="J56" i="45"/>
  <c r="V62" i="45"/>
  <c r="J68" i="45"/>
  <c r="V70" i="45"/>
  <c r="J74" i="45"/>
  <c r="J80" i="45"/>
  <c r="V82" i="45"/>
  <c r="V86" i="45"/>
  <c r="V90" i="45"/>
  <c r="J96" i="45"/>
  <c r="J58" i="48"/>
  <c r="J48" i="48"/>
  <c r="J30" i="48"/>
  <c r="J26" i="48"/>
  <c r="J22" i="48"/>
  <c r="J49" i="48"/>
  <c r="J31" i="48"/>
  <c r="J64" i="48"/>
  <c r="J65" i="48"/>
  <c r="J59" i="48"/>
  <c r="J27" i="48"/>
  <c r="J66" i="48"/>
  <c r="J50" i="48"/>
  <c r="J69" i="48"/>
  <c r="J68" i="48"/>
  <c r="J60" i="48"/>
  <c r="J52" i="48"/>
  <c r="J42" i="48"/>
  <c r="J28" i="48"/>
  <c r="J24" i="48"/>
  <c r="J54" i="48"/>
  <c r="J44" i="48"/>
  <c r="J38" i="48"/>
  <c r="J34" i="48"/>
  <c r="J73" i="48"/>
  <c r="J61" i="48"/>
  <c r="J55" i="48"/>
  <c r="J45" i="48"/>
  <c r="N20" i="48"/>
  <c r="J23" i="48"/>
  <c r="V26" i="48"/>
  <c r="J35" i="48"/>
  <c r="J40" i="48"/>
  <c r="L68" i="48"/>
  <c r="N68" i="48" s="1"/>
  <c r="J19" i="45"/>
  <c r="J37" i="45"/>
  <c r="V39" i="45"/>
  <c r="V43" i="45"/>
  <c r="V47" i="45"/>
  <c r="J55" i="45"/>
  <c r="V59" i="45"/>
  <c r="J67" i="45"/>
  <c r="J73" i="45"/>
  <c r="V75" i="45"/>
  <c r="J79" i="45"/>
  <c r="V91" i="45"/>
  <c r="J95" i="45"/>
  <c r="H17" i="48"/>
  <c r="J19" i="48"/>
  <c r="J20" i="48"/>
  <c r="V21" i="48"/>
  <c r="V31" i="48"/>
  <c r="V45" i="48"/>
  <c r="V47" i="48"/>
  <c r="Z57" i="48"/>
  <c r="Z61" i="58"/>
  <c r="D71" i="59"/>
  <c r="L16" i="59"/>
  <c r="J18" i="45"/>
  <c r="V20" i="45"/>
  <c r="J28" i="45"/>
  <c r="J32" i="45"/>
  <c r="J36" i="45"/>
  <c r="V48" i="45"/>
  <c r="J54" i="45"/>
  <c r="V60" i="45"/>
  <c r="J66" i="45"/>
  <c r="J72" i="45"/>
  <c r="J78" i="45"/>
  <c r="J84" i="45"/>
  <c r="J88" i="45"/>
  <c r="J94" i="45"/>
  <c r="J17" i="48"/>
  <c r="V23" i="48"/>
  <c r="V28" i="48"/>
  <c r="J56" i="48"/>
  <c r="N62" i="48"/>
  <c r="L62" i="48"/>
  <c r="H46" i="51"/>
  <c r="L32" i="51"/>
  <c r="N32" i="51" s="1"/>
  <c r="V29" i="45"/>
  <c r="V33" i="45"/>
  <c r="J41" i="45"/>
  <c r="J45" i="45"/>
  <c r="J53" i="45"/>
  <c r="V57" i="45"/>
  <c r="J65" i="45"/>
  <c r="V69" i="45"/>
  <c r="J77" i="45"/>
  <c r="V81" i="45"/>
  <c r="V85" i="45"/>
  <c r="V89" i="45"/>
  <c r="J93" i="45"/>
  <c r="V97" i="45"/>
  <c r="V99" i="45"/>
  <c r="V68" i="48"/>
  <c r="V66" i="48"/>
  <c r="V50" i="48"/>
  <c r="V42" i="48"/>
  <c r="V71" i="48"/>
  <c r="V69" i="48"/>
  <c r="V53" i="48"/>
  <c r="V41" i="48"/>
  <c r="V37" i="48"/>
  <c r="V33" i="48"/>
  <c r="V60" i="48"/>
  <c r="V52" i="48"/>
  <c r="V44" i="48"/>
  <c r="V55" i="48"/>
  <c r="V43" i="48"/>
  <c r="V62" i="48"/>
  <c r="V54" i="48"/>
  <c r="V46" i="48"/>
  <c r="V38" i="48"/>
  <c r="V34" i="48"/>
  <c r="V56" i="48"/>
  <c r="V48" i="48"/>
  <c r="V58" i="48"/>
  <c r="V65" i="48"/>
  <c r="V49" i="48"/>
  <c r="J15" i="48"/>
  <c r="X20" i="48"/>
  <c r="Z20" i="48" s="1"/>
  <c r="J25" i="48"/>
  <c r="V35" i="48"/>
  <c r="J37" i="48"/>
  <c r="N42" i="48"/>
  <c r="J62" i="48"/>
  <c r="D12" i="51"/>
  <c r="V42" i="57"/>
  <c r="V61" i="57"/>
  <c r="V53" i="57"/>
  <c r="V45" i="57"/>
  <c r="V37" i="57"/>
  <c r="V60" i="57"/>
  <c r="V80" i="57"/>
  <c r="V77" i="57"/>
  <c r="V75" i="57"/>
  <c r="V62" i="57"/>
  <c r="V54" i="57"/>
  <c r="V46" i="57"/>
  <c r="V38" i="57"/>
  <c r="V34" i="57"/>
  <c r="V64" i="57"/>
  <c r="V56" i="57"/>
  <c r="V48" i="57"/>
  <c r="V68" i="57"/>
  <c r="V66" i="57"/>
  <c r="V58" i="57"/>
  <c r="V50" i="57"/>
  <c r="V70" i="57"/>
  <c r="V52" i="57"/>
  <c r="V40" i="57"/>
  <c r="V36" i="57"/>
  <c r="V32" i="57"/>
  <c r="V69" i="57"/>
  <c r="V41" i="57"/>
  <c r="V35" i="57"/>
  <c r="V20" i="57"/>
  <c r="V19" i="57"/>
  <c r="V17" i="57"/>
  <c r="V15" i="57"/>
  <c r="T17" i="57"/>
  <c r="V51" i="57"/>
  <c r="V49" i="57"/>
  <c r="V44" i="57"/>
  <c r="V29" i="57"/>
  <c r="V26" i="57"/>
  <c r="V23" i="57"/>
  <c r="V47" i="57"/>
  <c r="V30" i="57"/>
  <c r="V73" i="57"/>
  <c r="V57" i="57"/>
  <c r="V33" i="57"/>
  <c r="V65" i="57"/>
  <c r="V59" i="57"/>
  <c r="V24" i="57"/>
  <c r="V21" i="57"/>
  <c r="Z12" i="57"/>
  <c r="V27" i="57"/>
  <c r="V28" i="57"/>
  <c r="V25" i="57"/>
  <c r="V22" i="57"/>
  <c r="V43" i="57"/>
  <c r="V31" i="57"/>
  <c r="V55" i="57"/>
  <c r="V39" i="57"/>
  <c r="V71" i="57"/>
  <c r="V63" i="57"/>
  <c r="H73" i="57"/>
  <c r="N17" i="57"/>
  <c r="H23" i="45"/>
  <c r="V38" i="45"/>
  <c r="V42" i="45"/>
  <c r="V46" i="45"/>
  <c r="J52" i="45"/>
  <c r="V58" i="45"/>
  <c r="V30" i="48"/>
  <c r="J32" i="48"/>
  <c r="V40" i="48"/>
  <c r="L42" i="48"/>
  <c r="J51" i="48"/>
  <c r="X62" i="48"/>
  <c r="Z62" i="48" s="1"/>
  <c r="V64" i="48"/>
  <c r="N60" i="51"/>
  <c r="Z16" i="54"/>
  <c r="T22" i="54"/>
  <c r="R37" i="56"/>
  <c r="R33" i="56"/>
  <c r="R73" i="56"/>
  <c r="R72" i="56"/>
  <c r="R65" i="56"/>
  <c r="R64" i="56"/>
  <c r="R57" i="56"/>
  <c r="R56" i="56"/>
  <c r="R45" i="56"/>
  <c r="R44" i="56"/>
  <c r="R28" i="56"/>
  <c r="R24" i="56"/>
  <c r="R20" i="56"/>
  <c r="R74" i="56"/>
  <c r="R66" i="56"/>
  <c r="R58" i="56"/>
  <c r="R47" i="56"/>
  <c r="R46" i="56"/>
  <c r="R38" i="56"/>
  <c r="R34" i="56"/>
  <c r="R19" i="56"/>
  <c r="R17" i="56"/>
  <c r="R15" i="56"/>
  <c r="R78" i="56"/>
  <c r="R76" i="56"/>
  <c r="R30" i="56"/>
  <c r="R29" i="56"/>
  <c r="R25" i="56"/>
  <c r="R21" i="56"/>
  <c r="P17" i="56"/>
  <c r="R49" i="56"/>
  <c r="R48" i="56"/>
  <c r="R67" i="56"/>
  <c r="R59" i="56"/>
  <c r="R39" i="56"/>
  <c r="R35" i="56"/>
  <c r="R31" i="56"/>
  <c r="R80" i="56"/>
  <c r="R51" i="56"/>
  <c r="R50" i="56"/>
  <c r="R26" i="56"/>
  <c r="R22" i="56"/>
  <c r="X12" i="56"/>
  <c r="R27" i="56"/>
  <c r="R23" i="56"/>
  <c r="R71" i="56"/>
  <c r="R70" i="56"/>
  <c r="R63" i="56"/>
  <c r="R62" i="56"/>
  <c r="R55" i="56"/>
  <c r="R54" i="56"/>
  <c r="R43" i="56"/>
  <c r="R42" i="56"/>
  <c r="R36" i="56"/>
  <c r="R68" i="56"/>
  <c r="R53" i="56"/>
  <c r="R61" i="56"/>
  <c r="R40" i="56"/>
  <c r="R85" i="56"/>
  <c r="R69" i="56"/>
  <c r="R41" i="56"/>
  <c r="R82" i="56"/>
  <c r="R60" i="56"/>
  <c r="N49" i="51"/>
  <c r="V52" i="51"/>
  <c r="X79" i="51"/>
  <c r="Z97" i="51"/>
  <c r="L14" i="55"/>
  <c r="L30" i="56"/>
  <c r="N30" i="56" s="1"/>
  <c r="N41" i="56"/>
  <c r="F47" i="57"/>
  <c r="F39" i="57"/>
  <c r="F35" i="57"/>
  <c r="F31" i="57"/>
  <c r="F30" i="57"/>
  <c r="F66" i="57"/>
  <c r="F65" i="57"/>
  <c r="F58" i="57"/>
  <c r="F57" i="57"/>
  <c r="F49" i="57"/>
  <c r="F48" i="57"/>
  <c r="F69" i="57"/>
  <c r="F70" i="57"/>
  <c r="F68" i="57"/>
  <c r="F59" i="57"/>
  <c r="F51" i="57"/>
  <c r="F50" i="57"/>
  <c r="F53" i="57"/>
  <c r="F52" i="57"/>
  <c r="F37" i="57"/>
  <c r="F33" i="57"/>
  <c r="F75" i="57"/>
  <c r="F29" i="57"/>
  <c r="F25" i="57"/>
  <c r="F21" i="57"/>
  <c r="F20" i="57"/>
  <c r="F71" i="57"/>
  <c r="F34" i="57"/>
  <c r="F60" i="57"/>
  <c r="F46" i="57"/>
  <c r="F22" i="57"/>
  <c r="F43" i="57"/>
  <c r="F28" i="57"/>
  <c r="F55" i="57"/>
  <c r="F32" i="57"/>
  <c r="F63" i="57"/>
  <c r="F56" i="57"/>
  <c r="F40" i="57"/>
  <c r="F80" i="57"/>
  <c r="F64" i="57"/>
  <c r="F44" i="57"/>
  <c r="F38" i="57"/>
  <c r="F73" i="57"/>
  <c r="F26" i="57"/>
  <c r="F23" i="57"/>
  <c r="F77" i="57"/>
  <c r="F54" i="57"/>
  <c r="D17" i="57"/>
  <c r="F62" i="57"/>
  <c r="F45" i="57"/>
  <c r="F27" i="57"/>
  <c r="F24" i="57"/>
  <c r="L12" i="57"/>
  <c r="Z48" i="57"/>
  <c r="V38" i="51"/>
  <c r="V54" i="51"/>
  <c r="V57" i="51"/>
  <c r="V72" i="51"/>
  <c r="Z79" i="51"/>
  <c r="R24" i="54"/>
  <c r="R31" i="54"/>
  <c r="R29" i="54"/>
  <c r="R28" i="54"/>
  <c r="R26" i="54"/>
  <c r="X12" i="54"/>
  <c r="P16" i="54"/>
  <c r="F68" i="56"/>
  <c r="F60" i="56"/>
  <c r="F52" i="56"/>
  <c r="F51" i="56"/>
  <c r="F40" i="56"/>
  <c r="F36" i="56"/>
  <c r="F32" i="56"/>
  <c r="F85" i="56"/>
  <c r="F82" i="56"/>
  <c r="F27" i="56"/>
  <c r="F23" i="56"/>
  <c r="F70" i="56"/>
  <c r="F69" i="56"/>
  <c r="F62" i="56"/>
  <c r="F61" i="56"/>
  <c r="F54" i="56"/>
  <c r="F53" i="56"/>
  <c r="F42" i="56"/>
  <c r="F41" i="56"/>
  <c r="F37" i="56"/>
  <c r="F33" i="56"/>
  <c r="F72" i="56"/>
  <c r="F71" i="56"/>
  <c r="F64" i="56"/>
  <c r="F63" i="56"/>
  <c r="F56" i="56"/>
  <c r="F55" i="56"/>
  <c r="F44" i="56"/>
  <c r="F43" i="56"/>
  <c r="F28" i="56"/>
  <c r="F74" i="56"/>
  <c r="F73" i="56"/>
  <c r="F66" i="56"/>
  <c r="F65" i="56"/>
  <c r="F58" i="56"/>
  <c r="F57" i="56"/>
  <c r="F46" i="56"/>
  <c r="F45" i="56"/>
  <c r="F38" i="56"/>
  <c r="F34" i="56"/>
  <c r="F78" i="56"/>
  <c r="F76" i="56"/>
  <c r="F67" i="56"/>
  <c r="F59" i="56"/>
  <c r="F39" i="56"/>
  <c r="F35" i="56"/>
  <c r="F31" i="56"/>
  <c r="F30" i="56"/>
  <c r="D17" i="56"/>
  <c r="F80" i="56"/>
  <c r="F50" i="56"/>
  <c r="F49" i="56"/>
  <c r="F26" i="56"/>
  <c r="F22" i="56"/>
  <c r="L12" i="56"/>
  <c r="F20" i="56"/>
  <c r="L47" i="56"/>
  <c r="N48" i="51"/>
  <c r="X49" i="51"/>
  <c r="Z49" i="51" s="1"/>
  <c r="X41" i="56"/>
  <c r="N76" i="56"/>
  <c r="L76" i="56"/>
  <c r="Z32" i="51"/>
  <c r="V74" i="51"/>
  <c r="L86" i="51"/>
  <c r="N86" i="51" s="1"/>
  <c r="N92" i="51"/>
  <c r="L94" i="51"/>
  <c r="N27" i="55"/>
  <c r="Z30" i="56"/>
  <c r="N47" i="56"/>
  <c r="N61" i="56"/>
  <c r="Z30" i="57"/>
  <c r="Z41" i="56"/>
  <c r="L70" i="57"/>
  <c r="D68" i="57"/>
  <c r="L68" i="57" s="1"/>
  <c r="P12" i="51"/>
  <c r="V40" i="51"/>
  <c r="V49" i="51"/>
  <c r="N73" i="51"/>
  <c r="J86" i="51"/>
  <c r="J94" i="51"/>
  <c r="X20" i="54"/>
  <c r="T33" i="55"/>
  <c r="Z16" i="55"/>
  <c r="X27" i="55"/>
  <c r="Z27" i="55" s="1"/>
  <c r="F19" i="56"/>
  <c r="F29" i="56"/>
  <c r="Z69" i="56"/>
  <c r="F15" i="57"/>
  <c r="V51" i="58"/>
  <c r="V39" i="58"/>
  <c r="V35" i="58"/>
  <c r="V31" i="58"/>
  <c r="V58" i="58"/>
  <c r="V50" i="58"/>
  <c r="V26" i="58"/>
  <c r="V22" i="58"/>
  <c r="V65" i="58"/>
  <c r="V57" i="58"/>
  <c r="V41" i="58"/>
  <c r="V83" i="58"/>
  <c r="V80" i="58"/>
  <c r="V78" i="58"/>
  <c r="V52" i="58"/>
  <c r="V40" i="58"/>
  <c r="V36" i="58"/>
  <c r="V32" i="58"/>
  <c r="Z12" i="58"/>
  <c r="V67" i="58"/>
  <c r="V59" i="58"/>
  <c r="V43" i="58"/>
  <c r="V27" i="58"/>
  <c r="V23" i="58"/>
  <c r="V19" i="58"/>
  <c r="X12" i="58"/>
  <c r="V69" i="58"/>
  <c r="V61" i="58"/>
  <c r="V53" i="58"/>
  <c r="V45" i="58"/>
  <c r="V37" i="58"/>
  <c r="V33" i="58"/>
  <c r="T16" i="58"/>
  <c r="V68" i="58"/>
  <c r="V60" i="58"/>
  <c r="V44" i="58"/>
  <c r="V71" i="58"/>
  <c r="V63" i="58"/>
  <c r="V55" i="58"/>
  <c r="V47" i="58"/>
  <c r="V49" i="58"/>
  <c r="V29" i="58"/>
  <c r="V25" i="58"/>
  <c r="V21" i="58"/>
  <c r="V76" i="58"/>
  <c r="V62" i="58"/>
  <c r="V56" i="58"/>
  <c r="V54" i="58"/>
  <c r="V28" i="58"/>
  <c r="V46" i="58"/>
  <c r="V70" i="58"/>
  <c r="V64" i="58"/>
  <c r="V16" i="58"/>
  <c r="V72" i="58"/>
  <c r="V66" i="58"/>
  <c r="V48" i="58"/>
  <c r="V24" i="58"/>
  <c r="V74" i="58"/>
  <c r="V42" i="58"/>
  <c r="V20" i="58"/>
  <c r="V34" i="58"/>
  <c r="V30" i="58"/>
  <c r="V14" i="58"/>
  <c r="V88" i="51"/>
  <c r="V76" i="51"/>
  <c r="V68" i="51"/>
  <c r="V64" i="51"/>
  <c r="V60" i="51"/>
  <c r="V97" i="51"/>
  <c r="V95" i="51"/>
  <c r="V87" i="51"/>
  <c r="V79" i="51"/>
  <c r="V99" i="51"/>
  <c r="V89" i="51"/>
  <c r="V69" i="51"/>
  <c r="V65" i="51"/>
  <c r="V61" i="51"/>
  <c r="V90" i="51"/>
  <c r="V82" i="51"/>
  <c r="V70" i="51"/>
  <c r="V66" i="51"/>
  <c r="V62" i="51"/>
  <c r="V103" i="51"/>
  <c r="V93" i="51"/>
  <c r="V85" i="51"/>
  <c r="V77" i="51"/>
  <c r="V41" i="51"/>
  <c r="V37" i="51"/>
  <c r="V33" i="51"/>
  <c r="V34" i="51"/>
  <c r="V56" i="51"/>
  <c r="V71" i="51"/>
  <c r="J73" i="51"/>
  <c r="V98" i="51"/>
  <c r="H22" i="54"/>
  <c r="N16" i="54"/>
  <c r="R20" i="54"/>
  <c r="L21" i="55"/>
  <c r="N21" i="55" s="1"/>
  <c r="F15" i="56"/>
  <c r="F25" i="56"/>
  <c r="Z47" i="56"/>
  <c r="X53" i="56"/>
  <c r="Z63" i="56"/>
  <c r="Z19" i="57"/>
  <c r="R54" i="57"/>
  <c r="V38" i="58"/>
  <c r="V53" i="51"/>
  <c r="V58" i="51"/>
  <c r="V67" i="51"/>
  <c r="X73" i="51"/>
  <c r="Z73" i="51" s="1"/>
  <c r="L79" i="51"/>
  <c r="N79" i="51" s="1"/>
  <c r="V80" i="51"/>
  <c r="V84" i="51"/>
  <c r="Z92" i="51"/>
  <c r="X92" i="51"/>
  <c r="D97" i="51"/>
  <c r="L97" i="51" s="1"/>
  <c r="N97" i="51" s="1"/>
  <c r="H16" i="55"/>
  <c r="F21" i="56"/>
  <c r="Z55" i="56"/>
  <c r="Z61" i="56"/>
  <c r="F61" i="57"/>
  <c r="V42" i="51"/>
  <c r="V48" i="51"/>
  <c r="V83" i="51"/>
  <c r="X84" i="51"/>
  <c r="Z84" i="51" s="1"/>
  <c r="V92" i="51"/>
  <c r="X14" i="54"/>
  <c r="N31" i="55"/>
  <c r="L31" i="55"/>
  <c r="F48" i="56"/>
  <c r="Z53" i="56"/>
  <c r="L20" i="57"/>
  <c r="X63" i="58"/>
  <c r="T58" i="60"/>
  <c r="Z16" i="60"/>
  <c r="V39" i="51"/>
  <c r="T46" i="51"/>
  <c r="X48" i="51"/>
  <c r="Z48" i="51" s="1"/>
  <c r="V55" i="51"/>
  <c r="V86" i="51"/>
  <c r="V94" i="51"/>
  <c r="R14" i="54"/>
  <c r="X18" i="54"/>
  <c r="J40" i="55"/>
  <c r="J37" i="55"/>
  <c r="J25" i="55"/>
  <c r="J26" i="55"/>
  <c r="J27" i="55"/>
  <c r="J28" i="55"/>
  <c r="N12" i="55"/>
  <c r="L12" i="55"/>
  <c r="J29" i="55"/>
  <c r="J19" i="55"/>
  <c r="J20" i="55"/>
  <c r="J18" i="55"/>
  <c r="J16" i="55"/>
  <c r="J14" i="55"/>
  <c r="J35" i="55"/>
  <c r="J23" i="55"/>
  <c r="J24" i="55"/>
  <c r="L18" i="55"/>
  <c r="N18" i="55" s="1"/>
  <c r="J31" i="55"/>
  <c r="R71" i="57"/>
  <c r="R59" i="57"/>
  <c r="R52" i="57"/>
  <c r="R51" i="57"/>
  <c r="R27" i="57"/>
  <c r="R23" i="57"/>
  <c r="R73" i="57"/>
  <c r="R43" i="57"/>
  <c r="R42" i="57"/>
  <c r="R53" i="57"/>
  <c r="R75" i="57"/>
  <c r="R48" i="57"/>
  <c r="R47" i="57"/>
  <c r="R39" i="57"/>
  <c r="R69" i="57"/>
  <c r="R68" i="57"/>
  <c r="R50" i="57"/>
  <c r="R49" i="57"/>
  <c r="R60" i="57"/>
  <c r="R58" i="57"/>
  <c r="R25" i="57"/>
  <c r="R22" i="57"/>
  <c r="R66" i="57"/>
  <c r="R40" i="57"/>
  <c r="R32" i="57"/>
  <c r="R35" i="57"/>
  <c r="R80" i="57"/>
  <c r="R61" i="57"/>
  <c r="R56" i="57"/>
  <c r="R41" i="57"/>
  <c r="R20" i="57"/>
  <c r="R19" i="57"/>
  <c r="R17" i="57"/>
  <c r="R15" i="57"/>
  <c r="R64" i="57"/>
  <c r="R44" i="57"/>
  <c r="R38" i="57"/>
  <c r="R29" i="57"/>
  <c r="R26" i="57"/>
  <c r="P17" i="57"/>
  <c r="R36" i="57"/>
  <c r="R70" i="57"/>
  <c r="R45" i="57"/>
  <c r="R33" i="57"/>
  <c r="R30" i="57"/>
  <c r="R77" i="57"/>
  <c r="R57" i="57"/>
  <c r="R24" i="57"/>
  <c r="R21" i="57"/>
  <c r="X12" i="57"/>
  <c r="R55" i="57"/>
  <c r="R37" i="57"/>
  <c r="R63" i="57"/>
  <c r="R46" i="57"/>
  <c r="R28" i="57"/>
  <c r="N20" i="57"/>
  <c r="F36" i="57"/>
  <c r="X50" i="57"/>
  <c r="Z50" i="57" s="1"/>
  <c r="Z63" i="58"/>
  <c r="J53" i="51"/>
  <c r="J57" i="51"/>
  <c r="J71" i="51"/>
  <c r="J81" i="51"/>
  <c r="J103" i="51"/>
  <c r="N14" i="54"/>
  <c r="V24" i="54"/>
  <c r="V26" i="54"/>
  <c r="V28" i="54"/>
  <c r="V29" i="54"/>
  <c r="V31" i="54"/>
  <c r="Z12" i="55"/>
  <c r="Z14" i="55"/>
  <c r="V28" i="55"/>
  <c r="F35" i="55"/>
  <c r="J51" i="56"/>
  <c r="N48" i="57"/>
  <c r="L50" i="57"/>
  <c r="N50" i="57" s="1"/>
  <c r="J65" i="57"/>
  <c r="J69" i="58"/>
  <c r="J61" i="58"/>
  <c r="J55" i="58"/>
  <c r="J45" i="58"/>
  <c r="H16" i="58"/>
  <c r="J70" i="58"/>
  <c r="J62" i="58"/>
  <c r="J46" i="58"/>
  <c r="J38" i="58"/>
  <c r="J34" i="58"/>
  <c r="J71" i="58"/>
  <c r="J63" i="58"/>
  <c r="J47" i="58"/>
  <c r="J29" i="58"/>
  <c r="J25" i="58"/>
  <c r="J21" i="58"/>
  <c r="J72" i="58"/>
  <c r="J64" i="58"/>
  <c r="J56" i="58"/>
  <c r="J48" i="58"/>
  <c r="J30" i="58"/>
  <c r="J49" i="58"/>
  <c r="J39" i="58"/>
  <c r="J35" i="58"/>
  <c r="J31" i="58"/>
  <c r="J65" i="58"/>
  <c r="J57" i="58"/>
  <c r="J51" i="58"/>
  <c r="J78" i="58"/>
  <c r="J58" i="58"/>
  <c r="J52" i="58"/>
  <c r="J59" i="58"/>
  <c r="J41" i="58"/>
  <c r="J27" i="58"/>
  <c r="J23" i="58"/>
  <c r="L12" i="58"/>
  <c r="J67" i="58"/>
  <c r="J53" i="58"/>
  <c r="J43" i="58"/>
  <c r="J37" i="58"/>
  <c r="J33" i="58"/>
  <c r="J19" i="58"/>
  <c r="Z43" i="58"/>
  <c r="N47" i="58"/>
  <c r="Z49" i="58"/>
  <c r="N61" i="58"/>
  <c r="X67" i="58"/>
  <c r="X71" i="58"/>
  <c r="J20" i="59"/>
  <c r="J22" i="59"/>
  <c r="J24" i="59"/>
  <c r="J26" i="59"/>
  <c r="L69" i="59"/>
  <c r="Z42" i="60"/>
  <c r="P16" i="61"/>
  <c r="R56" i="61"/>
  <c r="L14" i="63"/>
  <c r="D16" i="55"/>
  <c r="R26" i="55"/>
  <c r="R27" i="55"/>
  <c r="N52" i="57"/>
  <c r="Z45" i="58"/>
  <c r="X47" i="58"/>
  <c r="Z47" i="58" s="1"/>
  <c r="Z51" i="58"/>
  <c r="Z67" i="58"/>
  <c r="Z69" i="58"/>
  <c r="V63" i="59"/>
  <c r="V55" i="59"/>
  <c r="V47" i="59"/>
  <c r="V39" i="59"/>
  <c r="V35" i="59"/>
  <c r="V31" i="59"/>
  <c r="V66" i="59"/>
  <c r="V50" i="59"/>
  <c r="V26" i="59"/>
  <c r="V22" i="59"/>
  <c r="V65" i="59"/>
  <c r="V57" i="59"/>
  <c r="V49" i="59"/>
  <c r="V41" i="59"/>
  <c r="V52" i="59"/>
  <c r="V40" i="59"/>
  <c r="V36" i="59"/>
  <c r="V32" i="59"/>
  <c r="Z12" i="59"/>
  <c r="V71" i="59"/>
  <c r="V69" i="59"/>
  <c r="V67" i="59"/>
  <c r="V59" i="59"/>
  <c r="V51" i="59"/>
  <c r="V43" i="59"/>
  <c r="V27" i="59"/>
  <c r="V23" i="59"/>
  <c r="V19" i="59"/>
  <c r="X12" i="59"/>
  <c r="V58" i="59"/>
  <c r="V42" i="59"/>
  <c r="V61" i="59"/>
  <c r="V53" i="59"/>
  <c r="V37" i="59"/>
  <c r="V33" i="59"/>
  <c r="T16" i="59"/>
  <c r="V60" i="59"/>
  <c r="V44" i="59"/>
  <c r="V28" i="59"/>
  <c r="V24" i="59"/>
  <c r="V20" i="59"/>
  <c r="V78" i="59"/>
  <c r="V75" i="59"/>
  <c r="V73" i="59"/>
  <c r="V45" i="59"/>
  <c r="V29" i="59"/>
  <c r="V25" i="59"/>
  <c r="V21" i="59"/>
  <c r="N30" i="59"/>
  <c r="V38" i="59"/>
  <c r="V54" i="59"/>
  <c r="T60" i="61"/>
  <c r="Z16" i="61"/>
  <c r="H100" i="63"/>
  <c r="N16" i="63"/>
  <c r="N37" i="68"/>
  <c r="D65" i="69"/>
  <c r="L18" i="69"/>
  <c r="X30" i="69"/>
  <c r="Z30" i="69"/>
  <c r="J89" i="51"/>
  <c r="J97" i="51"/>
  <c r="J98" i="51"/>
  <c r="V14" i="54"/>
  <c r="V16" i="54"/>
  <c r="V18" i="54"/>
  <c r="V20" i="54"/>
  <c r="V24" i="55"/>
  <c r="R35" i="55"/>
  <c r="D76" i="58"/>
  <c r="L16" i="58"/>
  <c r="R60" i="61"/>
  <c r="R58" i="61"/>
  <c r="R67" i="61"/>
  <c r="R64" i="61"/>
  <c r="R52" i="61"/>
  <c r="R51" i="61"/>
  <c r="R48" i="61"/>
  <c r="R47" i="61"/>
  <c r="R38" i="61"/>
  <c r="R34" i="61"/>
  <c r="R30" i="61"/>
  <c r="R53" i="61"/>
  <c r="R49" i="61"/>
  <c r="R25" i="61"/>
  <c r="R21" i="61"/>
  <c r="R50" i="61"/>
  <c r="R40" i="61"/>
  <c r="R39" i="61"/>
  <c r="R35" i="61"/>
  <c r="R31" i="61"/>
  <c r="R26" i="61"/>
  <c r="R22" i="61"/>
  <c r="R54" i="61"/>
  <c r="R42" i="61"/>
  <c r="R41" i="61"/>
  <c r="R55" i="61"/>
  <c r="R36" i="61"/>
  <c r="R32" i="61"/>
  <c r="X12" i="61"/>
  <c r="R62" i="61"/>
  <c r="R44" i="61"/>
  <c r="R43" i="61"/>
  <c r="R27" i="61"/>
  <c r="R23" i="61"/>
  <c r="R46" i="61"/>
  <c r="R45" i="61"/>
  <c r="R37" i="61"/>
  <c r="R33" i="61"/>
  <c r="R18" i="61"/>
  <c r="R16" i="61"/>
  <c r="R14" i="61"/>
  <c r="N30" i="63"/>
  <c r="L30" i="63"/>
  <c r="J34" i="51"/>
  <c r="J38" i="51"/>
  <c r="J42" i="51"/>
  <c r="J60" i="51"/>
  <c r="J78" i="51"/>
  <c r="J88" i="51"/>
  <c r="R22" i="55"/>
  <c r="R23" i="55"/>
  <c r="V25" i="55"/>
  <c r="V35" i="55"/>
  <c r="V37" i="55"/>
  <c r="V40" i="55"/>
  <c r="J20" i="56"/>
  <c r="J34" i="56"/>
  <c r="J38" i="56"/>
  <c r="J46" i="56"/>
  <c r="J58" i="56"/>
  <c r="J66" i="56"/>
  <c r="J74" i="56"/>
  <c r="J23" i="57"/>
  <c r="J41" i="57"/>
  <c r="X52" i="57"/>
  <c r="Z52" i="57" s="1"/>
  <c r="J61" i="57"/>
  <c r="J73" i="57"/>
  <c r="V16" i="59"/>
  <c r="V30" i="59"/>
  <c r="N59" i="59"/>
  <c r="N61" i="59"/>
  <c r="R19" i="60"/>
  <c r="X18" i="61"/>
  <c r="Z18" i="61" s="1"/>
  <c r="N40" i="61"/>
  <c r="N43" i="59"/>
  <c r="R45" i="60"/>
  <c r="R37" i="60"/>
  <c r="R33" i="60"/>
  <c r="R18" i="60"/>
  <c r="R16" i="60"/>
  <c r="R14" i="60"/>
  <c r="R53" i="60"/>
  <c r="R52" i="60"/>
  <c r="R29" i="60"/>
  <c r="R28" i="60"/>
  <c r="R24" i="60"/>
  <c r="R20" i="60"/>
  <c r="P16" i="60"/>
  <c r="R54" i="60"/>
  <c r="R47" i="60"/>
  <c r="R46" i="60"/>
  <c r="R38" i="60"/>
  <c r="R34" i="60"/>
  <c r="R30" i="60"/>
  <c r="R58" i="60"/>
  <c r="R56" i="60"/>
  <c r="R25" i="60"/>
  <c r="R21" i="60"/>
  <c r="R49" i="60"/>
  <c r="R48" i="60"/>
  <c r="R40" i="60"/>
  <c r="R39" i="60"/>
  <c r="R35" i="60"/>
  <c r="R31" i="60"/>
  <c r="R60" i="60"/>
  <c r="R50" i="60"/>
  <c r="R26" i="60"/>
  <c r="R22" i="60"/>
  <c r="R65" i="60"/>
  <c r="R62" i="60"/>
  <c r="R42" i="60"/>
  <c r="R41" i="60"/>
  <c r="R51" i="60"/>
  <c r="R44" i="60"/>
  <c r="R43" i="60"/>
  <c r="R27" i="60"/>
  <c r="R23" i="60"/>
  <c r="T104" i="63"/>
  <c r="P12" i="68"/>
  <c r="X20" i="68"/>
  <c r="Z20" i="68" s="1"/>
  <c r="D16" i="54"/>
  <c r="P16" i="55"/>
  <c r="R20" i="55"/>
  <c r="R21" i="55"/>
  <c r="R31" i="55"/>
  <c r="R33" i="55"/>
  <c r="X16" i="59"/>
  <c r="P71" i="59"/>
  <c r="L43" i="59"/>
  <c r="R20" i="61"/>
  <c r="L42" i="61"/>
  <c r="N42" i="61" s="1"/>
  <c r="Z16" i="63"/>
  <c r="J75" i="51"/>
  <c r="J85" i="51"/>
  <c r="J93" i="51"/>
  <c r="R14" i="55"/>
  <c r="R16" i="55"/>
  <c r="R18" i="55"/>
  <c r="V20" i="55"/>
  <c r="R29" i="55"/>
  <c r="L13" i="56"/>
  <c r="J33" i="56"/>
  <c r="J37" i="56"/>
  <c r="J43" i="56"/>
  <c r="J55" i="56"/>
  <c r="J63" i="56"/>
  <c r="J71" i="56"/>
  <c r="L13" i="57"/>
  <c r="J25" i="57"/>
  <c r="J32" i="57"/>
  <c r="J63" i="57"/>
  <c r="L19" i="58"/>
  <c r="N19" i="58" s="1"/>
  <c r="N41" i="58"/>
  <c r="L19" i="59"/>
  <c r="N19" i="59" s="1"/>
  <c r="Z59" i="59"/>
  <c r="Z61" i="59"/>
  <c r="X12" i="60"/>
  <c r="Z18" i="60"/>
  <c r="L40" i="60"/>
  <c r="N40" i="60" s="1"/>
  <c r="R24" i="61"/>
  <c r="R28" i="61"/>
  <c r="Z40" i="61"/>
  <c r="N46" i="61"/>
  <c r="X88" i="63"/>
  <c r="Z88" i="63" s="1"/>
  <c r="R19" i="55"/>
  <c r="Z20" i="57"/>
  <c r="N43" i="58"/>
  <c r="L49" i="58"/>
  <c r="X19" i="59"/>
  <c r="V34" i="59"/>
  <c r="X46" i="61"/>
  <c r="Z46" i="61" s="1"/>
  <c r="X22" i="72"/>
  <c r="Z22" i="72" s="1"/>
  <c r="J83" i="51"/>
  <c r="J91" i="51"/>
  <c r="V14" i="55"/>
  <c r="V16" i="55"/>
  <c r="V18" i="55"/>
  <c r="Z19" i="58"/>
  <c r="N49" i="58"/>
  <c r="N51" i="58"/>
  <c r="Z19" i="59"/>
  <c r="V48" i="59"/>
  <c r="Z40" i="60"/>
  <c r="Z44" i="61"/>
  <c r="J36" i="51"/>
  <c r="J40" i="51"/>
  <c r="J44" i="51"/>
  <c r="J72" i="51"/>
  <c r="X12" i="55"/>
  <c r="F23" i="55"/>
  <c r="J32" i="56"/>
  <c r="J36" i="56"/>
  <c r="J40" i="56"/>
  <c r="J52" i="56"/>
  <c r="J60" i="56"/>
  <c r="J68" i="56"/>
  <c r="J82" i="56"/>
  <c r="J66" i="57"/>
  <c r="J58" i="57"/>
  <c r="J48" i="57"/>
  <c r="J26" i="57"/>
  <c r="J22" i="57"/>
  <c r="J49" i="57"/>
  <c r="J69" i="57"/>
  <c r="J68" i="57"/>
  <c r="J50" i="57"/>
  <c r="J70" i="57"/>
  <c r="J71" i="57"/>
  <c r="J52" i="57"/>
  <c r="J42" i="57"/>
  <c r="J60" i="57"/>
  <c r="J44" i="57"/>
  <c r="J62" i="57"/>
  <c r="J54" i="57"/>
  <c r="J46" i="57"/>
  <c r="J38" i="57"/>
  <c r="J64" i="57"/>
  <c r="J56" i="57"/>
  <c r="J30" i="57"/>
  <c r="J31" i="57"/>
  <c r="J34" i="57"/>
  <c r="J39" i="57"/>
  <c r="Z41" i="58"/>
  <c r="L67" i="58"/>
  <c r="N67" i="58" s="1"/>
  <c r="J74" i="58"/>
  <c r="J73" i="59"/>
  <c r="J61" i="59"/>
  <c r="H16" i="59"/>
  <c r="J62" i="59"/>
  <c r="J54" i="59"/>
  <c r="J38" i="59"/>
  <c r="J34" i="59"/>
  <c r="J78" i="59"/>
  <c r="J75" i="59"/>
  <c r="J45" i="59"/>
  <c r="J29" i="59"/>
  <c r="J25" i="59"/>
  <c r="J21" i="59"/>
  <c r="J46" i="59"/>
  <c r="J30" i="59"/>
  <c r="J63" i="59"/>
  <c r="J55" i="59"/>
  <c r="J47" i="59"/>
  <c r="J39" i="59"/>
  <c r="J35" i="59"/>
  <c r="J31" i="59"/>
  <c r="J64" i="59"/>
  <c r="J56" i="59"/>
  <c r="J48" i="59"/>
  <c r="J65" i="59"/>
  <c r="J57" i="59"/>
  <c r="J49" i="59"/>
  <c r="J66" i="59"/>
  <c r="J50" i="59"/>
  <c r="J40" i="59"/>
  <c r="J36" i="59"/>
  <c r="J32" i="59"/>
  <c r="N12" i="59"/>
  <c r="J67" i="59"/>
  <c r="J51" i="59"/>
  <c r="J41" i="59"/>
  <c r="J27" i="59"/>
  <c r="J23" i="59"/>
  <c r="L12" i="59"/>
  <c r="J71" i="59"/>
  <c r="J69" i="59"/>
  <c r="J59" i="59"/>
  <c r="J53" i="59"/>
  <c r="J43" i="59"/>
  <c r="J37" i="59"/>
  <c r="J33" i="59"/>
  <c r="J19" i="59"/>
  <c r="J42" i="59"/>
  <c r="J44" i="59"/>
  <c r="J52" i="59"/>
  <c r="Z44" i="60"/>
  <c r="Z48" i="61"/>
  <c r="Z52" i="61"/>
  <c r="X52" i="61"/>
  <c r="H92" i="68"/>
  <c r="L14" i="58"/>
  <c r="R34" i="58"/>
  <c r="R38" i="58"/>
  <c r="F41" i="58"/>
  <c r="F42" i="58"/>
  <c r="R46" i="58"/>
  <c r="R47" i="58"/>
  <c r="R62" i="58"/>
  <c r="R63" i="58"/>
  <c r="F66" i="58"/>
  <c r="R70" i="58"/>
  <c r="R71" i="58"/>
  <c r="L14" i="59"/>
  <c r="R34" i="59"/>
  <c r="R38" i="59"/>
  <c r="F41" i="59"/>
  <c r="F42" i="59"/>
  <c r="R54" i="59"/>
  <c r="F58" i="59"/>
  <c r="R62" i="59"/>
  <c r="R75" i="59"/>
  <c r="R78" i="59"/>
  <c r="V14" i="60"/>
  <c r="V16" i="60"/>
  <c r="V18" i="60"/>
  <c r="J22" i="60"/>
  <c r="J26" i="60"/>
  <c r="F31" i="60"/>
  <c r="F35" i="60"/>
  <c r="F39" i="60"/>
  <c r="J40" i="60"/>
  <c r="J50" i="60"/>
  <c r="F56" i="60"/>
  <c r="F58" i="60"/>
  <c r="J60" i="60"/>
  <c r="V20" i="61"/>
  <c r="V24" i="61"/>
  <c r="V28" i="61"/>
  <c r="J32" i="61"/>
  <c r="J36" i="61"/>
  <c r="F40" i="61"/>
  <c r="F41" i="61"/>
  <c r="J42" i="61"/>
  <c r="J51" i="61"/>
  <c r="J55" i="61"/>
  <c r="F19" i="63"/>
  <c r="R22" i="63"/>
  <c r="F28" i="63"/>
  <c r="R31" i="63"/>
  <c r="R36" i="63"/>
  <c r="F38" i="63"/>
  <c r="R42" i="63"/>
  <c r="Z48" i="63"/>
  <c r="J53" i="63"/>
  <c r="R60" i="63"/>
  <c r="R63" i="63"/>
  <c r="R82" i="63"/>
  <c r="X86" i="63"/>
  <c r="Z86" i="63" s="1"/>
  <c r="F90" i="63"/>
  <c r="F92" i="63"/>
  <c r="Z96" i="63"/>
  <c r="R98" i="63"/>
  <c r="J92" i="68"/>
  <c r="J83" i="68"/>
  <c r="J69" i="68"/>
  <c r="J59" i="68"/>
  <c r="J31" i="68"/>
  <c r="J27" i="68"/>
  <c r="J84" i="68"/>
  <c r="J78" i="68"/>
  <c r="J70" i="68"/>
  <c r="J60" i="68"/>
  <c r="J54" i="68"/>
  <c r="J50" i="68"/>
  <c r="J85" i="68"/>
  <c r="J79" i="68"/>
  <c r="J71" i="68"/>
  <c r="J61" i="68"/>
  <c r="J45" i="68"/>
  <c r="J41" i="68"/>
  <c r="J94" i="68"/>
  <c r="J80" i="68"/>
  <c r="J72" i="68"/>
  <c r="J62" i="68"/>
  <c r="J32" i="68"/>
  <c r="J28" i="68"/>
  <c r="J73" i="68"/>
  <c r="J63" i="68"/>
  <c r="J55" i="68"/>
  <c r="J51" i="68"/>
  <c r="J86" i="68"/>
  <c r="J74" i="68"/>
  <c r="J64" i="68"/>
  <c r="J46" i="68"/>
  <c r="J42" i="68"/>
  <c r="J87" i="68"/>
  <c r="J81" i="68"/>
  <c r="J65" i="68"/>
  <c r="J47" i="68"/>
  <c r="J33" i="68"/>
  <c r="J29" i="68"/>
  <c r="J56" i="68"/>
  <c r="J52" i="68"/>
  <c r="J48" i="68"/>
  <c r="J38" i="68"/>
  <c r="J88" i="68"/>
  <c r="J75" i="68"/>
  <c r="J43" i="68"/>
  <c r="J39" i="68"/>
  <c r="J37" i="68"/>
  <c r="J35" i="68"/>
  <c r="J25" i="68"/>
  <c r="J90" i="68"/>
  <c r="J77" i="68"/>
  <c r="J67" i="68"/>
  <c r="J57" i="68"/>
  <c r="J53" i="68"/>
  <c r="J49" i="68"/>
  <c r="J30" i="68"/>
  <c r="L37" i="68"/>
  <c r="P16" i="58"/>
  <c r="R20" i="58"/>
  <c r="R24" i="58"/>
  <c r="R28" i="58"/>
  <c r="R44" i="58"/>
  <c r="R45" i="58"/>
  <c r="F51" i="58"/>
  <c r="F52" i="58"/>
  <c r="R60" i="58"/>
  <c r="R61" i="58"/>
  <c r="R68" i="58"/>
  <c r="R69" i="58"/>
  <c r="F78" i="58"/>
  <c r="R28" i="59"/>
  <c r="R44" i="59"/>
  <c r="R60" i="59"/>
  <c r="R61" i="59"/>
  <c r="F21" i="60"/>
  <c r="F25" i="60"/>
  <c r="J48" i="60"/>
  <c r="J56" i="60"/>
  <c r="J58" i="60"/>
  <c r="V50" i="61"/>
  <c r="V60" i="61"/>
  <c r="V58" i="61"/>
  <c r="V56" i="61"/>
  <c r="V14" i="61"/>
  <c r="V16" i="61"/>
  <c r="V18" i="61"/>
  <c r="F31" i="61"/>
  <c r="F35" i="61"/>
  <c r="F39" i="61"/>
  <c r="V46" i="61"/>
  <c r="F50" i="61"/>
  <c r="V52" i="61"/>
  <c r="F60" i="61"/>
  <c r="F21" i="63"/>
  <c r="F25" i="63"/>
  <c r="J30" i="63"/>
  <c r="J35" i="63"/>
  <c r="R50" i="63"/>
  <c r="J56" i="63"/>
  <c r="J69" i="63"/>
  <c r="Z78" i="63"/>
  <c r="J66" i="68"/>
  <c r="J68" i="68"/>
  <c r="D16" i="60"/>
  <c r="F46" i="60"/>
  <c r="F53" i="60"/>
  <c r="F54" i="60"/>
  <c r="N50" i="61"/>
  <c r="F85" i="63"/>
  <c r="F81" i="63"/>
  <c r="F69" i="63"/>
  <c r="F49" i="63"/>
  <c r="F48" i="63"/>
  <c r="F97" i="63"/>
  <c r="F60" i="63"/>
  <c r="F59" i="63"/>
  <c r="F40" i="63"/>
  <c r="F36" i="63"/>
  <c r="F32" i="63"/>
  <c r="L12" i="63"/>
  <c r="F98" i="63"/>
  <c r="F96" i="63"/>
  <c r="F87" i="63"/>
  <c r="F86" i="63"/>
  <c r="F75" i="63"/>
  <c r="F27" i="63"/>
  <c r="F23" i="63"/>
  <c r="F82" i="63"/>
  <c r="F70" i="63"/>
  <c r="F62" i="63"/>
  <c r="F61" i="63"/>
  <c r="F100" i="63"/>
  <c r="F89" i="63"/>
  <c r="F88" i="63"/>
  <c r="F77" i="63"/>
  <c r="F76" i="63"/>
  <c r="F37" i="63"/>
  <c r="F33" i="63"/>
  <c r="F102" i="63"/>
  <c r="F107" i="63"/>
  <c r="F104" i="63"/>
  <c r="F73" i="63"/>
  <c r="F72" i="63"/>
  <c r="F47" i="63"/>
  <c r="F46" i="63"/>
  <c r="F39" i="63"/>
  <c r="F35" i="63"/>
  <c r="F31" i="63"/>
  <c r="F30" i="63"/>
  <c r="F18" i="63"/>
  <c r="R38" i="63"/>
  <c r="R41" i="63"/>
  <c r="F44" i="63"/>
  <c r="F55" i="63"/>
  <c r="R57" i="63"/>
  <c r="F94" i="63"/>
  <c r="R19" i="58"/>
  <c r="R42" i="58"/>
  <c r="R43" i="58"/>
  <c r="F49" i="58"/>
  <c r="F50" i="58"/>
  <c r="R66" i="58"/>
  <c r="R67" i="58"/>
  <c r="R19" i="59"/>
  <c r="F22" i="59"/>
  <c r="F26" i="59"/>
  <c r="R42" i="59"/>
  <c r="R43" i="59"/>
  <c r="R58" i="59"/>
  <c r="R59" i="59"/>
  <c r="R69" i="59"/>
  <c r="R71" i="59"/>
  <c r="F14" i="60"/>
  <c r="F16" i="60"/>
  <c r="F18" i="60"/>
  <c r="V22" i="60"/>
  <c r="V26" i="60"/>
  <c r="J30" i="60"/>
  <c r="J34" i="60"/>
  <c r="J38" i="60"/>
  <c r="V42" i="60"/>
  <c r="J46" i="60"/>
  <c r="V50" i="60"/>
  <c r="J54" i="60"/>
  <c r="V60" i="60"/>
  <c r="V62" i="60"/>
  <c r="V65" i="60"/>
  <c r="Z12" i="61"/>
  <c r="F21" i="61"/>
  <c r="F25" i="61"/>
  <c r="V32" i="61"/>
  <c r="V36" i="61"/>
  <c r="V44" i="61"/>
  <c r="F48" i="61"/>
  <c r="F49" i="61"/>
  <c r="J50" i="61"/>
  <c r="J67" i="61"/>
  <c r="J97" i="63"/>
  <c r="J96" i="63"/>
  <c r="J86" i="63"/>
  <c r="J60" i="63"/>
  <c r="J40" i="63"/>
  <c r="J36" i="63"/>
  <c r="J32" i="63"/>
  <c r="N12" i="63"/>
  <c r="J98" i="63"/>
  <c r="J87" i="63"/>
  <c r="J75" i="63"/>
  <c r="J61" i="63"/>
  <c r="J41" i="63"/>
  <c r="J27" i="63"/>
  <c r="J23" i="63"/>
  <c r="J100" i="63"/>
  <c r="J88" i="63"/>
  <c r="J82" i="63"/>
  <c r="J76" i="63"/>
  <c r="J70" i="63"/>
  <c r="J62" i="63"/>
  <c r="J50" i="63"/>
  <c r="J42" i="63"/>
  <c r="J89" i="63"/>
  <c r="J77" i="63"/>
  <c r="J63" i="63"/>
  <c r="J102" i="63"/>
  <c r="J90" i="63"/>
  <c r="J78" i="63"/>
  <c r="J64" i="63"/>
  <c r="J52" i="63"/>
  <c r="J44" i="63"/>
  <c r="J28" i="63"/>
  <c r="J24" i="63"/>
  <c r="J20" i="63"/>
  <c r="J18" i="63"/>
  <c r="J16" i="63"/>
  <c r="J14" i="63"/>
  <c r="J91" i="63"/>
  <c r="J83" i="63"/>
  <c r="J79" i="63"/>
  <c r="J71" i="63"/>
  <c r="J92" i="63"/>
  <c r="J84" i="63"/>
  <c r="J80" i="63"/>
  <c r="J68" i="63"/>
  <c r="J94" i="63"/>
  <c r="J74" i="63"/>
  <c r="J58" i="63"/>
  <c r="J48" i="63"/>
  <c r="J26" i="63"/>
  <c r="J22" i="63"/>
  <c r="N18" i="63"/>
  <c r="R19" i="63"/>
  <c r="F29" i="63"/>
  <c r="J46" i="63"/>
  <c r="Z57" i="63"/>
  <c r="J59" i="63"/>
  <c r="J81" i="63"/>
  <c r="F83" i="63"/>
  <c r="X90" i="63"/>
  <c r="D12" i="68"/>
  <c r="J58" i="68"/>
  <c r="H16" i="60"/>
  <c r="D16" i="61"/>
  <c r="R90" i="63"/>
  <c r="R89" i="63"/>
  <c r="R78" i="63"/>
  <c r="R77" i="63"/>
  <c r="R37" i="63"/>
  <c r="R33" i="63"/>
  <c r="R18" i="63"/>
  <c r="R16" i="63"/>
  <c r="R14" i="63"/>
  <c r="R102" i="63"/>
  <c r="R65" i="63"/>
  <c r="R64" i="63"/>
  <c r="R53" i="63"/>
  <c r="R52" i="63"/>
  <c r="R44" i="63"/>
  <c r="R28" i="63"/>
  <c r="R24" i="63"/>
  <c r="R20" i="63"/>
  <c r="P16" i="63"/>
  <c r="R107" i="63"/>
  <c r="R104" i="63"/>
  <c r="R91" i="63"/>
  <c r="R83" i="63"/>
  <c r="R79" i="63"/>
  <c r="R72" i="63"/>
  <c r="R71" i="63"/>
  <c r="R67" i="63"/>
  <c r="R66" i="63"/>
  <c r="R73" i="63"/>
  <c r="R46" i="63"/>
  <c r="R45" i="63"/>
  <c r="R30" i="63"/>
  <c r="R29" i="63"/>
  <c r="R25" i="63"/>
  <c r="R21" i="63"/>
  <c r="R93" i="63"/>
  <c r="R92" i="63"/>
  <c r="R84" i="63"/>
  <c r="R80" i="63"/>
  <c r="R68" i="63"/>
  <c r="R97" i="63"/>
  <c r="R96" i="63"/>
  <c r="R86" i="63"/>
  <c r="R85" i="63"/>
  <c r="R81" i="63"/>
  <c r="R69" i="63"/>
  <c r="R100" i="63"/>
  <c r="R88" i="63"/>
  <c r="R87" i="63"/>
  <c r="R76" i="63"/>
  <c r="R75" i="63"/>
  <c r="R27" i="63"/>
  <c r="R23" i="63"/>
  <c r="R35" i="63"/>
  <c r="R40" i="63"/>
  <c r="F43" i="63"/>
  <c r="F52" i="63"/>
  <c r="R56" i="63"/>
  <c r="F79" i="63"/>
  <c r="R94" i="63"/>
  <c r="J107" i="63"/>
  <c r="R32" i="58"/>
  <c r="R36" i="58"/>
  <c r="R40" i="58"/>
  <c r="R41" i="58"/>
  <c r="F47" i="58"/>
  <c r="F48" i="58"/>
  <c r="R52" i="58"/>
  <c r="F56" i="58"/>
  <c r="F63" i="58"/>
  <c r="F64" i="58"/>
  <c r="F71" i="58"/>
  <c r="F72" i="58"/>
  <c r="R78" i="58"/>
  <c r="R41" i="59"/>
  <c r="F75" i="59"/>
  <c r="F78" i="59"/>
  <c r="J14" i="60"/>
  <c r="J16" i="60"/>
  <c r="J18" i="60"/>
  <c r="J20" i="60"/>
  <c r="J24" i="60"/>
  <c r="J28" i="60"/>
  <c r="F33" i="60"/>
  <c r="F37" i="60"/>
  <c r="F44" i="60"/>
  <c r="F45" i="60"/>
  <c r="J52" i="60"/>
  <c r="F14" i="61"/>
  <c r="F16" i="61"/>
  <c r="F18" i="61"/>
  <c r="V22" i="61"/>
  <c r="V26" i="61"/>
  <c r="V42" i="61"/>
  <c r="F46" i="61"/>
  <c r="F47" i="61"/>
  <c r="D16" i="63"/>
  <c r="Z30" i="63"/>
  <c r="R32" i="63"/>
  <c r="F34" i="63"/>
  <c r="R49" i="63"/>
  <c r="F64" i="63"/>
  <c r="F91" i="63"/>
  <c r="N47" i="68"/>
  <c r="N79" i="68"/>
  <c r="T65" i="69"/>
  <c r="R57" i="58"/>
  <c r="R58" i="58"/>
  <c r="R65" i="58"/>
  <c r="R57" i="59"/>
  <c r="R65" i="59"/>
  <c r="R66" i="59"/>
  <c r="J33" i="60"/>
  <c r="J37" i="60"/>
  <c r="J45" i="60"/>
  <c r="H16" i="61"/>
  <c r="F19" i="61"/>
  <c r="F20" i="61"/>
  <c r="F24" i="61"/>
  <c r="F28" i="61"/>
  <c r="V31" i="61"/>
  <c r="V35" i="61"/>
  <c r="V39" i="61"/>
  <c r="L58" i="61"/>
  <c r="X12" i="63"/>
  <c r="F16" i="63"/>
  <c r="J34" i="63"/>
  <c r="J39" i="63"/>
  <c r="J43" i="63"/>
  <c r="F45" i="63"/>
  <c r="X46" i="63"/>
  <c r="F51" i="63"/>
  <c r="F54" i="63"/>
  <c r="F58" i="63"/>
  <c r="R59" i="63"/>
  <c r="F66" i="63"/>
  <c r="F74" i="63"/>
  <c r="F93" i="63"/>
  <c r="Z58" i="68"/>
  <c r="X79" i="68"/>
  <c r="R22" i="58"/>
  <c r="R26" i="58"/>
  <c r="R50" i="58"/>
  <c r="R51" i="58"/>
  <c r="F61" i="58"/>
  <c r="F62" i="58"/>
  <c r="F69" i="58"/>
  <c r="F70" i="58"/>
  <c r="L30" i="59"/>
  <c r="F54" i="59"/>
  <c r="F61" i="59"/>
  <c r="F62" i="59"/>
  <c r="F23" i="60"/>
  <c r="F27" i="60"/>
  <c r="F42" i="60"/>
  <c r="F43" i="60"/>
  <c r="J44" i="60"/>
  <c r="F51" i="60"/>
  <c r="V54" i="60"/>
  <c r="V56" i="60"/>
  <c r="V58" i="60"/>
  <c r="F62" i="60"/>
  <c r="F65" i="60"/>
  <c r="F33" i="61"/>
  <c r="F37" i="61"/>
  <c r="V40" i="61"/>
  <c r="F44" i="61"/>
  <c r="J46" i="61"/>
  <c r="Z50" i="61"/>
  <c r="J64" i="61"/>
  <c r="J45" i="63"/>
  <c r="Z46" i="63"/>
  <c r="N51" i="63"/>
  <c r="J54" i="63"/>
  <c r="Z59" i="63"/>
  <c r="J66" i="63"/>
  <c r="L72" i="63"/>
  <c r="N72" i="63" s="1"/>
  <c r="L25" i="68"/>
  <c r="N25" i="68" s="1"/>
  <c r="Z47" i="68"/>
  <c r="X71" i="68"/>
  <c r="Z73" i="68"/>
  <c r="Z79" i="68"/>
  <c r="R31" i="58"/>
  <c r="R35" i="58"/>
  <c r="R39" i="58"/>
  <c r="F54" i="58"/>
  <c r="F55" i="58"/>
  <c r="R74" i="58"/>
  <c r="R76" i="58"/>
  <c r="R39" i="59"/>
  <c r="R47" i="59"/>
  <c r="R48" i="59"/>
  <c r="R55" i="59"/>
  <c r="R56" i="59"/>
  <c r="R63" i="59"/>
  <c r="F73" i="59"/>
  <c r="L12" i="60"/>
  <c r="J23" i="60"/>
  <c r="J27" i="60"/>
  <c r="F32" i="60"/>
  <c r="F36" i="60"/>
  <c r="J43" i="60"/>
  <c r="J51" i="60"/>
  <c r="F67" i="61"/>
  <c r="F64" i="61"/>
  <c r="F53" i="61"/>
  <c r="F52" i="61"/>
  <c r="V25" i="61"/>
  <c r="V49" i="61"/>
  <c r="V53" i="61"/>
  <c r="L55" i="61"/>
  <c r="F56" i="61"/>
  <c r="V67" i="61"/>
  <c r="F22" i="63"/>
  <c r="R34" i="63"/>
  <c r="F42" i="63"/>
  <c r="R43" i="63"/>
  <c r="J51" i="63"/>
  <c r="L53" i="63"/>
  <c r="N53" i="63" s="1"/>
  <c r="R55" i="63"/>
  <c r="F57" i="63"/>
  <c r="R61" i="63"/>
  <c r="F63" i="63"/>
  <c r="F68" i="63"/>
  <c r="J93" i="63"/>
  <c r="Z71" i="68"/>
  <c r="F43" i="58"/>
  <c r="F44" i="58"/>
  <c r="R48" i="58"/>
  <c r="R49" i="58"/>
  <c r="R56" i="58"/>
  <c r="F60" i="58"/>
  <c r="R64" i="58"/>
  <c r="F67" i="58"/>
  <c r="F19" i="59"/>
  <c r="F20" i="59"/>
  <c r="F24" i="59"/>
  <c r="F28" i="59"/>
  <c r="F43" i="59"/>
  <c r="F44" i="59"/>
  <c r="F59" i="59"/>
  <c r="F60" i="59"/>
  <c r="F69" i="59"/>
  <c r="N12" i="60"/>
  <c r="V24" i="60"/>
  <c r="V28" i="60"/>
  <c r="J32" i="60"/>
  <c r="J36" i="60"/>
  <c r="F40" i="60"/>
  <c r="J42" i="60"/>
  <c r="J62" i="60"/>
  <c r="J54" i="61"/>
  <c r="J60" i="61"/>
  <c r="J58" i="61"/>
  <c r="F23" i="61"/>
  <c r="F27" i="61"/>
  <c r="V30" i="61"/>
  <c r="V34" i="61"/>
  <c r="V38" i="61"/>
  <c r="F42" i="61"/>
  <c r="F43" i="61"/>
  <c r="J44" i="61"/>
  <c r="F55" i="61"/>
  <c r="J56" i="61"/>
  <c r="F62" i="61"/>
  <c r="F14" i="63"/>
  <c r="F20" i="63"/>
  <c r="F24" i="63"/>
  <c r="F26" i="63"/>
  <c r="R39" i="63"/>
  <c r="J47" i="63"/>
  <c r="F53" i="63"/>
  <c r="R54" i="63"/>
  <c r="R58" i="63"/>
  <c r="N63" i="63"/>
  <c r="L65" i="63"/>
  <c r="N65" i="63" s="1"/>
  <c r="J72" i="63"/>
  <c r="R74" i="63"/>
  <c r="N76" i="63"/>
  <c r="F84" i="63"/>
  <c r="L67" i="68"/>
  <c r="N67" i="68" s="1"/>
  <c r="L60" i="72"/>
  <c r="N60" i="72" s="1"/>
  <c r="V14" i="63"/>
  <c r="V16" i="63"/>
  <c r="V18" i="63"/>
  <c r="V42" i="63"/>
  <c r="V50" i="63"/>
  <c r="V62" i="63"/>
  <c r="V70" i="63"/>
  <c r="V78" i="63"/>
  <c r="V82" i="63"/>
  <c r="V90" i="63"/>
  <c r="V41" i="68"/>
  <c r="V45" i="68"/>
  <c r="V61" i="68"/>
  <c r="V73" i="68"/>
  <c r="V85" i="68"/>
  <c r="R15" i="69"/>
  <c r="J29" i="69"/>
  <c r="V54" i="69"/>
  <c r="R57" i="72"/>
  <c r="R22" i="72"/>
  <c r="R17" i="72"/>
  <c r="R65" i="72"/>
  <c r="R64" i="72"/>
  <c r="R49" i="72"/>
  <c r="R48" i="72"/>
  <c r="R40" i="72"/>
  <c r="R36" i="72"/>
  <c r="R21" i="72"/>
  <c r="R19" i="72"/>
  <c r="R32" i="72"/>
  <c r="R31" i="72"/>
  <c r="R27" i="72"/>
  <c r="R23" i="72"/>
  <c r="P19" i="72"/>
  <c r="R66" i="72"/>
  <c r="R58" i="72"/>
  <c r="R51" i="72"/>
  <c r="R50" i="72"/>
  <c r="R70" i="72"/>
  <c r="R68" i="72"/>
  <c r="R41" i="72"/>
  <c r="R37" i="72"/>
  <c r="R33" i="72"/>
  <c r="R52" i="72"/>
  <c r="R28" i="72"/>
  <c r="R24" i="72"/>
  <c r="R60" i="72"/>
  <c r="R59" i="72"/>
  <c r="R72" i="72"/>
  <c r="R43" i="72"/>
  <c r="R42" i="72"/>
  <c r="R38" i="72"/>
  <c r="R34" i="72"/>
  <c r="R15" i="72"/>
  <c r="R77" i="72"/>
  <c r="R74" i="72"/>
  <c r="R61" i="72"/>
  <c r="R54" i="72"/>
  <c r="R53" i="72"/>
  <c r="R29" i="72"/>
  <c r="R25" i="72"/>
  <c r="R56" i="72"/>
  <c r="R55" i="72"/>
  <c r="R39" i="72"/>
  <c r="R35" i="72"/>
  <c r="N21" i="72"/>
  <c r="R44" i="72"/>
  <c r="P12" i="74"/>
  <c r="N104" i="74"/>
  <c r="L104" i="74"/>
  <c r="V88" i="63"/>
  <c r="V98" i="63"/>
  <c r="V100" i="63"/>
  <c r="V27" i="68"/>
  <c r="V31" i="68"/>
  <c r="V59" i="68"/>
  <c r="V71" i="68"/>
  <c r="V79" i="68"/>
  <c r="Z53" i="70"/>
  <c r="N84" i="70"/>
  <c r="N92" i="70"/>
  <c r="N56" i="72"/>
  <c r="V94" i="68"/>
  <c r="V40" i="68"/>
  <c r="V44" i="68"/>
  <c r="V60" i="68"/>
  <c r="V68" i="68"/>
  <c r="V84" i="68"/>
  <c r="J18" i="69"/>
  <c r="V29" i="69"/>
  <c r="V44" i="69"/>
  <c r="R51" i="69"/>
  <c r="H69" i="69"/>
  <c r="L76" i="70"/>
  <c r="N78" i="70"/>
  <c r="X56" i="72"/>
  <c r="P12" i="83"/>
  <c r="X13" i="83"/>
  <c r="Z13" i="83" s="1"/>
  <c r="L38" i="68"/>
  <c r="N38" i="68" s="1"/>
  <c r="V49" i="68"/>
  <c r="V53" i="68"/>
  <c r="V57" i="68"/>
  <c r="X60" i="68"/>
  <c r="V69" i="68"/>
  <c r="V77" i="68"/>
  <c r="X84" i="68"/>
  <c r="Z84" i="68" s="1"/>
  <c r="R65" i="69"/>
  <c r="R63" i="69"/>
  <c r="R45" i="69"/>
  <c r="R44" i="69"/>
  <c r="R28" i="69"/>
  <c r="R24" i="69"/>
  <c r="R55" i="69"/>
  <c r="R47" i="69"/>
  <c r="R46" i="69"/>
  <c r="R38" i="69"/>
  <c r="R34" i="69"/>
  <c r="R67" i="69"/>
  <c r="R30" i="69"/>
  <c r="R29" i="69"/>
  <c r="R25" i="69"/>
  <c r="R72" i="69"/>
  <c r="R69" i="69"/>
  <c r="R57" i="69"/>
  <c r="R56" i="69"/>
  <c r="R49" i="69"/>
  <c r="R48" i="69"/>
  <c r="R21" i="69"/>
  <c r="R39" i="69"/>
  <c r="R35" i="69"/>
  <c r="R31" i="69"/>
  <c r="R20" i="69"/>
  <c r="R18" i="69"/>
  <c r="R52" i="69"/>
  <c r="R41" i="69"/>
  <c r="R40" i="69"/>
  <c r="R36" i="69"/>
  <c r="R32" i="69"/>
  <c r="R43" i="69"/>
  <c r="R42" i="69"/>
  <c r="N18" i="69"/>
  <c r="N76" i="70"/>
  <c r="Z84" i="70"/>
  <c r="Z56" i="72"/>
  <c r="V26" i="68"/>
  <c r="V30" i="68"/>
  <c r="V58" i="68"/>
  <c r="V66" i="68"/>
  <c r="V82" i="68"/>
  <c r="V90" i="68"/>
  <c r="X13" i="69"/>
  <c r="Z13" i="69" s="1"/>
  <c r="P18" i="69"/>
  <c r="R22" i="69"/>
  <c r="R59" i="69"/>
  <c r="X63" i="69"/>
  <c r="P12" i="70"/>
  <c r="X13" i="70"/>
  <c r="Z13" i="70" s="1"/>
  <c r="N54" i="70"/>
  <c r="Z80" i="70"/>
  <c r="Z82" i="70"/>
  <c r="X84" i="70"/>
  <c r="Z90" i="70"/>
  <c r="X92" i="70"/>
  <c r="Z92" i="70" s="1"/>
  <c r="V48" i="63"/>
  <c r="V56" i="63"/>
  <c r="V68" i="63"/>
  <c r="V80" i="63"/>
  <c r="V84" i="63"/>
  <c r="V92" i="63"/>
  <c r="V39" i="68"/>
  <c r="V43" i="68"/>
  <c r="V67" i="68"/>
  <c r="V75" i="68"/>
  <c r="V88" i="68"/>
  <c r="F52" i="69"/>
  <c r="F51" i="69"/>
  <c r="F40" i="69"/>
  <c r="F36" i="69"/>
  <c r="F32" i="69"/>
  <c r="F59" i="69"/>
  <c r="F27" i="69"/>
  <c r="F23" i="69"/>
  <c r="F42" i="69"/>
  <c r="F41" i="69"/>
  <c r="F61" i="69"/>
  <c r="F60" i="69"/>
  <c r="F53" i="69"/>
  <c r="F37" i="69"/>
  <c r="F33" i="69"/>
  <c r="F44" i="69"/>
  <c r="F43" i="69"/>
  <c r="F28" i="69"/>
  <c r="F24" i="69"/>
  <c r="F55" i="69"/>
  <c r="F54" i="69"/>
  <c r="F67" i="69"/>
  <c r="F29" i="69"/>
  <c r="F56" i="69"/>
  <c r="F48" i="69"/>
  <c r="F47" i="69"/>
  <c r="F16" i="69"/>
  <c r="F15" i="69"/>
  <c r="F72" i="69"/>
  <c r="F69" i="69"/>
  <c r="F58" i="69"/>
  <c r="F57" i="69"/>
  <c r="F50" i="69"/>
  <c r="F49" i="69"/>
  <c r="F26" i="69"/>
  <c r="F22" i="69"/>
  <c r="F21" i="69"/>
  <c r="F65" i="69"/>
  <c r="L54" i="70"/>
  <c r="Z76" i="70"/>
  <c r="Z78" i="70"/>
  <c r="Z15" i="72"/>
  <c r="R63" i="72"/>
  <c r="V73" i="63"/>
  <c r="V93" i="63"/>
  <c r="T35" i="68"/>
  <c r="V48" i="68"/>
  <c r="V52" i="68"/>
  <c r="V56" i="68"/>
  <c r="X67" i="68"/>
  <c r="Z67" i="68" s="1"/>
  <c r="L73" i="68"/>
  <c r="N73" i="68" s="1"/>
  <c r="V76" i="68"/>
  <c r="J59" i="69"/>
  <c r="J41" i="69"/>
  <c r="J27" i="69"/>
  <c r="J23" i="69"/>
  <c r="J60" i="69"/>
  <c r="J42" i="69"/>
  <c r="J61" i="69"/>
  <c r="J53" i="69"/>
  <c r="J43" i="69"/>
  <c r="J37" i="69"/>
  <c r="J54" i="69"/>
  <c r="J44" i="69"/>
  <c r="J28" i="69"/>
  <c r="J24" i="69"/>
  <c r="J65" i="69"/>
  <c r="J63" i="69"/>
  <c r="J55" i="69"/>
  <c r="J45" i="69"/>
  <c r="J46" i="69"/>
  <c r="J38" i="69"/>
  <c r="J34" i="69"/>
  <c r="J56" i="69"/>
  <c r="J48" i="69"/>
  <c r="J30" i="69"/>
  <c r="J72" i="69"/>
  <c r="J69" i="69"/>
  <c r="J57" i="69"/>
  <c r="J49" i="69"/>
  <c r="J39" i="69"/>
  <c r="J35" i="69"/>
  <c r="J31" i="69"/>
  <c r="J21" i="69"/>
  <c r="J51" i="69"/>
  <c r="L15" i="69"/>
  <c r="R33" i="69"/>
  <c r="R37" i="69"/>
  <c r="R50" i="69"/>
  <c r="J52" i="69"/>
  <c r="N95" i="70"/>
  <c r="Z63" i="72"/>
  <c r="H74" i="72"/>
  <c r="V38" i="63"/>
  <c r="V46" i="63"/>
  <c r="V54" i="63"/>
  <c r="V66" i="63"/>
  <c r="V25" i="68"/>
  <c r="V29" i="68"/>
  <c r="V33" i="68"/>
  <c r="V37" i="68"/>
  <c r="V65" i="68"/>
  <c r="V81" i="68"/>
  <c r="R26" i="69"/>
  <c r="J58" i="69"/>
  <c r="R61" i="69"/>
  <c r="T112" i="70"/>
  <c r="V112" i="70" s="1"/>
  <c r="V55" i="63"/>
  <c r="V67" i="63"/>
  <c r="V71" i="63"/>
  <c r="V79" i="63"/>
  <c r="V83" i="63"/>
  <c r="V91" i="63"/>
  <c r="V38" i="68"/>
  <c r="V42" i="68"/>
  <c r="V46" i="68"/>
  <c r="V74" i="68"/>
  <c r="V86" i="68"/>
  <c r="Z87" i="68"/>
  <c r="N12" i="69"/>
  <c r="J15" i="69"/>
  <c r="R16" i="69"/>
  <c r="X43" i="69"/>
  <c r="L49" i="69"/>
  <c r="J67" i="69"/>
  <c r="Z43" i="72"/>
  <c r="N52" i="74"/>
  <c r="V20" i="63"/>
  <c r="V24" i="63"/>
  <c r="V28" i="63"/>
  <c r="V44" i="63"/>
  <c r="V52" i="63"/>
  <c r="V64" i="63"/>
  <c r="V72" i="63"/>
  <c r="V102" i="63"/>
  <c r="V104" i="63"/>
  <c r="V47" i="68"/>
  <c r="V51" i="68"/>
  <c r="V55" i="68"/>
  <c r="V63" i="68"/>
  <c r="V87" i="68"/>
  <c r="V55" i="69"/>
  <c r="V47" i="69"/>
  <c r="V46" i="69"/>
  <c r="V38" i="69"/>
  <c r="V34" i="69"/>
  <c r="V30" i="69"/>
  <c r="V67" i="69"/>
  <c r="V57" i="69"/>
  <c r="V49" i="69"/>
  <c r="V56" i="69"/>
  <c r="V48" i="69"/>
  <c r="V20" i="69"/>
  <c r="V18" i="69"/>
  <c r="V16" i="69"/>
  <c r="V51" i="69"/>
  <c r="V39" i="69"/>
  <c r="V35" i="69"/>
  <c r="V31" i="69"/>
  <c r="V58" i="69"/>
  <c r="V50" i="69"/>
  <c r="V26" i="69"/>
  <c r="V22" i="69"/>
  <c r="Z12" i="69"/>
  <c r="V60" i="69"/>
  <c r="V52" i="69"/>
  <c r="V40" i="69"/>
  <c r="V36" i="69"/>
  <c r="V32" i="69"/>
  <c r="V59" i="69"/>
  <c r="V43" i="69"/>
  <c r="V27" i="69"/>
  <c r="V23" i="69"/>
  <c r="V65" i="69"/>
  <c r="V63" i="69"/>
  <c r="V61" i="69"/>
  <c r="V53" i="69"/>
  <c r="V45" i="69"/>
  <c r="V37" i="69"/>
  <c r="V33" i="69"/>
  <c r="J25" i="69"/>
  <c r="J32" i="69"/>
  <c r="V41" i="69"/>
  <c r="R54" i="69"/>
  <c r="D12" i="70"/>
  <c r="J54" i="70"/>
  <c r="V56" i="70"/>
  <c r="V60" i="70"/>
  <c r="V64" i="70"/>
  <c r="J68" i="70"/>
  <c r="J72" i="70"/>
  <c r="J78" i="70"/>
  <c r="V84" i="70"/>
  <c r="J88" i="70"/>
  <c r="V92" i="70"/>
  <c r="J96" i="70"/>
  <c r="V108" i="70"/>
  <c r="Z12" i="72"/>
  <c r="V22" i="72"/>
  <c r="V26" i="72"/>
  <c r="V30" i="72"/>
  <c r="J34" i="72"/>
  <c r="J38" i="72"/>
  <c r="J42" i="72"/>
  <c r="V46" i="72"/>
  <c r="F59" i="72"/>
  <c r="J60" i="72"/>
  <c r="V62" i="72"/>
  <c r="F68" i="72"/>
  <c r="F70" i="72"/>
  <c r="J72" i="72"/>
  <c r="J54" i="74"/>
  <c r="J58" i="74"/>
  <c r="J62" i="74"/>
  <c r="J66" i="74"/>
  <c r="J70" i="74"/>
  <c r="J74" i="74"/>
  <c r="Z100" i="74"/>
  <c r="N110" i="74"/>
  <c r="J65" i="75"/>
  <c r="J57" i="75"/>
  <c r="J39" i="75"/>
  <c r="H26" i="75"/>
  <c r="J66" i="75"/>
  <c r="J58" i="75"/>
  <c r="J48" i="75"/>
  <c r="J44" i="75"/>
  <c r="J40" i="75"/>
  <c r="J71" i="75"/>
  <c r="J67" i="75"/>
  <c r="J59" i="75"/>
  <c r="J35" i="75"/>
  <c r="J31" i="75"/>
  <c r="J72" i="75"/>
  <c r="J73" i="75"/>
  <c r="J49" i="75"/>
  <c r="J45" i="75"/>
  <c r="J41" i="75"/>
  <c r="J74" i="75"/>
  <c r="J68" i="75"/>
  <c r="J60" i="75"/>
  <c r="J50" i="75"/>
  <c r="J36" i="75"/>
  <c r="J32" i="75"/>
  <c r="J75" i="75"/>
  <c r="J61" i="75"/>
  <c r="J51" i="75"/>
  <c r="J62" i="75"/>
  <c r="J52" i="75"/>
  <c r="J46" i="75"/>
  <c r="J42" i="75"/>
  <c r="J78" i="75"/>
  <c r="J77" i="75"/>
  <c r="J69" i="75"/>
  <c r="J53" i="75"/>
  <c r="J37" i="75"/>
  <c r="J33" i="75"/>
  <c r="J63" i="75"/>
  <c r="J55" i="75"/>
  <c r="J47" i="75"/>
  <c r="J43" i="75"/>
  <c r="J29" i="75"/>
  <c r="V56" i="76"/>
  <c r="Z53" i="79"/>
  <c r="Z55" i="79"/>
  <c r="Z68" i="79"/>
  <c r="F57" i="80"/>
  <c r="F49" i="80"/>
  <c r="F48" i="80"/>
  <c r="F64" i="80"/>
  <c r="F63" i="80"/>
  <c r="F40" i="80"/>
  <c r="F36" i="80"/>
  <c r="F32" i="80"/>
  <c r="F31" i="80"/>
  <c r="F59" i="80"/>
  <c r="F58" i="80"/>
  <c r="F51" i="80"/>
  <c r="F50" i="80"/>
  <c r="F53" i="80"/>
  <c r="F52" i="80"/>
  <c r="F41" i="80"/>
  <c r="F37" i="80"/>
  <c r="F33" i="80"/>
  <c r="F60" i="80"/>
  <c r="F28" i="80"/>
  <c r="F24" i="80"/>
  <c r="F72" i="80"/>
  <c r="F54" i="80"/>
  <c r="F38" i="80"/>
  <c r="F34" i="80"/>
  <c r="F61" i="80"/>
  <c r="F45" i="80"/>
  <c r="F44" i="80"/>
  <c r="F29" i="80"/>
  <c r="F25" i="80"/>
  <c r="F46" i="80"/>
  <c r="F23" i="80"/>
  <c r="F77" i="80"/>
  <c r="F30" i="80"/>
  <c r="F17" i="80"/>
  <c r="F68" i="80"/>
  <c r="F26" i="80"/>
  <c r="F55" i="80"/>
  <c r="F47" i="80"/>
  <c r="F19" i="80"/>
  <c r="F74" i="80"/>
  <c r="F70" i="80"/>
  <c r="F39" i="80"/>
  <c r="D19" i="80"/>
  <c r="F65" i="80"/>
  <c r="F62" i="80"/>
  <c r="F21" i="80"/>
  <c r="F42" i="80"/>
  <c r="F27" i="80"/>
  <c r="F66" i="80"/>
  <c r="F16" i="80"/>
  <c r="Z68" i="80"/>
  <c r="X68" i="80"/>
  <c r="V34" i="70"/>
  <c r="V38" i="70"/>
  <c r="V42" i="70"/>
  <c r="V46" i="70"/>
  <c r="J58" i="70"/>
  <c r="J62" i="70"/>
  <c r="J76" i="70"/>
  <c r="V82" i="70"/>
  <c r="J86" i="70"/>
  <c r="V90" i="70"/>
  <c r="J94" i="70"/>
  <c r="V98" i="70"/>
  <c r="J102" i="70"/>
  <c r="J114" i="70"/>
  <c r="V16" i="72"/>
  <c r="D19" i="72"/>
  <c r="J24" i="72"/>
  <c r="J28" i="72"/>
  <c r="F32" i="72"/>
  <c r="F33" i="72"/>
  <c r="F37" i="72"/>
  <c r="F41" i="72"/>
  <c r="V44" i="72"/>
  <c r="X47" i="72"/>
  <c r="J52" i="72"/>
  <c r="V56" i="72"/>
  <c r="J68" i="72"/>
  <c r="J70" i="72"/>
  <c r="V80" i="74"/>
  <c r="V84" i="74"/>
  <c r="V88" i="74"/>
  <c r="V95" i="74"/>
  <c r="J99" i="74"/>
  <c r="Z110" i="74"/>
  <c r="N128" i="74"/>
  <c r="J133" i="74"/>
  <c r="P144" i="74"/>
  <c r="X144" i="74" s="1"/>
  <c r="R24" i="75"/>
  <c r="Z39" i="75"/>
  <c r="R58" i="75"/>
  <c r="V42" i="76"/>
  <c r="N49" i="76"/>
  <c r="F83" i="76"/>
  <c r="F93" i="76"/>
  <c r="F69" i="79"/>
  <c r="F68" i="79"/>
  <c r="F56" i="79"/>
  <c r="F55" i="79"/>
  <c r="F44" i="79"/>
  <c r="F40" i="79"/>
  <c r="F36" i="79"/>
  <c r="F85" i="79"/>
  <c r="F82" i="79"/>
  <c r="F63" i="79"/>
  <c r="F31" i="79"/>
  <c r="F27" i="79"/>
  <c r="F70" i="79"/>
  <c r="F46" i="79"/>
  <c r="F45" i="79"/>
  <c r="F18" i="79"/>
  <c r="F17" i="79"/>
  <c r="F65" i="79"/>
  <c r="F64" i="79"/>
  <c r="F57" i="79"/>
  <c r="F41" i="79"/>
  <c r="F37" i="79"/>
  <c r="F72" i="79"/>
  <c r="F71" i="79"/>
  <c r="F48" i="79"/>
  <c r="F47" i="79"/>
  <c r="F32" i="79"/>
  <c r="F28" i="79"/>
  <c r="F59" i="79"/>
  <c r="F58" i="79"/>
  <c r="F19" i="79"/>
  <c r="F74" i="79"/>
  <c r="F73" i="79"/>
  <c r="F66" i="79"/>
  <c r="F50" i="79"/>
  <c r="F49" i="79"/>
  <c r="F42" i="79"/>
  <c r="F38" i="79"/>
  <c r="L12" i="79"/>
  <c r="N12" i="79" s="1"/>
  <c r="F33" i="79"/>
  <c r="F29" i="79"/>
  <c r="F25" i="79"/>
  <c r="F24" i="79"/>
  <c r="F78" i="79"/>
  <c r="F76" i="79"/>
  <c r="F67" i="79"/>
  <c r="F43" i="79"/>
  <c r="F39" i="79"/>
  <c r="F35" i="79"/>
  <c r="F34" i="79"/>
  <c r="D21" i="79"/>
  <c r="F52" i="79"/>
  <c r="F54" i="79"/>
  <c r="N58" i="79"/>
  <c r="N64" i="79"/>
  <c r="L76" i="79"/>
  <c r="F43" i="80"/>
  <c r="V55" i="70"/>
  <c r="V59" i="70"/>
  <c r="V63" i="70"/>
  <c r="J67" i="70"/>
  <c r="J71" i="70"/>
  <c r="J75" i="70"/>
  <c r="V79" i="70"/>
  <c r="J101" i="70"/>
  <c r="V103" i="70"/>
  <c r="F19" i="72"/>
  <c r="F21" i="72"/>
  <c r="V25" i="72"/>
  <c r="V29" i="72"/>
  <c r="J33" i="72"/>
  <c r="J37" i="72"/>
  <c r="J41" i="72"/>
  <c r="V45" i="72"/>
  <c r="F49" i="72"/>
  <c r="F50" i="72"/>
  <c r="J51" i="72"/>
  <c r="V53" i="72"/>
  <c r="F58" i="72"/>
  <c r="V61" i="72"/>
  <c r="F65" i="72"/>
  <c r="F66" i="72"/>
  <c r="D12" i="74"/>
  <c r="J53" i="74"/>
  <c r="J57" i="74"/>
  <c r="J61" i="74"/>
  <c r="J65" i="74"/>
  <c r="J69" i="74"/>
  <c r="J73" i="74"/>
  <c r="T76" i="74"/>
  <c r="V76" i="74" s="1"/>
  <c r="V89" i="74"/>
  <c r="V92" i="74"/>
  <c r="J101" i="74"/>
  <c r="Z106" i="74"/>
  <c r="Z108" i="74"/>
  <c r="V135" i="74"/>
  <c r="V137" i="74"/>
  <c r="Z144" i="74"/>
  <c r="D12" i="75"/>
  <c r="L13" i="75"/>
  <c r="N13" i="75" s="1"/>
  <c r="J38" i="75"/>
  <c r="V38" i="76"/>
  <c r="F85" i="76"/>
  <c r="F26" i="79"/>
  <c r="X64" i="79"/>
  <c r="Z64" i="79" s="1"/>
  <c r="T74" i="80"/>
  <c r="F35" i="80"/>
  <c r="V72" i="72"/>
  <c r="J145" i="74"/>
  <c r="J144" i="74"/>
  <c r="J124" i="74"/>
  <c r="J116" i="74"/>
  <c r="J106" i="74"/>
  <c r="J146" i="74"/>
  <c r="J135" i="74"/>
  <c r="J131" i="74"/>
  <c r="J125" i="74"/>
  <c r="J117" i="74"/>
  <c r="J107" i="74"/>
  <c r="J147" i="74"/>
  <c r="J136" i="74"/>
  <c r="J126" i="74"/>
  <c r="J118" i="74"/>
  <c r="J108" i="74"/>
  <c r="J98" i="74"/>
  <c r="J94" i="74"/>
  <c r="J90" i="74"/>
  <c r="J137" i="74"/>
  <c r="J119" i="74"/>
  <c r="J109" i="74"/>
  <c r="J138" i="74"/>
  <c r="J132" i="74"/>
  <c r="J120" i="74"/>
  <c r="J110" i="74"/>
  <c r="J151" i="74"/>
  <c r="J139" i="74"/>
  <c r="J127" i="74"/>
  <c r="J140" i="74"/>
  <c r="J128" i="74"/>
  <c r="J122" i="74"/>
  <c r="J100" i="74"/>
  <c r="J112" i="74"/>
  <c r="J102" i="74"/>
  <c r="J96" i="74"/>
  <c r="J92" i="74"/>
  <c r="J142" i="74"/>
  <c r="J134" i="74"/>
  <c r="J130" i="74"/>
  <c r="J114" i="74"/>
  <c r="J104" i="74"/>
  <c r="J52" i="74"/>
  <c r="V70" i="74"/>
  <c r="V74" i="74"/>
  <c r="V78" i="74"/>
  <c r="J82" i="74"/>
  <c r="J86" i="74"/>
  <c r="J91" i="74"/>
  <c r="V97" i="74"/>
  <c r="J105" i="74"/>
  <c r="V115" i="74"/>
  <c r="R74" i="75"/>
  <c r="R73" i="75"/>
  <c r="R50" i="75"/>
  <c r="R49" i="75"/>
  <c r="R45" i="75"/>
  <c r="R41" i="75"/>
  <c r="R68" i="75"/>
  <c r="R61" i="75"/>
  <c r="R60" i="75"/>
  <c r="R36" i="75"/>
  <c r="R32" i="75"/>
  <c r="X12" i="75"/>
  <c r="R75" i="75"/>
  <c r="R52" i="75"/>
  <c r="R51" i="75"/>
  <c r="R78" i="75"/>
  <c r="R77" i="75"/>
  <c r="R62" i="75"/>
  <c r="R46" i="75"/>
  <c r="R42" i="75"/>
  <c r="R69" i="75"/>
  <c r="R54" i="75"/>
  <c r="R53" i="75"/>
  <c r="R37" i="75"/>
  <c r="R33" i="75"/>
  <c r="R29" i="75"/>
  <c r="R64" i="75"/>
  <c r="R63" i="75"/>
  <c r="R56" i="75"/>
  <c r="R55" i="75"/>
  <c r="R47" i="75"/>
  <c r="R43" i="75"/>
  <c r="R82" i="75"/>
  <c r="R70" i="75"/>
  <c r="R39" i="75"/>
  <c r="R38" i="75"/>
  <c r="R34" i="75"/>
  <c r="R30" i="75"/>
  <c r="P26" i="75"/>
  <c r="R26" i="75" s="1"/>
  <c r="R48" i="75"/>
  <c r="R44" i="75"/>
  <c r="R40" i="75"/>
  <c r="R65" i="75"/>
  <c r="N75" i="76"/>
  <c r="Z58" i="79"/>
  <c r="F56" i="80"/>
  <c r="H56" i="82"/>
  <c r="V37" i="70"/>
  <c r="V41" i="70"/>
  <c r="V45" i="70"/>
  <c r="V49" i="70"/>
  <c r="V51" i="70"/>
  <c r="V53" i="70"/>
  <c r="J57" i="70"/>
  <c r="J61" i="70"/>
  <c r="V77" i="70"/>
  <c r="J85" i="70"/>
  <c r="J93" i="70"/>
  <c r="V97" i="70"/>
  <c r="J110" i="70"/>
  <c r="V15" i="72"/>
  <c r="J19" i="72"/>
  <c r="J21" i="72"/>
  <c r="J27" i="72"/>
  <c r="J31" i="72"/>
  <c r="F36" i="72"/>
  <c r="F40" i="72"/>
  <c r="V43" i="72"/>
  <c r="F47" i="72"/>
  <c r="F48" i="72"/>
  <c r="J49" i="72"/>
  <c r="V59" i="72"/>
  <c r="F63" i="72"/>
  <c r="F64" i="72"/>
  <c r="J65" i="72"/>
  <c r="V79" i="74"/>
  <c r="V83" i="74"/>
  <c r="V87" i="74"/>
  <c r="J111" i="74"/>
  <c r="V117" i="74"/>
  <c r="J123" i="74"/>
  <c r="R71" i="75"/>
  <c r="L75" i="76"/>
  <c r="N24" i="79"/>
  <c r="N49" i="79"/>
  <c r="N73" i="79"/>
  <c r="X15" i="84"/>
  <c r="P12" i="84"/>
  <c r="V54" i="70"/>
  <c r="V58" i="70"/>
  <c r="V62" i="70"/>
  <c r="J66" i="70"/>
  <c r="J70" i="70"/>
  <c r="J74" i="70"/>
  <c r="V78" i="70"/>
  <c r="J84" i="70"/>
  <c r="V86" i="70"/>
  <c r="J92" i="70"/>
  <c r="V94" i="70"/>
  <c r="V102" i="70"/>
  <c r="J109" i="70"/>
  <c r="V114" i="70"/>
  <c r="X13" i="72"/>
  <c r="Z13" i="72" s="1"/>
  <c r="F17" i="72"/>
  <c r="J22" i="72"/>
  <c r="V24" i="72"/>
  <c r="V28" i="72"/>
  <c r="J36" i="72"/>
  <c r="J40" i="72"/>
  <c r="X43" i="72"/>
  <c r="J48" i="72"/>
  <c r="L49" i="72"/>
  <c r="V52" i="72"/>
  <c r="F56" i="72"/>
  <c r="F57" i="72"/>
  <c r="V60" i="72"/>
  <c r="J64" i="72"/>
  <c r="X15" i="74"/>
  <c r="J56" i="74"/>
  <c r="J60" i="74"/>
  <c r="J64" i="74"/>
  <c r="J68" i="74"/>
  <c r="J72" i="74"/>
  <c r="X79" i="74"/>
  <c r="Z79" i="74" s="1"/>
  <c r="V103" i="74"/>
  <c r="J121" i="74"/>
  <c r="N140" i="74"/>
  <c r="N29" i="75"/>
  <c r="F41" i="76"/>
  <c r="N73" i="76"/>
  <c r="Z79" i="76"/>
  <c r="L12" i="80"/>
  <c r="F15" i="80"/>
  <c r="J35" i="70"/>
  <c r="J39" i="70"/>
  <c r="J43" i="70"/>
  <c r="J47" i="70"/>
  <c r="J65" i="70"/>
  <c r="V67" i="70"/>
  <c r="V71" i="70"/>
  <c r="V75" i="70"/>
  <c r="X78" i="70"/>
  <c r="J83" i="70"/>
  <c r="V87" i="70"/>
  <c r="J91" i="70"/>
  <c r="V95" i="70"/>
  <c r="J99" i="70"/>
  <c r="J107" i="70"/>
  <c r="J108" i="70"/>
  <c r="L12" i="72"/>
  <c r="N12" i="72" s="1"/>
  <c r="F26" i="72"/>
  <c r="F30" i="72"/>
  <c r="V33" i="72"/>
  <c r="V37" i="72"/>
  <c r="V41" i="72"/>
  <c r="F45" i="72"/>
  <c r="F46" i="72"/>
  <c r="J47" i="72"/>
  <c r="J57" i="72"/>
  <c r="X60" i="72"/>
  <c r="Z60" i="72" s="1"/>
  <c r="F62" i="72"/>
  <c r="J63" i="72"/>
  <c r="V53" i="74"/>
  <c r="V57" i="74"/>
  <c r="V61" i="74"/>
  <c r="V65" i="74"/>
  <c r="V69" i="74"/>
  <c r="V73" i="74"/>
  <c r="J81" i="74"/>
  <c r="J85" i="74"/>
  <c r="V91" i="74"/>
  <c r="V94" i="74"/>
  <c r="V105" i="74"/>
  <c r="V109" i="74"/>
  <c r="J129" i="74"/>
  <c r="L29" i="75"/>
  <c r="R31" i="75"/>
  <c r="R57" i="75"/>
  <c r="R67" i="75"/>
  <c r="N77" i="75"/>
  <c r="V71" i="76"/>
  <c r="V43" i="76"/>
  <c r="V39" i="76"/>
  <c r="V35" i="76"/>
  <c r="V90" i="76"/>
  <c r="V82" i="76"/>
  <c r="V70" i="76"/>
  <c r="V66" i="76"/>
  <c r="V62" i="76"/>
  <c r="V103" i="76"/>
  <c r="V81" i="76"/>
  <c r="V73" i="76"/>
  <c r="V57" i="76"/>
  <c r="V53" i="76"/>
  <c r="V49" i="76"/>
  <c r="V92" i="76"/>
  <c r="V84" i="76"/>
  <c r="V72" i="76"/>
  <c r="V48" i="76"/>
  <c r="V46" i="76"/>
  <c r="V44" i="76"/>
  <c r="V40" i="76"/>
  <c r="V36" i="76"/>
  <c r="V32" i="76"/>
  <c r="V91" i="76"/>
  <c r="V83" i="76"/>
  <c r="V75" i="76"/>
  <c r="V67" i="76"/>
  <c r="V63" i="76"/>
  <c r="T46" i="76"/>
  <c r="V94" i="76"/>
  <c r="V86" i="76"/>
  <c r="V74" i="76"/>
  <c r="V58" i="76"/>
  <c r="V54" i="76"/>
  <c r="V50" i="76"/>
  <c r="V93" i="76"/>
  <c r="V85" i="76"/>
  <c r="V77" i="76"/>
  <c r="V41" i="76"/>
  <c r="V37" i="76"/>
  <c r="V33" i="76"/>
  <c r="V88" i="76"/>
  <c r="V76" i="76"/>
  <c r="V68" i="76"/>
  <c r="V64" i="76"/>
  <c r="V60" i="76"/>
  <c r="V97" i="76"/>
  <c r="V95" i="76"/>
  <c r="V87" i="76"/>
  <c r="V79" i="76"/>
  <c r="V59" i="76"/>
  <c r="V55" i="76"/>
  <c r="V51" i="76"/>
  <c r="V99" i="76"/>
  <c r="V89" i="76"/>
  <c r="V69" i="76"/>
  <c r="V65" i="76"/>
  <c r="V61" i="76"/>
  <c r="F37" i="76"/>
  <c r="F48" i="76"/>
  <c r="N71" i="76"/>
  <c r="Z75" i="76"/>
  <c r="Z77" i="76"/>
  <c r="F82" i="76"/>
  <c r="F92" i="76"/>
  <c r="N97" i="76"/>
  <c r="F23" i="79"/>
  <c r="F53" i="79"/>
  <c r="N48" i="80"/>
  <c r="L48" i="80"/>
  <c r="V40" i="70"/>
  <c r="V44" i="70"/>
  <c r="V48" i="70"/>
  <c r="J56" i="70"/>
  <c r="J60" i="70"/>
  <c r="J64" i="70"/>
  <c r="V76" i="70"/>
  <c r="J82" i="70"/>
  <c r="J90" i="70"/>
  <c r="V100" i="70"/>
  <c r="J26" i="72"/>
  <c r="J30" i="72"/>
  <c r="F35" i="72"/>
  <c r="F39" i="72"/>
  <c r="J46" i="72"/>
  <c r="V50" i="72"/>
  <c r="F54" i="72"/>
  <c r="F55" i="72"/>
  <c r="J56" i="72"/>
  <c r="V58" i="72"/>
  <c r="J62" i="72"/>
  <c r="V66" i="72"/>
  <c r="V68" i="72"/>
  <c r="F74" i="72"/>
  <c r="F77" i="72"/>
  <c r="V140" i="74"/>
  <c r="V132" i="74"/>
  <c r="V128" i="74"/>
  <c r="V120" i="74"/>
  <c r="V100" i="74"/>
  <c r="V151" i="74"/>
  <c r="V139" i="74"/>
  <c r="V127" i="74"/>
  <c r="V111" i="74"/>
  <c r="V99" i="74"/>
  <c r="V122" i="74"/>
  <c r="V102" i="74"/>
  <c r="V141" i="74"/>
  <c r="V133" i="74"/>
  <c r="V129" i="74"/>
  <c r="V113" i="74"/>
  <c r="V101" i="74"/>
  <c r="V112" i="74"/>
  <c r="V104" i="74"/>
  <c r="V144" i="74"/>
  <c r="V142" i="74"/>
  <c r="V134" i="74"/>
  <c r="V130" i="74"/>
  <c r="V114" i="74"/>
  <c r="V106" i="74"/>
  <c r="V146" i="74"/>
  <c r="V136" i="74"/>
  <c r="V124" i="74"/>
  <c r="V116" i="74"/>
  <c r="V108" i="74"/>
  <c r="V138" i="74"/>
  <c r="V126" i="74"/>
  <c r="V118" i="74"/>
  <c r="V110" i="74"/>
  <c r="V98" i="74"/>
  <c r="V82" i="74"/>
  <c r="V86" i="74"/>
  <c r="J93" i="74"/>
  <c r="V107" i="74"/>
  <c r="J113" i="74"/>
  <c r="V119" i="74"/>
  <c r="V123" i="74"/>
  <c r="N136" i="74"/>
  <c r="N138" i="74"/>
  <c r="Z140" i="74"/>
  <c r="V145" i="74"/>
  <c r="V147" i="74"/>
  <c r="R59" i="75"/>
  <c r="J64" i="75"/>
  <c r="J70" i="75"/>
  <c r="Z32" i="76"/>
  <c r="F67" i="76"/>
  <c r="Z73" i="76"/>
  <c r="P97" i="76"/>
  <c r="X97" i="76" s="1"/>
  <c r="Z97" i="76" s="1"/>
  <c r="F80" i="79"/>
  <c r="R70" i="80"/>
  <c r="R68" i="80"/>
  <c r="R53" i="80"/>
  <c r="R42" i="80"/>
  <c r="R41" i="80"/>
  <c r="R37" i="80"/>
  <c r="R33" i="80"/>
  <c r="R60" i="80"/>
  <c r="R28" i="80"/>
  <c r="R24" i="80"/>
  <c r="R77" i="80"/>
  <c r="R74" i="80"/>
  <c r="R61" i="80"/>
  <c r="R46" i="80"/>
  <c r="R45" i="80"/>
  <c r="R29" i="80"/>
  <c r="R25" i="80"/>
  <c r="R56" i="80"/>
  <c r="R63" i="80"/>
  <c r="R62" i="80"/>
  <c r="R31" i="80"/>
  <c r="R30" i="80"/>
  <c r="R26" i="80"/>
  <c r="R58" i="80"/>
  <c r="R57" i="80"/>
  <c r="R50" i="80"/>
  <c r="R49" i="80"/>
  <c r="R22" i="80"/>
  <c r="R64" i="80"/>
  <c r="R52" i="80"/>
  <c r="R44" i="80"/>
  <c r="R19" i="80"/>
  <c r="R55" i="80"/>
  <c r="R36" i="80"/>
  <c r="P19" i="80"/>
  <c r="R47" i="80"/>
  <c r="R39" i="80"/>
  <c r="R21" i="80"/>
  <c r="R65" i="80"/>
  <c r="R34" i="80"/>
  <c r="R15" i="80"/>
  <c r="R48" i="80"/>
  <c r="R27" i="80"/>
  <c r="R32" i="80"/>
  <c r="R16" i="80"/>
  <c r="R66" i="80"/>
  <c r="R35" i="80"/>
  <c r="X12" i="80"/>
  <c r="R51" i="80"/>
  <c r="R43" i="80"/>
  <c r="R40" i="80"/>
  <c r="R72" i="80"/>
  <c r="R54" i="80"/>
  <c r="L44" i="83"/>
  <c r="N44" i="83" s="1"/>
  <c r="V57" i="70"/>
  <c r="V61" i="70"/>
  <c r="J69" i="70"/>
  <c r="J73" i="70"/>
  <c r="J81" i="70"/>
  <c r="V85" i="70"/>
  <c r="J89" i="70"/>
  <c r="V93" i="70"/>
  <c r="V101" i="70"/>
  <c r="J105" i="70"/>
  <c r="F15" i="72"/>
  <c r="F16" i="72"/>
  <c r="V23" i="72"/>
  <c r="V27" i="72"/>
  <c r="V31" i="72"/>
  <c r="J35" i="72"/>
  <c r="J39" i="72"/>
  <c r="F43" i="72"/>
  <c r="F44" i="72"/>
  <c r="J45" i="72"/>
  <c r="V51" i="72"/>
  <c r="J55" i="72"/>
  <c r="J55" i="74"/>
  <c r="J59" i="74"/>
  <c r="J63" i="74"/>
  <c r="J67" i="74"/>
  <c r="J71" i="74"/>
  <c r="H76" i="74"/>
  <c r="J89" i="74"/>
  <c r="V121" i="74"/>
  <c r="F76" i="76"/>
  <c r="F75" i="76"/>
  <c r="F68" i="76"/>
  <c r="F64" i="76"/>
  <c r="D46" i="76"/>
  <c r="L12" i="76"/>
  <c r="N12" i="76" s="1"/>
  <c r="F95" i="76"/>
  <c r="F94" i="76"/>
  <c r="F87" i="76"/>
  <c r="F86" i="76"/>
  <c r="F59" i="76"/>
  <c r="F55" i="76"/>
  <c r="F51" i="76"/>
  <c r="F78" i="76"/>
  <c r="F77" i="76"/>
  <c r="F42" i="76"/>
  <c r="F38" i="76"/>
  <c r="F34" i="76"/>
  <c r="F98" i="76"/>
  <c r="F89" i="76"/>
  <c r="F88" i="76"/>
  <c r="F69" i="76"/>
  <c r="F65" i="76"/>
  <c r="F61" i="76"/>
  <c r="F60" i="76"/>
  <c r="F99" i="76"/>
  <c r="F97" i="76"/>
  <c r="F80" i="76"/>
  <c r="F79" i="76"/>
  <c r="F56" i="76"/>
  <c r="F52" i="76"/>
  <c r="F43" i="76"/>
  <c r="F39" i="76"/>
  <c r="F35" i="76"/>
  <c r="F90" i="76"/>
  <c r="F70" i="76"/>
  <c r="F66" i="76"/>
  <c r="F62" i="76"/>
  <c r="F103" i="76"/>
  <c r="F81" i="76"/>
  <c r="F57" i="76"/>
  <c r="F53" i="76"/>
  <c r="F72" i="76"/>
  <c r="F71" i="76"/>
  <c r="F44" i="76"/>
  <c r="F40" i="76"/>
  <c r="F36" i="76"/>
  <c r="F74" i="76"/>
  <c r="F73" i="76"/>
  <c r="F58" i="76"/>
  <c r="F54" i="76"/>
  <c r="F50" i="76"/>
  <c r="F49" i="76"/>
  <c r="F63" i="76"/>
  <c r="V80" i="76"/>
  <c r="P12" i="79"/>
  <c r="X13" i="79"/>
  <c r="N46" i="80"/>
  <c r="J38" i="70"/>
  <c r="J42" i="70"/>
  <c r="J46" i="70"/>
  <c r="H51" i="70"/>
  <c r="V66" i="70"/>
  <c r="V70" i="70"/>
  <c r="V74" i="70"/>
  <c r="J80" i="70"/>
  <c r="J98" i="70"/>
  <c r="V110" i="70"/>
  <c r="T19" i="72"/>
  <c r="F25" i="72"/>
  <c r="F29" i="72"/>
  <c r="V32" i="72"/>
  <c r="V36" i="72"/>
  <c r="V40" i="72"/>
  <c r="J44" i="72"/>
  <c r="V48" i="72"/>
  <c r="F53" i="72"/>
  <c r="J54" i="72"/>
  <c r="F60" i="72"/>
  <c r="J74" i="72"/>
  <c r="V52" i="74"/>
  <c r="V56" i="74"/>
  <c r="V60" i="74"/>
  <c r="V64" i="74"/>
  <c r="V68" i="74"/>
  <c r="V72" i="74"/>
  <c r="J78" i="74"/>
  <c r="J80" i="74"/>
  <c r="J84" i="74"/>
  <c r="J88" i="74"/>
  <c r="V96" i="74"/>
  <c r="L100" i="74"/>
  <c r="N100" i="74" s="1"/>
  <c r="Z136" i="74"/>
  <c r="Z138" i="74"/>
  <c r="J28" i="75"/>
  <c r="F33" i="76"/>
  <c r="N34" i="79"/>
  <c r="L68" i="79"/>
  <c r="N68" i="79" s="1"/>
  <c r="Z50" i="83"/>
  <c r="X50" i="83"/>
  <c r="V31" i="75"/>
  <c r="V35" i="75"/>
  <c r="V59" i="75"/>
  <c r="V67" i="75"/>
  <c r="V71" i="75"/>
  <c r="P12" i="76"/>
  <c r="J33" i="76"/>
  <c r="J37" i="76"/>
  <c r="J41" i="76"/>
  <c r="H46" i="76"/>
  <c r="J75" i="76"/>
  <c r="J85" i="76"/>
  <c r="J93" i="76"/>
  <c r="V18" i="79"/>
  <c r="J26" i="79"/>
  <c r="J30" i="79"/>
  <c r="V46" i="79"/>
  <c r="J54" i="79"/>
  <c r="V58" i="79"/>
  <c r="J62" i="79"/>
  <c r="J68" i="79"/>
  <c r="V70" i="79"/>
  <c r="J80" i="79"/>
  <c r="J35" i="80"/>
  <c r="V38" i="80"/>
  <c r="P12" i="82"/>
  <c r="Z33" i="83"/>
  <c r="V57" i="75"/>
  <c r="V65" i="75"/>
  <c r="J49" i="76"/>
  <c r="J63" i="76"/>
  <c r="J67" i="76"/>
  <c r="J73" i="76"/>
  <c r="J83" i="76"/>
  <c r="J91" i="76"/>
  <c r="H21" i="79"/>
  <c r="J34" i="79"/>
  <c r="V36" i="79"/>
  <c r="V40" i="79"/>
  <c r="V44" i="79"/>
  <c r="J52" i="79"/>
  <c r="V56" i="79"/>
  <c r="J60" i="79"/>
  <c r="V64" i="79"/>
  <c r="J76" i="79"/>
  <c r="V60" i="80"/>
  <c r="V44" i="80"/>
  <c r="V28" i="80"/>
  <c r="V55" i="80"/>
  <c r="V43" i="80"/>
  <c r="V77" i="80"/>
  <c r="V74" i="80"/>
  <c r="V72" i="80"/>
  <c r="V54" i="80"/>
  <c r="V56" i="80"/>
  <c r="V48" i="80"/>
  <c r="V63" i="80"/>
  <c r="V47" i="80"/>
  <c r="V39" i="80"/>
  <c r="V35" i="80"/>
  <c r="V31" i="80"/>
  <c r="V65" i="80"/>
  <c r="V57" i="80"/>
  <c r="V49" i="80"/>
  <c r="V21" i="80"/>
  <c r="V19" i="80"/>
  <c r="V17" i="80"/>
  <c r="V64" i="80"/>
  <c r="V52" i="80"/>
  <c r="V40" i="80"/>
  <c r="V36" i="80"/>
  <c r="V32" i="80"/>
  <c r="V23" i="80"/>
  <c r="V25" i="80"/>
  <c r="Z46" i="80"/>
  <c r="X46" i="80"/>
  <c r="J48" i="80"/>
  <c r="J53" i="80"/>
  <c r="V68" i="80"/>
  <c r="Z24" i="83"/>
  <c r="T94" i="83"/>
  <c r="T26" i="75"/>
  <c r="V39" i="75"/>
  <c r="V43" i="75"/>
  <c r="V47" i="75"/>
  <c r="V55" i="75"/>
  <c r="V63" i="75"/>
  <c r="J53" i="76"/>
  <c r="J57" i="76"/>
  <c r="J71" i="76"/>
  <c r="J81" i="76"/>
  <c r="J103" i="76"/>
  <c r="J24" i="79"/>
  <c r="V26" i="79"/>
  <c r="V30" i="79"/>
  <c r="J38" i="79"/>
  <c r="J42" i="79"/>
  <c r="J50" i="79"/>
  <c r="V54" i="79"/>
  <c r="V62" i="79"/>
  <c r="J66" i="79"/>
  <c r="J74" i="79"/>
  <c r="V80" i="79"/>
  <c r="V37" i="80"/>
  <c r="J62" i="80"/>
  <c r="X63" i="80"/>
  <c r="V66" i="80"/>
  <c r="H21" i="83"/>
  <c r="L16" i="83"/>
  <c r="N16" i="83" s="1"/>
  <c r="N55" i="83"/>
  <c r="Z74" i="83"/>
  <c r="V56" i="75"/>
  <c r="V64" i="75"/>
  <c r="J62" i="76"/>
  <c r="J66" i="76"/>
  <c r="J70" i="76"/>
  <c r="J90" i="76"/>
  <c r="V43" i="79"/>
  <c r="J49" i="79"/>
  <c r="V55" i="79"/>
  <c r="J59" i="79"/>
  <c r="V67" i="79"/>
  <c r="J73" i="79"/>
  <c r="V45" i="80"/>
  <c r="V53" i="80"/>
  <c r="X24" i="75"/>
  <c r="X28" i="75"/>
  <c r="Z28" i="75" s="1"/>
  <c r="V29" i="75"/>
  <c r="V33" i="75"/>
  <c r="V37" i="75"/>
  <c r="V53" i="75"/>
  <c r="V69" i="75"/>
  <c r="L13" i="76"/>
  <c r="N13" i="76" s="1"/>
  <c r="J35" i="76"/>
  <c r="J39" i="76"/>
  <c r="J43" i="76"/>
  <c r="J28" i="79"/>
  <c r="J32" i="79"/>
  <c r="J48" i="79"/>
  <c r="V52" i="79"/>
  <c r="J58" i="79"/>
  <c r="V60" i="79"/>
  <c r="V68" i="79"/>
  <c r="J72" i="79"/>
  <c r="L73" i="79"/>
  <c r="H70" i="80"/>
  <c r="V27" i="80"/>
  <c r="J41" i="80"/>
  <c r="J47" i="80"/>
  <c r="F90" i="83"/>
  <c r="F88" i="83"/>
  <c r="F79" i="83"/>
  <c r="F75" i="83"/>
  <c r="F74" i="83"/>
  <c r="F67" i="83"/>
  <c r="F97" i="83"/>
  <c r="F94" i="83"/>
  <c r="F77" i="83"/>
  <c r="F86" i="83"/>
  <c r="F85" i="83"/>
  <c r="F78" i="83"/>
  <c r="F66" i="83"/>
  <c r="F73" i="83"/>
  <c r="F72" i="83"/>
  <c r="F92" i="83"/>
  <c r="F82" i="83"/>
  <c r="F47" i="83"/>
  <c r="F46" i="83"/>
  <c r="F31" i="83"/>
  <c r="F27" i="83"/>
  <c r="F71" i="83"/>
  <c r="F58" i="83"/>
  <c r="F57" i="83"/>
  <c r="F18" i="83"/>
  <c r="F69" i="83"/>
  <c r="F49" i="83"/>
  <c r="F48" i="83"/>
  <c r="F41" i="83"/>
  <c r="F37" i="83"/>
  <c r="F80" i="83"/>
  <c r="F60" i="83"/>
  <c r="F59" i="83"/>
  <c r="F32" i="83"/>
  <c r="F28" i="83"/>
  <c r="F51" i="83"/>
  <c r="F50" i="83"/>
  <c r="F19" i="83"/>
  <c r="F83" i="83"/>
  <c r="F62" i="83"/>
  <c r="F61" i="83"/>
  <c r="F42" i="83"/>
  <c r="F38" i="83"/>
  <c r="F34" i="83"/>
  <c r="F33" i="83"/>
  <c r="F29" i="83"/>
  <c r="F25" i="83"/>
  <c r="F24" i="83"/>
  <c r="F81" i="83"/>
  <c r="F70" i="83"/>
  <c r="F64" i="83"/>
  <c r="F63" i="83"/>
  <c r="F52" i="83"/>
  <c r="F23" i="83"/>
  <c r="F21" i="83"/>
  <c r="L12" i="83"/>
  <c r="N12" i="83" s="1"/>
  <c r="F84" i="83"/>
  <c r="F43" i="83"/>
  <c r="F39" i="83"/>
  <c r="F35" i="83"/>
  <c r="D21" i="83"/>
  <c r="F76" i="83"/>
  <c r="F68" i="83"/>
  <c r="F65" i="83"/>
  <c r="F45" i="83"/>
  <c r="F44" i="83"/>
  <c r="F17" i="83"/>
  <c r="F16" i="83"/>
  <c r="F56" i="83"/>
  <c r="F55" i="83"/>
  <c r="F40" i="83"/>
  <c r="F36" i="83"/>
  <c r="N23" i="83"/>
  <c r="F30" i="83"/>
  <c r="N68" i="83"/>
  <c r="L68" i="83"/>
  <c r="V42" i="75"/>
  <c r="V46" i="75"/>
  <c r="V54" i="75"/>
  <c r="V62" i="75"/>
  <c r="V78" i="75"/>
  <c r="J52" i="76"/>
  <c r="J56" i="76"/>
  <c r="J80" i="76"/>
  <c r="J99" i="76"/>
  <c r="V25" i="79"/>
  <c r="V29" i="79"/>
  <c r="V33" i="79"/>
  <c r="J37" i="79"/>
  <c r="J41" i="79"/>
  <c r="J47" i="79"/>
  <c r="V53" i="79"/>
  <c r="J57" i="79"/>
  <c r="V61" i="79"/>
  <c r="J65" i="79"/>
  <c r="J71" i="79"/>
  <c r="L13" i="80"/>
  <c r="J26" i="80"/>
  <c r="J31" i="80"/>
  <c r="V34" i="80"/>
  <c r="L52" i="80"/>
  <c r="J57" i="80"/>
  <c r="V58" i="80"/>
  <c r="V62" i="80"/>
  <c r="V70" i="80"/>
  <c r="X113" i="74"/>
  <c r="V51" i="75"/>
  <c r="V75" i="75"/>
  <c r="V77" i="75"/>
  <c r="J61" i="76"/>
  <c r="J65" i="76"/>
  <c r="J69" i="76"/>
  <c r="J79" i="76"/>
  <c r="J89" i="76"/>
  <c r="J97" i="76"/>
  <c r="J98" i="76"/>
  <c r="J18" i="79"/>
  <c r="T21" i="79"/>
  <c r="V34" i="79"/>
  <c r="V38" i="79"/>
  <c r="V42" i="79"/>
  <c r="J46" i="79"/>
  <c r="V50" i="79"/>
  <c r="J64" i="79"/>
  <c r="V66" i="79"/>
  <c r="J70" i="79"/>
  <c r="V74" i="79"/>
  <c r="V76" i="79"/>
  <c r="V15" i="80"/>
  <c r="N19" i="80"/>
  <c r="V22" i="80"/>
  <c r="V24" i="80"/>
  <c r="J33" i="80"/>
  <c r="J38" i="80"/>
  <c r="V42" i="80"/>
  <c r="J44" i="80"/>
  <c r="Z12" i="75"/>
  <c r="V32" i="75"/>
  <c r="V36" i="75"/>
  <c r="V52" i="75"/>
  <c r="V60" i="75"/>
  <c r="V68" i="75"/>
  <c r="J34" i="76"/>
  <c r="J38" i="76"/>
  <c r="J42" i="76"/>
  <c r="J60" i="76"/>
  <c r="J78" i="76"/>
  <c r="J88" i="76"/>
  <c r="J17" i="79"/>
  <c r="V19" i="79"/>
  <c r="V21" i="79"/>
  <c r="V23" i="79"/>
  <c r="J27" i="79"/>
  <c r="J31" i="79"/>
  <c r="J45" i="79"/>
  <c r="V51" i="79"/>
  <c r="V59" i="79"/>
  <c r="J63" i="79"/>
  <c r="Z21" i="80"/>
  <c r="V41" i="80"/>
  <c r="L46" i="80"/>
  <c r="X52" i="80"/>
  <c r="J54" i="80"/>
  <c r="F54" i="83"/>
  <c r="V41" i="75"/>
  <c r="V45" i="75"/>
  <c r="V49" i="75"/>
  <c r="V61" i="75"/>
  <c r="J51" i="76"/>
  <c r="J55" i="76"/>
  <c r="J59" i="76"/>
  <c r="J77" i="76"/>
  <c r="J87" i="76"/>
  <c r="V24" i="79"/>
  <c r="V28" i="79"/>
  <c r="V32" i="79"/>
  <c r="J36" i="79"/>
  <c r="J40" i="79"/>
  <c r="J44" i="79"/>
  <c r="V48" i="79"/>
  <c r="J56" i="79"/>
  <c r="J64" i="80"/>
  <c r="J58" i="80"/>
  <c r="J50" i="80"/>
  <c r="J40" i="80"/>
  <c r="J36" i="80"/>
  <c r="J32" i="80"/>
  <c r="J65" i="80"/>
  <c r="J59" i="80"/>
  <c r="J51" i="80"/>
  <c r="J27" i="80"/>
  <c r="J23" i="80"/>
  <c r="J21" i="80"/>
  <c r="J19" i="80"/>
  <c r="J66" i="80"/>
  <c r="J52" i="80"/>
  <c r="J70" i="80"/>
  <c r="J68" i="80"/>
  <c r="J60" i="80"/>
  <c r="J42" i="80"/>
  <c r="J28" i="80"/>
  <c r="J24" i="80"/>
  <c r="J43" i="80"/>
  <c r="J61" i="80"/>
  <c r="J55" i="80"/>
  <c r="J45" i="80"/>
  <c r="J29" i="80"/>
  <c r="J25" i="80"/>
  <c r="J15" i="80"/>
  <c r="J77" i="80"/>
  <c r="J74" i="80"/>
  <c r="J56" i="80"/>
  <c r="J46" i="80"/>
  <c r="J17" i="80"/>
  <c r="V26" i="80"/>
  <c r="J30" i="80"/>
  <c r="X31" i="80"/>
  <c r="J49" i="80"/>
  <c r="V50" i="80"/>
  <c r="D12" i="82"/>
  <c r="F26" i="83"/>
  <c r="J26" i="82"/>
  <c r="V28" i="82"/>
  <c r="V32" i="82"/>
  <c r="J36" i="82"/>
  <c r="J40" i="82"/>
  <c r="J44" i="82"/>
  <c r="V19" i="83"/>
  <c r="V21" i="83"/>
  <c r="V23" i="83"/>
  <c r="J27" i="83"/>
  <c r="J31" i="83"/>
  <c r="J47" i="83"/>
  <c r="V51" i="83"/>
  <c r="Z53" i="83"/>
  <c r="J57" i="83"/>
  <c r="N59" i="83"/>
  <c r="V63" i="83"/>
  <c r="V72" i="83"/>
  <c r="V77" i="83"/>
  <c r="Z83" i="83"/>
  <c r="J51" i="84"/>
  <c r="Z68" i="84"/>
  <c r="X68" i="84"/>
  <c r="J75" i="84"/>
  <c r="J94" i="84"/>
  <c r="Z23" i="85"/>
  <c r="X23" i="85"/>
  <c r="V23" i="85"/>
  <c r="J21" i="82"/>
  <c r="J35" i="82"/>
  <c r="V37" i="82"/>
  <c r="V41" i="82"/>
  <c r="V45" i="82"/>
  <c r="V47" i="82"/>
  <c r="V24" i="83"/>
  <c r="V28" i="83"/>
  <c r="V32" i="83"/>
  <c r="J36" i="83"/>
  <c r="J40" i="83"/>
  <c r="J46" i="83"/>
  <c r="N48" i="83"/>
  <c r="V60" i="83"/>
  <c r="Z80" i="83"/>
  <c r="V83" i="83"/>
  <c r="X85" i="83"/>
  <c r="Z85" i="83" s="1"/>
  <c r="V92" i="83"/>
  <c r="Z21" i="87"/>
  <c r="V27" i="82"/>
  <c r="V31" i="82"/>
  <c r="J39" i="82"/>
  <c r="J43" i="82"/>
  <c r="J53" i="82"/>
  <c r="J56" i="82"/>
  <c r="J92" i="83"/>
  <c r="J80" i="83"/>
  <c r="J68" i="83"/>
  <c r="J82" i="83"/>
  <c r="J70" i="83"/>
  <c r="J84" i="83"/>
  <c r="J73" i="83"/>
  <c r="J88" i="83"/>
  <c r="J74" i="83"/>
  <c r="J16" i="83"/>
  <c r="V18" i="83"/>
  <c r="J26" i="83"/>
  <c r="J30" i="83"/>
  <c r="J44" i="83"/>
  <c r="V50" i="83"/>
  <c r="J54" i="83"/>
  <c r="V58" i="83"/>
  <c r="V79" i="83"/>
  <c r="V85" i="83"/>
  <c r="J47" i="84"/>
  <c r="X96" i="84"/>
  <c r="Z96" i="84" s="1"/>
  <c r="J26" i="85"/>
  <c r="J23" i="85"/>
  <c r="J16" i="85"/>
  <c r="J24" i="85"/>
  <c r="J17" i="85"/>
  <c r="J30" i="85"/>
  <c r="J18" i="85"/>
  <c r="H20" i="85"/>
  <c r="J22" i="85"/>
  <c r="J20" i="82"/>
  <c r="T23" i="82"/>
  <c r="V36" i="82"/>
  <c r="V40" i="82"/>
  <c r="V44" i="82"/>
  <c r="V27" i="83"/>
  <c r="V31" i="83"/>
  <c r="J35" i="83"/>
  <c r="J39" i="83"/>
  <c r="J43" i="83"/>
  <c r="V47" i="83"/>
  <c r="J53" i="83"/>
  <c r="V59" i="83"/>
  <c r="J67" i="83"/>
  <c r="J78" i="83"/>
  <c r="L35" i="84"/>
  <c r="N35" i="84" s="1"/>
  <c r="V117" i="84"/>
  <c r="N54" i="92"/>
  <c r="L54" i="92"/>
  <c r="V73" i="83"/>
  <c r="J115" i="84"/>
  <c r="J107" i="84"/>
  <c r="J95" i="84"/>
  <c r="J89" i="84"/>
  <c r="J79" i="84"/>
  <c r="J67" i="84"/>
  <c r="J39" i="84"/>
  <c r="J102" i="84"/>
  <c r="J96" i="84"/>
  <c r="J90" i="84"/>
  <c r="J68" i="84"/>
  <c r="J62" i="84"/>
  <c r="J58" i="84"/>
  <c r="J117" i="84"/>
  <c r="J97" i="84"/>
  <c r="J69" i="84"/>
  <c r="J53" i="84"/>
  <c r="J49" i="84"/>
  <c r="J35" i="84"/>
  <c r="J108" i="84"/>
  <c r="J80" i="84"/>
  <c r="J70" i="84"/>
  <c r="J121" i="84"/>
  <c r="J109" i="84"/>
  <c r="J103" i="84"/>
  <c r="J91" i="84"/>
  <c r="J81" i="84"/>
  <c r="J71" i="84"/>
  <c r="J63" i="84"/>
  <c r="J59" i="84"/>
  <c r="J45" i="84"/>
  <c r="J110" i="84"/>
  <c r="J98" i="84"/>
  <c r="J92" i="84"/>
  <c r="J82" i="84"/>
  <c r="J72" i="84"/>
  <c r="J54" i="84"/>
  <c r="J50" i="84"/>
  <c r="J46" i="84"/>
  <c r="J44" i="84"/>
  <c r="J42" i="84"/>
  <c r="J111" i="84"/>
  <c r="J99" i="84"/>
  <c r="J93" i="84"/>
  <c r="J83" i="84"/>
  <c r="J73" i="84"/>
  <c r="J55" i="84"/>
  <c r="H42" i="84"/>
  <c r="J37" i="84"/>
  <c r="J112" i="84"/>
  <c r="J104" i="84"/>
  <c r="J100" i="84"/>
  <c r="J84" i="84"/>
  <c r="J74" i="84"/>
  <c r="J64" i="84"/>
  <c r="J60" i="84"/>
  <c r="J56" i="84"/>
  <c r="J113" i="84"/>
  <c r="J105" i="84"/>
  <c r="J101" i="84"/>
  <c r="J87" i="84"/>
  <c r="J77" i="84"/>
  <c r="J65" i="84"/>
  <c r="J61" i="84"/>
  <c r="J57" i="84"/>
  <c r="J114" i="84"/>
  <c r="J106" i="84"/>
  <c r="J88" i="84"/>
  <c r="J78" i="84"/>
  <c r="J66" i="84"/>
  <c r="J52" i="84"/>
  <c r="J48" i="84"/>
  <c r="D12" i="84"/>
  <c r="L14" i="84"/>
  <c r="V26" i="82"/>
  <c r="V30" i="82"/>
  <c r="V34" i="82"/>
  <c r="J38" i="82"/>
  <c r="J42" i="82"/>
  <c r="J23" i="83"/>
  <c r="V45" i="83"/>
  <c r="V57" i="83"/>
  <c r="J63" i="83"/>
  <c r="V65" i="83"/>
  <c r="J86" i="83"/>
  <c r="J19" i="82"/>
  <c r="X26" i="82"/>
  <c r="V35" i="82"/>
  <c r="V39" i="82"/>
  <c r="V43" i="82"/>
  <c r="J47" i="82"/>
  <c r="J49" i="82"/>
  <c r="V82" i="83"/>
  <c r="V70" i="83"/>
  <c r="V90" i="83"/>
  <c r="V88" i="83"/>
  <c r="V86" i="83"/>
  <c r="V78" i="83"/>
  <c r="V74" i="83"/>
  <c r="V66" i="83"/>
  <c r="V80" i="83"/>
  <c r="V68" i="83"/>
  <c r="V81" i="83"/>
  <c r="V69" i="83"/>
  <c r="V76" i="83"/>
  <c r="L23" i="83"/>
  <c r="V26" i="83"/>
  <c r="V30" i="83"/>
  <c r="J34" i="83"/>
  <c r="J38" i="83"/>
  <c r="J42" i="83"/>
  <c r="V46" i="83"/>
  <c r="V54" i="83"/>
  <c r="X57" i="83"/>
  <c r="Z57" i="83" s="1"/>
  <c r="J62" i="83"/>
  <c r="L63" i="83"/>
  <c r="N63" i="83" s="1"/>
  <c r="X68" i="83"/>
  <c r="Z68" i="83" s="1"/>
  <c r="N72" i="83"/>
  <c r="V94" i="83"/>
  <c r="T42" i="84"/>
  <c r="Z35" i="84"/>
  <c r="X35" i="84"/>
  <c r="N74" i="84"/>
  <c r="L74" i="84"/>
  <c r="J18" i="82"/>
  <c r="V20" i="82"/>
  <c r="J28" i="82"/>
  <c r="J19" i="83"/>
  <c r="J33" i="83"/>
  <c r="V35" i="83"/>
  <c r="V39" i="83"/>
  <c r="V43" i="83"/>
  <c r="J51" i="83"/>
  <c r="V55" i="83"/>
  <c r="J61" i="83"/>
  <c r="V67" i="83"/>
  <c r="J72" i="83"/>
  <c r="J77" i="83"/>
  <c r="J83" i="83"/>
  <c r="V35" i="84"/>
  <c r="J76" i="84"/>
  <c r="X16" i="85"/>
  <c r="Z16" i="85" s="1"/>
  <c r="X49" i="87"/>
  <c r="Z51" i="87"/>
  <c r="J86" i="91"/>
  <c r="J76" i="91"/>
  <c r="J78" i="91"/>
  <c r="J82" i="91"/>
  <c r="J73" i="91"/>
  <c r="J29" i="91"/>
  <c r="H16" i="91"/>
  <c r="J62" i="91"/>
  <c r="J46" i="91"/>
  <c r="J38" i="91"/>
  <c r="J34" i="91"/>
  <c r="J30" i="91"/>
  <c r="J88" i="91"/>
  <c r="J69" i="91"/>
  <c r="J63" i="91"/>
  <c r="J57" i="91"/>
  <c r="J47" i="91"/>
  <c r="J25" i="91"/>
  <c r="J21" i="91"/>
  <c r="J74" i="91"/>
  <c r="J64" i="91"/>
  <c r="J58" i="91"/>
  <c r="J48" i="91"/>
  <c r="J84" i="91"/>
  <c r="J65" i="91"/>
  <c r="J59" i="91"/>
  <c r="J49" i="91"/>
  <c r="J39" i="91"/>
  <c r="J35" i="91"/>
  <c r="J31" i="91"/>
  <c r="J75" i="91"/>
  <c r="J70" i="91"/>
  <c r="J66" i="91"/>
  <c r="J50" i="91"/>
  <c r="J40" i="91"/>
  <c r="J26" i="91"/>
  <c r="J22" i="91"/>
  <c r="J51" i="91"/>
  <c r="J41" i="91"/>
  <c r="J80" i="91"/>
  <c r="J60" i="91"/>
  <c r="J52" i="91"/>
  <c r="J42" i="91"/>
  <c r="J36" i="91"/>
  <c r="J32" i="91"/>
  <c r="N12" i="91"/>
  <c r="J71" i="91"/>
  <c r="J67" i="91"/>
  <c r="J53" i="91"/>
  <c r="J43" i="91"/>
  <c r="J27" i="91"/>
  <c r="J23" i="91"/>
  <c r="L12" i="91"/>
  <c r="J81" i="91"/>
  <c r="J77" i="91"/>
  <c r="J61" i="91"/>
  <c r="J55" i="91"/>
  <c r="J45" i="91"/>
  <c r="J37" i="91"/>
  <c r="J33" i="91"/>
  <c r="J19" i="91"/>
  <c r="J72" i="91"/>
  <c r="J68" i="91"/>
  <c r="J56" i="91"/>
  <c r="J28" i="91"/>
  <c r="J24" i="91"/>
  <c r="J20" i="91"/>
  <c r="J18" i="91"/>
  <c r="J16" i="91"/>
  <c r="J14" i="91"/>
  <c r="J91" i="91"/>
  <c r="J44" i="91"/>
  <c r="J54" i="91"/>
  <c r="V33" i="82"/>
  <c r="V51" i="82"/>
  <c r="V64" i="83"/>
  <c r="V75" i="83"/>
  <c r="T20" i="85"/>
  <c r="V16" i="85"/>
  <c r="V38" i="82"/>
  <c r="V42" i="82"/>
  <c r="V53" i="83"/>
  <c r="J59" i="83"/>
  <c r="L80" i="83"/>
  <c r="N80" i="83" s="1"/>
  <c r="J36" i="84"/>
  <c r="J38" i="84"/>
  <c r="V62" i="83"/>
  <c r="Z72" i="83"/>
  <c r="J85" i="83"/>
  <c r="J40" i="84"/>
  <c r="J85" i="84"/>
  <c r="N18" i="88"/>
  <c r="V36" i="84"/>
  <c r="V40" i="84"/>
  <c r="V44" i="84"/>
  <c r="V72" i="84"/>
  <c r="V80" i="84"/>
  <c r="V92" i="84"/>
  <c r="V108" i="84"/>
  <c r="X21" i="87"/>
  <c r="J26" i="87"/>
  <c r="N51" i="87"/>
  <c r="N55" i="87"/>
  <c r="Z21" i="88"/>
  <c r="L53" i="91"/>
  <c r="N53" i="91" s="1"/>
  <c r="V45" i="84"/>
  <c r="V49" i="84"/>
  <c r="V53" i="84"/>
  <c r="V69" i="84"/>
  <c r="V81" i="84"/>
  <c r="V97" i="84"/>
  <c r="V109" i="84"/>
  <c r="D12" i="85"/>
  <c r="T84" i="91"/>
  <c r="Z16" i="91"/>
  <c r="V48" i="84"/>
  <c r="V52" i="84"/>
  <c r="V68" i="84"/>
  <c r="V88" i="84"/>
  <c r="V96" i="84"/>
  <c r="J59" i="87"/>
  <c r="J49" i="87"/>
  <c r="J27" i="87"/>
  <c r="J23" i="87"/>
  <c r="J21" i="87"/>
  <c r="J19" i="87"/>
  <c r="J88" i="87"/>
  <c r="J86" i="87"/>
  <c r="J66" i="87"/>
  <c r="J60" i="87"/>
  <c r="J50" i="87"/>
  <c r="J77" i="87"/>
  <c r="J73" i="87"/>
  <c r="J67" i="87"/>
  <c r="J61" i="87"/>
  <c r="J51" i="87"/>
  <c r="J41" i="87"/>
  <c r="J37" i="87"/>
  <c r="J90" i="87"/>
  <c r="J68" i="87"/>
  <c r="J62" i="87"/>
  <c r="J52" i="87"/>
  <c r="J42" i="87"/>
  <c r="J69" i="87"/>
  <c r="J63" i="87"/>
  <c r="J53" i="87"/>
  <c r="J43" i="87"/>
  <c r="J95" i="87"/>
  <c r="J92" i="87"/>
  <c r="J78" i="87"/>
  <c r="J74" i="87"/>
  <c r="J70" i="87"/>
  <c r="J54" i="87"/>
  <c r="J44" i="87"/>
  <c r="J38" i="87"/>
  <c r="J34" i="87"/>
  <c r="J79" i="87"/>
  <c r="J55" i="87"/>
  <c r="J45" i="87"/>
  <c r="J29" i="87"/>
  <c r="J25" i="87"/>
  <c r="J80" i="87"/>
  <c r="J81" i="87"/>
  <c r="J75" i="87"/>
  <c r="J71" i="87"/>
  <c r="J57" i="87"/>
  <c r="J47" i="87"/>
  <c r="J39" i="87"/>
  <c r="J35" i="87"/>
  <c r="J83" i="87"/>
  <c r="J65" i="87"/>
  <c r="J31" i="87"/>
  <c r="J17" i="87"/>
  <c r="J84" i="87"/>
  <c r="J76" i="87"/>
  <c r="J72" i="87"/>
  <c r="J48" i="87"/>
  <c r="J40" i="87"/>
  <c r="J36" i="87"/>
  <c r="J32" i="87"/>
  <c r="J22" i="87"/>
  <c r="H19" i="87"/>
  <c r="J30" i="87"/>
  <c r="J56" i="87"/>
  <c r="J58" i="87"/>
  <c r="Z47" i="91"/>
  <c r="X47" i="91"/>
  <c r="X63" i="91"/>
  <c r="Z63" i="91" s="1"/>
  <c r="Z48" i="92"/>
  <c r="X48" i="92"/>
  <c r="V57" i="84"/>
  <c r="V61" i="84"/>
  <c r="V65" i="84"/>
  <c r="V77" i="84"/>
  <c r="V89" i="84"/>
  <c r="V101" i="84"/>
  <c r="V105" i="84"/>
  <c r="V113" i="84"/>
  <c r="R23" i="85"/>
  <c r="R22" i="85"/>
  <c r="R20" i="85"/>
  <c r="R30" i="85"/>
  <c r="R16" i="85"/>
  <c r="P20" i="85"/>
  <c r="X19" i="87"/>
  <c r="P88" i="87"/>
  <c r="V38" i="84"/>
  <c r="V66" i="84"/>
  <c r="V78" i="84"/>
  <c r="V86" i="84"/>
  <c r="V94" i="84"/>
  <c r="V106" i="84"/>
  <c r="V114" i="84"/>
  <c r="X26" i="85"/>
  <c r="N12" i="87"/>
  <c r="R90" i="87"/>
  <c r="R69" i="87"/>
  <c r="R68" i="87"/>
  <c r="R53" i="87"/>
  <c r="R52" i="87"/>
  <c r="R28" i="87"/>
  <c r="R24" i="87"/>
  <c r="R95" i="87"/>
  <c r="R92" i="87"/>
  <c r="R63" i="87"/>
  <c r="R44" i="87"/>
  <c r="R43" i="87"/>
  <c r="R79" i="87"/>
  <c r="R78" i="87"/>
  <c r="R74" i="87"/>
  <c r="R70" i="87"/>
  <c r="R55" i="87"/>
  <c r="R54" i="87"/>
  <c r="R38" i="87"/>
  <c r="R46" i="87"/>
  <c r="R45" i="87"/>
  <c r="R81" i="87"/>
  <c r="R80" i="87"/>
  <c r="R64" i="87"/>
  <c r="R57" i="87"/>
  <c r="R56" i="87"/>
  <c r="X12" i="87"/>
  <c r="R75" i="87"/>
  <c r="R71" i="87"/>
  <c r="R47" i="87"/>
  <c r="R39" i="87"/>
  <c r="R35" i="87"/>
  <c r="R16" i="87"/>
  <c r="R83" i="87"/>
  <c r="R82" i="87"/>
  <c r="R58" i="87"/>
  <c r="R31" i="87"/>
  <c r="R30" i="87"/>
  <c r="R26" i="87"/>
  <c r="R84" i="87"/>
  <c r="R76" i="87"/>
  <c r="R72" i="87"/>
  <c r="R49" i="87"/>
  <c r="R48" i="87"/>
  <c r="R40" i="87"/>
  <c r="R36" i="87"/>
  <c r="R32" i="87"/>
  <c r="R67" i="87"/>
  <c r="R66" i="87"/>
  <c r="R51" i="87"/>
  <c r="R50" i="87"/>
  <c r="R77" i="87"/>
  <c r="R73" i="87"/>
  <c r="R62" i="87"/>
  <c r="R61" i="87"/>
  <c r="R42" i="87"/>
  <c r="R41" i="87"/>
  <c r="R37" i="87"/>
  <c r="R33" i="87"/>
  <c r="R19" i="87"/>
  <c r="J64" i="87"/>
  <c r="V47" i="84"/>
  <c r="V51" i="84"/>
  <c r="V75" i="84"/>
  <c r="V87" i="84"/>
  <c r="X12" i="85"/>
  <c r="Z12" i="85" s="1"/>
  <c r="R26" i="85"/>
  <c r="Z19" i="87"/>
  <c r="T88" i="87"/>
  <c r="N46" i="87"/>
  <c r="D84" i="91"/>
  <c r="L16" i="91"/>
  <c r="V76" i="84"/>
  <c r="V84" i="84"/>
  <c r="V100" i="84"/>
  <c r="V104" i="84"/>
  <c r="V112" i="84"/>
  <c r="J46" i="87"/>
  <c r="N81" i="87"/>
  <c r="L81" i="87"/>
  <c r="Z27" i="88"/>
  <c r="X27" i="88"/>
  <c r="V73" i="84"/>
  <c r="V85" i="84"/>
  <c r="V93" i="84"/>
  <c r="N21" i="88"/>
  <c r="L21" i="88"/>
  <c r="N73" i="91"/>
  <c r="V46" i="84"/>
  <c r="V50" i="84"/>
  <c r="V54" i="84"/>
  <c r="V74" i="84"/>
  <c r="V82" i="84"/>
  <c r="X85" i="84"/>
  <c r="Z85" i="84" s="1"/>
  <c r="V98" i="84"/>
  <c r="V110" i="84"/>
  <c r="V121" i="84"/>
  <c r="L13" i="87"/>
  <c r="D12" i="87"/>
  <c r="R17" i="87"/>
  <c r="R22" i="87"/>
  <c r="J24" i="87"/>
  <c r="R86" i="87"/>
  <c r="V55" i="84"/>
  <c r="V59" i="84"/>
  <c r="V63" i="84"/>
  <c r="V71" i="84"/>
  <c r="V83" i="84"/>
  <c r="V91" i="84"/>
  <c r="V99" i="84"/>
  <c r="V103" i="84"/>
  <c r="R17" i="85"/>
  <c r="R24" i="85"/>
  <c r="N21" i="87"/>
  <c r="L55" i="87"/>
  <c r="V24" i="87"/>
  <c r="V28" i="87"/>
  <c r="V44" i="87"/>
  <c r="Z46" i="87"/>
  <c r="V52" i="87"/>
  <c r="N60" i="87"/>
  <c r="V68" i="87"/>
  <c r="N86" i="87"/>
  <c r="V90" i="87"/>
  <c r="V92" i="87"/>
  <c r="V95" i="87"/>
  <c r="Z12" i="88"/>
  <c r="Z14" i="88"/>
  <c r="Z18" i="88"/>
  <c r="J24" i="88"/>
  <c r="V28" i="88"/>
  <c r="V30" i="88"/>
  <c r="V32" i="88"/>
  <c r="F36" i="88"/>
  <c r="F39" i="88"/>
  <c r="R21" i="91"/>
  <c r="R25" i="91"/>
  <c r="F33" i="91"/>
  <c r="F37" i="91"/>
  <c r="V40" i="91"/>
  <c r="F44" i="91"/>
  <c r="F45" i="91"/>
  <c r="V48" i="91"/>
  <c r="R57" i="91"/>
  <c r="R58" i="91"/>
  <c r="F61" i="91"/>
  <c r="V64" i="91"/>
  <c r="R69" i="91"/>
  <c r="X75" i="91"/>
  <c r="V78" i="91"/>
  <c r="R18" i="92"/>
  <c r="R31" i="92"/>
  <c r="R35" i="92"/>
  <c r="R39" i="92"/>
  <c r="J62" i="92"/>
  <c r="R47" i="93"/>
  <c r="R46" i="93"/>
  <c r="R30" i="93"/>
  <c r="R26" i="93"/>
  <c r="R74" i="93"/>
  <c r="R73" i="93"/>
  <c r="R57" i="93"/>
  <c r="R22" i="93"/>
  <c r="R17" i="93"/>
  <c r="R68" i="93"/>
  <c r="R64" i="93"/>
  <c r="R49" i="93"/>
  <c r="R48" i="93"/>
  <c r="R40" i="93"/>
  <c r="R36" i="93"/>
  <c r="R21" i="93"/>
  <c r="R19" i="93"/>
  <c r="R75" i="93"/>
  <c r="R32" i="93"/>
  <c r="R31" i="93"/>
  <c r="R27" i="93"/>
  <c r="R23" i="93"/>
  <c r="P19" i="93"/>
  <c r="R79" i="93"/>
  <c r="R77" i="93"/>
  <c r="R59" i="93"/>
  <c r="R58" i="93"/>
  <c r="R51" i="93"/>
  <c r="R50" i="93"/>
  <c r="R69" i="93"/>
  <c r="R65" i="93"/>
  <c r="R41" i="93"/>
  <c r="R37" i="93"/>
  <c r="R33" i="93"/>
  <c r="R60" i="93"/>
  <c r="R53" i="93"/>
  <c r="R52" i="93"/>
  <c r="R28" i="93"/>
  <c r="R24" i="93"/>
  <c r="R81" i="93"/>
  <c r="R86" i="93"/>
  <c r="R83" i="93"/>
  <c r="R71" i="93"/>
  <c r="R70" i="93"/>
  <c r="R66" i="93"/>
  <c r="R55" i="93"/>
  <c r="R54" i="93"/>
  <c r="R43" i="93"/>
  <c r="R42" i="93"/>
  <c r="R38" i="93"/>
  <c r="R34" i="93"/>
  <c r="R72" i="93"/>
  <c r="R56" i="93"/>
  <c r="R45" i="93"/>
  <c r="R44" i="93"/>
  <c r="X12" i="93"/>
  <c r="R67" i="93"/>
  <c r="R63" i="93"/>
  <c r="R39" i="93"/>
  <c r="R35" i="93"/>
  <c r="R16" i="93"/>
  <c r="N21" i="93"/>
  <c r="V33" i="87"/>
  <c r="V37" i="87"/>
  <c r="V41" i="87"/>
  <c r="V53" i="87"/>
  <c r="V61" i="87"/>
  <c r="V69" i="87"/>
  <c r="V73" i="87"/>
  <c r="V77" i="87"/>
  <c r="D16" i="88"/>
  <c r="F21" i="88"/>
  <c r="F22" i="88"/>
  <c r="J23" i="88"/>
  <c r="R26" i="88"/>
  <c r="R27" i="88"/>
  <c r="F84" i="91"/>
  <c r="F91" i="91"/>
  <c r="F88" i="91"/>
  <c r="L14" i="91"/>
  <c r="R30" i="91"/>
  <c r="R34" i="91"/>
  <c r="R38" i="91"/>
  <c r="R46" i="91"/>
  <c r="R47" i="91"/>
  <c r="V49" i="91"/>
  <c r="F53" i="91"/>
  <c r="F54" i="91"/>
  <c r="V57" i="91"/>
  <c r="R62" i="91"/>
  <c r="R63" i="91"/>
  <c r="V65" i="91"/>
  <c r="V69" i="91"/>
  <c r="X73" i="91"/>
  <c r="Z73" i="91" s="1"/>
  <c r="F86" i="91"/>
  <c r="Z18" i="92"/>
  <c r="T78" i="92"/>
  <c r="R48" i="92"/>
  <c r="R25" i="93"/>
  <c r="R29" i="93"/>
  <c r="D12" i="94"/>
  <c r="Z59" i="94"/>
  <c r="X59" i="94"/>
  <c r="V51" i="87"/>
  <c r="V59" i="87"/>
  <c r="V67" i="87"/>
  <c r="H16" i="88"/>
  <c r="F19" i="88"/>
  <c r="F20" i="88"/>
  <c r="R24" i="88"/>
  <c r="R25" i="88"/>
  <c r="V27" i="88"/>
  <c r="F34" i="88"/>
  <c r="P16" i="91"/>
  <c r="R20" i="91"/>
  <c r="R24" i="91"/>
  <c r="R28" i="91"/>
  <c r="R29" i="91"/>
  <c r="F32" i="91"/>
  <c r="F36" i="91"/>
  <c r="V47" i="91"/>
  <c r="F51" i="91"/>
  <c r="F52" i="91"/>
  <c r="R56" i="91"/>
  <c r="F60" i="91"/>
  <c r="V63" i="91"/>
  <c r="R68" i="91"/>
  <c r="R72" i="91"/>
  <c r="F76" i="91"/>
  <c r="R82" i="91"/>
  <c r="R56" i="92"/>
  <c r="F69" i="93"/>
  <c r="R61" i="91"/>
  <c r="V68" i="91"/>
  <c r="V72" i="91"/>
  <c r="V73" i="91"/>
  <c r="F75" i="91"/>
  <c r="R77" i="91"/>
  <c r="V91" i="91"/>
  <c r="N20" i="92"/>
  <c r="J34" i="92"/>
  <c r="J38" i="92"/>
  <c r="J49" i="92"/>
  <c r="L46" i="87"/>
  <c r="V49" i="87"/>
  <c r="X60" i="87"/>
  <c r="V65" i="87"/>
  <c r="X86" i="87"/>
  <c r="L14" i="88"/>
  <c r="L18" i="88"/>
  <c r="R22" i="88"/>
  <c r="R23" i="88"/>
  <c r="V25" i="88"/>
  <c r="R75" i="91"/>
  <c r="R81" i="91"/>
  <c r="R80" i="91"/>
  <c r="R84" i="91"/>
  <c r="R91" i="91"/>
  <c r="R88" i="91"/>
  <c r="R19" i="91"/>
  <c r="F22" i="91"/>
  <c r="F26" i="91"/>
  <c r="V29" i="91"/>
  <c r="V33" i="91"/>
  <c r="V37" i="91"/>
  <c r="V45" i="91"/>
  <c r="F49" i="91"/>
  <c r="F50" i="91"/>
  <c r="R54" i="91"/>
  <c r="R55" i="91"/>
  <c r="V61" i="91"/>
  <c r="F65" i="91"/>
  <c r="F66" i="91"/>
  <c r="F70" i="91"/>
  <c r="V81" i="91"/>
  <c r="R60" i="92"/>
  <c r="R41" i="92"/>
  <c r="R40" i="92"/>
  <c r="R36" i="92"/>
  <c r="R32" i="92"/>
  <c r="R71" i="92"/>
  <c r="R52" i="92"/>
  <c r="R51" i="92"/>
  <c r="R27" i="92"/>
  <c r="R23" i="92"/>
  <c r="R66" i="92"/>
  <c r="R61" i="92"/>
  <c r="R54" i="92"/>
  <c r="R53" i="92"/>
  <c r="R37" i="92"/>
  <c r="R33" i="92"/>
  <c r="R73" i="92"/>
  <c r="R72" i="92"/>
  <c r="R45" i="92"/>
  <c r="R44" i="92"/>
  <c r="R28" i="92"/>
  <c r="R24" i="92"/>
  <c r="R67" i="92"/>
  <c r="R55" i="92"/>
  <c r="R74" i="92"/>
  <c r="R62" i="92"/>
  <c r="R46" i="92"/>
  <c r="R38" i="92"/>
  <c r="R34" i="92"/>
  <c r="R15" i="92"/>
  <c r="R78" i="92"/>
  <c r="R76" i="92"/>
  <c r="R30" i="92"/>
  <c r="R29" i="92"/>
  <c r="R25" i="92"/>
  <c r="R68" i="92"/>
  <c r="R80" i="92"/>
  <c r="R59" i="92"/>
  <c r="R58" i="92"/>
  <c r="R26" i="92"/>
  <c r="R22" i="92"/>
  <c r="P18" i="92"/>
  <c r="X12" i="92"/>
  <c r="R85" i="92"/>
  <c r="R82" i="92"/>
  <c r="R70" i="92"/>
  <c r="R69" i="92"/>
  <c r="R65" i="92"/>
  <c r="R50" i="92"/>
  <c r="R49" i="92"/>
  <c r="N45" i="92"/>
  <c r="R47" i="92"/>
  <c r="R62" i="93"/>
  <c r="V24" i="85"/>
  <c r="V26" i="85"/>
  <c r="V22" i="87"/>
  <c r="V26" i="87"/>
  <c r="V30" i="87"/>
  <c r="V58" i="87"/>
  <c r="V82" i="87"/>
  <c r="V22" i="88"/>
  <c r="J30" i="88"/>
  <c r="R36" i="88"/>
  <c r="R39" i="88"/>
  <c r="V77" i="91"/>
  <c r="V76" i="91"/>
  <c r="V84" i="91"/>
  <c r="V82" i="91"/>
  <c r="V14" i="91"/>
  <c r="V16" i="91"/>
  <c r="V18" i="91"/>
  <c r="R23" i="91"/>
  <c r="R27" i="91"/>
  <c r="F31" i="91"/>
  <c r="F35" i="91"/>
  <c r="F39" i="91"/>
  <c r="R43" i="91"/>
  <c r="R44" i="91"/>
  <c r="V54" i="91"/>
  <c r="F58" i="91"/>
  <c r="F59" i="91"/>
  <c r="R67" i="91"/>
  <c r="R71" i="91"/>
  <c r="R76" i="91"/>
  <c r="P80" i="91"/>
  <c r="X80" i="91" s="1"/>
  <c r="R20" i="92"/>
  <c r="R43" i="92"/>
  <c r="J45" i="92"/>
  <c r="F32" i="93"/>
  <c r="F65" i="93"/>
  <c r="H78" i="94"/>
  <c r="N20" i="94"/>
  <c r="V35" i="87"/>
  <c r="V39" i="87"/>
  <c r="V47" i="87"/>
  <c r="V71" i="87"/>
  <c r="V75" i="87"/>
  <c r="V83" i="87"/>
  <c r="L12" i="88"/>
  <c r="P16" i="88"/>
  <c r="R20" i="88"/>
  <c r="R21" i="88"/>
  <c r="V23" i="88"/>
  <c r="F27" i="88"/>
  <c r="R34" i="88"/>
  <c r="X12" i="91"/>
  <c r="R32" i="91"/>
  <c r="R36" i="91"/>
  <c r="V43" i="91"/>
  <c r="F47" i="91"/>
  <c r="F48" i="91"/>
  <c r="R52" i="91"/>
  <c r="R53" i="91"/>
  <c r="V55" i="91"/>
  <c r="R60" i="91"/>
  <c r="F63" i="91"/>
  <c r="F64" i="91"/>
  <c r="V67" i="91"/>
  <c r="V71" i="91"/>
  <c r="F74" i="91"/>
  <c r="Z20" i="92"/>
  <c r="X20" i="92"/>
  <c r="F41" i="93"/>
  <c r="L59" i="93"/>
  <c r="L77" i="93"/>
  <c r="V80" i="87"/>
  <c r="R14" i="88"/>
  <c r="R16" i="88"/>
  <c r="R18" i="88"/>
  <c r="V34" i="88"/>
  <c r="V36" i="88"/>
  <c r="V39" i="88"/>
  <c r="R41" i="91"/>
  <c r="R42" i="91"/>
  <c r="V52" i="91"/>
  <c r="F57" i="91"/>
  <c r="V60" i="91"/>
  <c r="F69" i="91"/>
  <c r="L73" i="91"/>
  <c r="V80" i="91"/>
  <c r="R63" i="92"/>
  <c r="V81" i="87"/>
  <c r="T16" i="88"/>
  <c r="R19" i="88"/>
  <c r="R22" i="91"/>
  <c r="R26" i="91"/>
  <c r="F38" i="91"/>
  <c r="F46" i="91"/>
  <c r="R50" i="91"/>
  <c r="R51" i="91"/>
  <c r="V53" i="91"/>
  <c r="F62" i="91"/>
  <c r="R66" i="91"/>
  <c r="R70" i="91"/>
  <c r="F73" i="91"/>
  <c r="F78" i="91"/>
  <c r="J63" i="92"/>
  <c r="J57" i="92"/>
  <c r="J47" i="92"/>
  <c r="J39" i="92"/>
  <c r="J35" i="92"/>
  <c r="J31" i="92"/>
  <c r="J21" i="92"/>
  <c r="J80" i="92"/>
  <c r="J64" i="92"/>
  <c r="J58" i="92"/>
  <c r="J48" i="92"/>
  <c r="J26" i="92"/>
  <c r="J22" i="92"/>
  <c r="J20" i="92"/>
  <c r="J18" i="92"/>
  <c r="N12" i="92"/>
  <c r="J69" i="92"/>
  <c r="J65" i="92"/>
  <c r="J59" i="92"/>
  <c r="J85" i="92"/>
  <c r="J82" i="92"/>
  <c r="J70" i="92"/>
  <c r="J60" i="92"/>
  <c r="J50" i="92"/>
  <c r="J40" i="92"/>
  <c r="J36" i="92"/>
  <c r="J32" i="92"/>
  <c r="J71" i="92"/>
  <c r="J51" i="92"/>
  <c r="J41" i="92"/>
  <c r="J27" i="92"/>
  <c r="J23" i="92"/>
  <c r="J66" i="92"/>
  <c r="J52" i="92"/>
  <c r="J42" i="92"/>
  <c r="J61" i="92"/>
  <c r="J53" i="92"/>
  <c r="J43" i="92"/>
  <c r="J37" i="92"/>
  <c r="J33" i="92"/>
  <c r="J72" i="92"/>
  <c r="J54" i="92"/>
  <c r="J44" i="92"/>
  <c r="J28" i="92"/>
  <c r="J24" i="92"/>
  <c r="J73" i="92"/>
  <c r="J67" i="92"/>
  <c r="J29" i="92"/>
  <c r="J25" i="92"/>
  <c r="J15" i="92"/>
  <c r="J78" i="92"/>
  <c r="J76" i="92"/>
  <c r="J68" i="92"/>
  <c r="J56" i="92"/>
  <c r="J30" i="92"/>
  <c r="J16" i="92"/>
  <c r="R42" i="92"/>
  <c r="J74" i="92"/>
  <c r="R61" i="93"/>
  <c r="N22" i="94"/>
  <c r="L51" i="87"/>
  <c r="X57" i="87"/>
  <c r="L67" i="87"/>
  <c r="V70" i="87"/>
  <c r="V74" i="87"/>
  <c r="V78" i="87"/>
  <c r="X81" i="87"/>
  <c r="V14" i="88"/>
  <c r="V16" i="88"/>
  <c r="V18" i="88"/>
  <c r="X21" i="88"/>
  <c r="L27" i="88"/>
  <c r="R30" i="88"/>
  <c r="R32" i="88"/>
  <c r="R31" i="91"/>
  <c r="R35" i="91"/>
  <c r="R39" i="91"/>
  <c r="R40" i="91"/>
  <c r="R59" i="91"/>
  <c r="V66" i="91"/>
  <c r="V70" i="91"/>
  <c r="R74" i="91"/>
  <c r="F82" i="91"/>
  <c r="L12" i="92"/>
  <c r="F70" i="93"/>
  <c r="F66" i="93"/>
  <c r="F54" i="93"/>
  <c r="F53" i="93"/>
  <c r="F42" i="93"/>
  <c r="F38" i="93"/>
  <c r="F34" i="93"/>
  <c r="F61" i="93"/>
  <c r="F29" i="93"/>
  <c r="F25" i="93"/>
  <c r="F86" i="93"/>
  <c r="F83" i="93"/>
  <c r="F72" i="93"/>
  <c r="F71" i="93"/>
  <c r="F56" i="93"/>
  <c r="F55" i="93"/>
  <c r="F44" i="93"/>
  <c r="F43" i="93"/>
  <c r="L12" i="93"/>
  <c r="F67" i="93"/>
  <c r="F63" i="93"/>
  <c r="F62" i="93"/>
  <c r="F39" i="93"/>
  <c r="F35" i="93"/>
  <c r="F46" i="93"/>
  <c r="F45" i="93"/>
  <c r="F30" i="93"/>
  <c r="F26" i="93"/>
  <c r="F73" i="93"/>
  <c r="F57" i="93"/>
  <c r="F17" i="93"/>
  <c r="F16" i="93"/>
  <c r="F68" i="93"/>
  <c r="F64" i="93"/>
  <c r="F48" i="93"/>
  <c r="F47" i="93"/>
  <c r="F40" i="93"/>
  <c r="F36" i="93"/>
  <c r="F75" i="93"/>
  <c r="F74" i="93"/>
  <c r="F31" i="93"/>
  <c r="F27" i="93"/>
  <c r="F23" i="93"/>
  <c r="F22" i="93"/>
  <c r="F58" i="93"/>
  <c r="F50" i="93"/>
  <c r="F49" i="93"/>
  <c r="F21" i="93"/>
  <c r="F19" i="93"/>
  <c r="F79" i="93"/>
  <c r="F77" i="93"/>
  <c r="F60" i="93"/>
  <c r="F59" i="93"/>
  <c r="F52" i="93"/>
  <c r="F51" i="93"/>
  <c r="F28" i="93"/>
  <c r="F24" i="93"/>
  <c r="F81" i="93"/>
  <c r="D19" i="93"/>
  <c r="R69" i="94"/>
  <c r="R68" i="94"/>
  <c r="R61" i="94"/>
  <c r="R60" i="94"/>
  <c r="R71" i="94"/>
  <c r="R70" i="94"/>
  <c r="R73" i="94"/>
  <c r="R72" i="94"/>
  <c r="R65" i="94"/>
  <c r="R64" i="94"/>
  <c r="R56" i="94"/>
  <c r="R55" i="94"/>
  <c r="R44" i="94"/>
  <c r="R74" i="94"/>
  <c r="R66" i="94"/>
  <c r="R30" i="94"/>
  <c r="R26" i="94"/>
  <c r="R76" i="94"/>
  <c r="R57" i="94"/>
  <c r="R80" i="94"/>
  <c r="R59" i="94"/>
  <c r="R58" i="94"/>
  <c r="R23" i="94"/>
  <c r="R50" i="94"/>
  <c r="R49" i="94"/>
  <c r="R54" i="94"/>
  <c r="R41" i="94"/>
  <c r="R31" i="94"/>
  <c r="R28" i="94"/>
  <c r="R25" i="94"/>
  <c r="R48" i="94"/>
  <c r="R38" i="94"/>
  <c r="R35" i="94"/>
  <c r="R17" i="94"/>
  <c r="R51" i="94"/>
  <c r="R45" i="94"/>
  <c r="R18" i="94"/>
  <c r="R62" i="94"/>
  <c r="R39" i="94"/>
  <c r="R32" i="94"/>
  <c r="R29" i="94"/>
  <c r="R22" i="94"/>
  <c r="R52" i="94"/>
  <c r="R42" i="94"/>
  <c r="R36" i="94"/>
  <c r="P20" i="94"/>
  <c r="R46" i="94"/>
  <c r="R33" i="94"/>
  <c r="X12" i="94"/>
  <c r="R67" i="94"/>
  <c r="R63" i="94"/>
  <c r="R43" i="94"/>
  <c r="R37" i="94"/>
  <c r="R27" i="94"/>
  <c r="R24" i="94"/>
  <c r="R53" i="94"/>
  <c r="R34" i="94"/>
  <c r="R47" i="94"/>
  <c r="V55" i="87"/>
  <c r="V63" i="87"/>
  <c r="X12" i="88"/>
  <c r="F20" i="91"/>
  <c r="F24" i="91"/>
  <c r="F28" i="91"/>
  <c r="V35" i="91"/>
  <c r="V39" i="91"/>
  <c r="R48" i="91"/>
  <c r="R49" i="91"/>
  <c r="V51" i="91"/>
  <c r="F55" i="91"/>
  <c r="F56" i="91"/>
  <c r="V59" i="91"/>
  <c r="R64" i="91"/>
  <c r="R65" i="91"/>
  <c r="F68" i="91"/>
  <c r="F72" i="91"/>
  <c r="V74" i="91"/>
  <c r="V75" i="91"/>
  <c r="F77" i="91"/>
  <c r="R78" i="91"/>
  <c r="V88" i="91"/>
  <c r="H18" i="92"/>
  <c r="J46" i="92"/>
  <c r="R57" i="92"/>
  <c r="F33" i="93"/>
  <c r="F25" i="92"/>
  <c r="F29" i="92"/>
  <c r="V32" i="92"/>
  <c r="V36" i="92"/>
  <c r="V40" i="92"/>
  <c r="V52" i="92"/>
  <c r="V60" i="92"/>
  <c r="V22" i="93"/>
  <c r="V26" i="93"/>
  <c r="V30" i="93"/>
  <c r="J34" i="93"/>
  <c r="J38" i="93"/>
  <c r="J42" i="93"/>
  <c r="V46" i="93"/>
  <c r="J54" i="93"/>
  <c r="J66" i="93"/>
  <c r="J70" i="93"/>
  <c r="V74" i="93"/>
  <c r="V17" i="94"/>
  <c r="V25" i="94"/>
  <c r="V28" i="94"/>
  <c r="V31" i="94"/>
  <c r="J37" i="94"/>
  <c r="J43" i="94"/>
  <c r="V48" i="94"/>
  <c r="X54" i="94"/>
  <c r="Z54" i="94"/>
  <c r="N65" i="94"/>
  <c r="L65" i="94"/>
  <c r="F100" i="95"/>
  <c r="F94" i="95"/>
  <c r="F93" i="95"/>
  <c r="F86" i="95"/>
  <c r="F85" i="95"/>
  <c r="F90" i="95"/>
  <c r="F82" i="95"/>
  <c r="F78" i="95"/>
  <c r="F77" i="95"/>
  <c r="F54" i="95"/>
  <c r="F53" i="95"/>
  <c r="F25" i="95"/>
  <c r="F91" i="95"/>
  <c r="F65" i="95"/>
  <c r="F64" i="95"/>
  <c r="F45" i="95"/>
  <c r="F41" i="95"/>
  <c r="F37" i="95"/>
  <c r="F36" i="95"/>
  <c r="D23" i="95"/>
  <c r="F72" i="95"/>
  <c r="F32" i="95"/>
  <c r="F28" i="95"/>
  <c r="L12" i="95"/>
  <c r="N12" i="95" s="1"/>
  <c r="F96" i="95"/>
  <c r="F79" i="95"/>
  <c r="F67" i="95"/>
  <c r="F66" i="95"/>
  <c r="F55" i="95"/>
  <c r="F19" i="95"/>
  <c r="F18" i="95"/>
  <c r="F83" i="95"/>
  <c r="F46" i="95"/>
  <c r="F42" i="95"/>
  <c r="F38" i="95"/>
  <c r="F92" i="95"/>
  <c r="F73" i="95"/>
  <c r="F57" i="95"/>
  <c r="F56" i="95"/>
  <c r="F33" i="95"/>
  <c r="F29" i="95"/>
  <c r="F87" i="95"/>
  <c r="F80" i="95"/>
  <c r="F68" i="95"/>
  <c r="F48" i="95"/>
  <c r="F47" i="95"/>
  <c r="F20" i="95"/>
  <c r="F59" i="95"/>
  <c r="F58" i="95"/>
  <c r="F43" i="95"/>
  <c r="F39" i="95"/>
  <c r="F89" i="95"/>
  <c r="F88" i="95"/>
  <c r="F84" i="95"/>
  <c r="F74" i="95"/>
  <c r="F70" i="95"/>
  <c r="F69" i="95"/>
  <c r="F50" i="95"/>
  <c r="F49" i="95"/>
  <c r="F34" i="95"/>
  <c r="F30" i="95"/>
  <c r="F76" i="95"/>
  <c r="F75" i="95"/>
  <c r="F52" i="95"/>
  <c r="F51" i="95"/>
  <c r="F44" i="95"/>
  <c r="F40" i="95"/>
  <c r="F71" i="95"/>
  <c r="F63" i="95"/>
  <c r="F62" i="95"/>
  <c r="F35" i="95"/>
  <c r="F31" i="95"/>
  <c r="F27" i="95"/>
  <c r="F26" i="95"/>
  <c r="Z76" i="97"/>
  <c r="X76" i="97"/>
  <c r="F34" i="92"/>
  <c r="F38" i="92"/>
  <c r="V41" i="92"/>
  <c r="F45" i="92"/>
  <c r="F46" i="92"/>
  <c r="V49" i="92"/>
  <c r="F62" i="92"/>
  <c r="V65" i="92"/>
  <c r="V69" i="92"/>
  <c r="F73" i="92"/>
  <c r="F74" i="92"/>
  <c r="V35" i="93"/>
  <c r="V39" i="93"/>
  <c r="V47" i="93"/>
  <c r="J53" i="93"/>
  <c r="V63" i="93"/>
  <c r="V67" i="93"/>
  <c r="J81" i="93"/>
  <c r="V47" i="94"/>
  <c r="N73" i="94"/>
  <c r="L73" i="94"/>
  <c r="F21" i="95"/>
  <c r="F81" i="95"/>
  <c r="F72" i="92"/>
  <c r="J65" i="93"/>
  <c r="J69" i="93"/>
  <c r="J77" i="93"/>
  <c r="J79" i="93"/>
  <c r="V71" i="94"/>
  <c r="V63" i="94"/>
  <c r="V51" i="94"/>
  <c r="V73" i="94"/>
  <c r="V72" i="94"/>
  <c r="V64" i="94"/>
  <c r="V55" i="94"/>
  <c r="V43" i="94"/>
  <c r="V39" i="94"/>
  <c r="V35" i="94"/>
  <c r="V78" i="94"/>
  <c r="V76" i="94"/>
  <c r="V74" i="94"/>
  <c r="V66" i="94"/>
  <c r="V46" i="94"/>
  <c r="V57" i="94"/>
  <c r="V45" i="94"/>
  <c r="V67" i="94"/>
  <c r="V59" i="94"/>
  <c r="V69" i="94"/>
  <c r="V61" i="94"/>
  <c r="V49" i="94"/>
  <c r="V41" i="94"/>
  <c r="V37" i="94"/>
  <c r="V33" i="94"/>
  <c r="V68" i="94"/>
  <c r="V60" i="94"/>
  <c r="V52" i="94"/>
  <c r="V30" i="94"/>
  <c r="V40" i="94"/>
  <c r="V50" i="94"/>
  <c r="V65" i="94"/>
  <c r="V82" i="94"/>
  <c r="N69" i="95"/>
  <c r="R42" i="97"/>
  <c r="R41" i="97"/>
  <c r="R37" i="97"/>
  <c r="R33" i="97"/>
  <c r="R87" i="97"/>
  <c r="R76" i="97"/>
  <c r="R75" i="97"/>
  <c r="R71" i="97"/>
  <c r="R67" i="97"/>
  <c r="R44" i="97"/>
  <c r="R43" i="97"/>
  <c r="R92" i="97"/>
  <c r="R89" i="97"/>
  <c r="R55" i="97"/>
  <c r="R54" i="97"/>
  <c r="R38" i="97"/>
  <c r="R34" i="97"/>
  <c r="R77" i="97"/>
  <c r="R62" i="97"/>
  <c r="R61" i="97"/>
  <c r="R46" i="97"/>
  <c r="R45" i="97"/>
  <c r="R29" i="97"/>
  <c r="R25" i="97"/>
  <c r="R72" i="97"/>
  <c r="R68" i="97"/>
  <c r="R56" i="97"/>
  <c r="X12" i="97"/>
  <c r="R63" i="97"/>
  <c r="R47" i="97"/>
  <c r="R39" i="97"/>
  <c r="R35" i="97"/>
  <c r="R79" i="97"/>
  <c r="R78" i="97"/>
  <c r="R83" i="97"/>
  <c r="R82" i="97"/>
  <c r="R27" i="97"/>
  <c r="R23" i="97"/>
  <c r="P19" i="97"/>
  <c r="R85" i="97"/>
  <c r="R74" i="97"/>
  <c r="R70" i="97"/>
  <c r="R66" i="97"/>
  <c r="R59" i="97"/>
  <c r="R58" i="97"/>
  <c r="R51" i="97"/>
  <c r="R50" i="97"/>
  <c r="R64" i="97"/>
  <c r="R53" i="97"/>
  <c r="R31" i="97"/>
  <c r="R16" i="97"/>
  <c r="R49" i="97"/>
  <c r="R26" i="97"/>
  <c r="R21" i="97"/>
  <c r="R65" i="97"/>
  <c r="R60" i="97"/>
  <c r="R40" i="97"/>
  <c r="R24" i="97"/>
  <c r="R73" i="97"/>
  <c r="R69" i="97"/>
  <c r="R36" i="97"/>
  <c r="R22" i="97"/>
  <c r="R17" i="97"/>
  <c r="R32" i="97"/>
  <c r="R52" i="97"/>
  <c r="R80" i="97"/>
  <c r="R48" i="97"/>
  <c r="R30" i="97"/>
  <c r="R19" i="97"/>
  <c r="R57" i="97"/>
  <c r="R28" i="97"/>
  <c r="V16" i="92"/>
  <c r="V18" i="92"/>
  <c r="V20" i="92"/>
  <c r="F33" i="92"/>
  <c r="F37" i="92"/>
  <c r="V48" i="92"/>
  <c r="F52" i="92"/>
  <c r="F53" i="92"/>
  <c r="V56" i="92"/>
  <c r="F61" i="92"/>
  <c r="V64" i="92"/>
  <c r="V68" i="92"/>
  <c r="H19" i="93"/>
  <c r="J32" i="93"/>
  <c r="V34" i="93"/>
  <c r="V38" i="93"/>
  <c r="V42" i="93"/>
  <c r="J50" i="93"/>
  <c r="V54" i="93"/>
  <c r="J58" i="93"/>
  <c r="V62" i="93"/>
  <c r="V66" i="93"/>
  <c r="V70" i="93"/>
  <c r="J23" i="94"/>
  <c r="V24" i="94"/>
  <c r="J26" i="94"/>
  <c r="V27" i="94"/>
  <c r="J32" i="94"/>
  <c r="J39" i="94"/>
  <c r="V56" i="94"/>
  <c r="X71" i="94"/>
  <c r="V21" i="92"/>
  <c r="V25" i="92"/>
  <c r="V29" i="92"/>
  <c r="F41" i="92"/>
  <c r="F42" i="92"/>
  <c r="V57" i="92"/>
  <c r="X64" i="92"/>
  <c r="F66" i="92"/>
  <c r="L13" i="93"/>
  <c r="J19" i="93"/>
  <c r="J21" i="93"/>
  <c r="J23" i="93"/>
  <c r="J27" i="93"/>
  <c r="J31" i="93"/>
  <c r="V43" i="93"/>
  <c r="J49" i="93"/>
  <c r="V55" i="93"/>
  <c r="X62" i="93"/>
  <c r="V71" i="93"/>
  <c r="J75" i="93"/>
  <c r="V81" i="93"/>
  <c r="V83" i="93"/>
  <c r="V86" i="93"/>
  <c r="Z12" i="94"/>
  <c r="L23" i="94"/>
  <c r="V58" i="94"/>
  <c r="V85" i="94"/>
  <c r="Z66" i="95"/>
  <c r="F23" i="92"/>
  <c r="F27" i="92"/>
  <c r="V30" i="92"/>
  <c r="V34" i="92"/>
  <c r="V38" i="92"/>
  <c r="V46" i="92"/>
  <c r="F50" i="92"/>
  <c r="F51" i="92"/>
  <c r="V62" i="92"/>
  <c r="F70" i="92"/>
  <c r="F71" i="92"/>
  <c r="V74" i="92"/>
  <c r="V76" i="92"/>
  <c r="V78" i="92"/>
  <c r="F82" i="92"/>
  <c r="F85" i="92"/>
  <c r="J22" i="93"/>
  <c r="V24" i="93"/>
  <c r="V28" i="93"/>
  <c r="J36" i="93"/>
  <c r="J40" i="93"/>
  <c r="J48" i="93"/>
  <c r="V52" i="93"/>
  <c r="V60" i="93"/>
  <c r="J64" i="93"/>
  <c r="J68" i="93"/>
  <c r="J74" i="93"/>
  <c r="J66" i="94"/>
  <c r="J74" i="94"/>
  <c r="L51" i="95"/>
  <c r="N51" i="95" s="1"/>
  <c r="F60" i="95"/>
  <c r="L75" i="95"/>
  <c r="N75" i="95" s="1"/>
  <c r="N93" i="95"/>
  <c r="V15" i="92"/>
  <c r="D18" i="92"/>
  <c r="F32" i="92"/>
  <c r="F36" i="92"/>
  <c r="F40" i="92"/>
  <c r="V55" i="92"/>
  <c r="F59" i="92"/>
  <c r="F60" i="92"/>
  <c r="V67" i="92"/>
  <c r="J17" i="93"/>
  <c r="V33" i="93"/>
  <c r="V37" i="93"/>
  <c r="V41" i="93"/>
  <c r="J47" i="93"/>
  <c r="V53" i="93"/>
  <c r="J57" i="93"/>
  <c r="V65" i="93"/>
  <c r="V69" i="93"/>
  <c r="J73" i="93"/>
  <c r="V26" i="94"/>
  <c r="J35" i="94"/>
  <c r="V36" i="94"/>
  <c r="J38" i="94"/>
  <c r="V42" i="94"/>
  <c r="L48" i="94"/>
  <c r="N48" i="94" s="1"/>
  <c r="N60" i="95"/>
  <c r="V24" i="92"/>
  <c r="V28" i="92"/>
  <c r="V44" i="92"/>
  <c r="F48" i="92"/>
  <c r="F49" i="92"/>
  <c r="F64" i="92"/>
  <c r="F65" i="92"/>
  <c r="F69" i="92"/>
  <c r="V72" i="92"/>
  <c r="J16" i="93"/>
  <c r="J26" i="93"/>
  <c r="J30" i="93"/>
  <c r="J46" i="93"/>
  <c r="V50" i="93"/>
  <c r="V58" i="93"/>
  <c r="T20" i="94"/>
  <c r="J28" i="94"/>
  <c r="V29" i="94"/>
  <c r="J31" i="94"/>
  <c r="V32" i="94"/>
  <c r="J41" i="94"/>
  <c r="J48" i="94"/>
  <c r="V62" i="94"/>
  <c r="J80" i="94"/>
  <c r="P12" i="95"/>
  <c r="X14" i="95"/>
  <c r="N49" i="95"/>
  <c r="Z19" i="97"/>
  <c r="T85" i="97"/>
  <c r="F57" i="92"/>
  <c r="F58" i="92"/>
  <c r="V61" i="92"/>
  <c r="V73" i="92"/>
  <c r="F80" i="92"/>
  <c r="J35" i="93"/>
  <c r="J39" i="93"/>
  <c r="J45" i="93"/>
  <c r="V51" i="93"/>
  <c r="V59" i="93"/>
  <c r="J63" i="93"/>
  <c r="J67" i="93"/>
  <c r="V75" i="93"/>
  <c r="V77" i="93"/>
  <c r="V79" i="93"/>
  <c r="V18" i="94"/>
  <c r="V20" i="94"/>
  <c r="V22" i="94"/>
  <c r="V23" i="94"/>
  <c r="J44" i="94"/>
  <c r="J54" i="94"/>
  <c r="F30" i="92"/>
  <c r="F31" i="92"/>
  <c r="F35" i="92"/>
  <c r="F39" i="92"/>
  <c r="V42" i="92"/>
  <c r="F47" i="92"/>
  <c r="V54" i="92"/>
  <c r="F63" i="92"/>
  <c r="V66" i="92"/>
  <c r="F76" i="92"/>
  <c r="F78" i="92"/>
  <c r="N12" i="93"/>
  <c r="T19" i="93"/>
  <c r="V32" i="93"/>
  <c r="V36" i="93"/>
  <c r="V40" i="93"/>
  <c r="J44" i="93"/>
  <c r="V48" i="93"/>
  <c r="J56" i="93"/>
  <c r="J62" i="93"/>
  <c r="V64" i="93"/>
  <c r="V68" i="93"/>
  <c r="J72" i="93"/>
  <c r="J34" i="94"/>
  <c r="V70" i="94"/>
  <c r="Z49" i="95"/>
  <c r="F15" i="92"/>
  <c r="F16" i="92"/>
  <c r="V23" i="92"/>
  <c r="V27" i="92"/>
  <c r="V43" i="92"/>
  <c r="V51" i="92"/>
  <c r="F56" i="92"/>
  <c r="V17" i="93"/>
  <c r="V19" i="93"/>
  <c r="V21" i="93"/>
  <c r="J25" i="93"/>
  <c r="J29" i="93"/>
  <c r="J43" i="93"/>
  <c r="V49" i="93"/>
  <c r="J55" i="93"/>
  <c r="V57" i="93"/>
  <c r="J61" i="93"/>
  <c r="J71" i="93"/>
  <c r="J83" i="93"/>
  <c r="J67" i="94"/>
  <c r="J47" i="94"/>
  <c r="J85" i="94"/>
  <c r="J82" i="94"/>
  <c r="J68" i="94"/>
  <c r="J60" i="94"/>
  <c r="J69" i="94"/>
  <c r="J61" i="94"/>
  <c r="J51" i="94"/>
  <c r="J33" i="94"/>
  <c r="J70" i="94"/>
  <c r="J62" i="94"/>
  <c r="J52" i="94"/>
  <c r="J71" i="94"/>
  <c r="J63" i="94"/>
  <c r="J53" i="94"/>
  <c r="J29" i="94"/>
  <c r="J25" i="94"/>
  <c r="J72" i="94"/>
  <c r="J64" i="94"/>
  <c r="J73" i="94"/>
  <c r="J65" i="94"/>
  <c r="J55" i="94"/>
  <c r="J57" i="94"/>
  <c r="J45" i="94"/>
  <c r="J78" i="94"/>
  <c r="J76" i="94"/>
  <c r="J46" i="94"/>
  <c r="V38" i="94"/>
  <c r="J40" i="94"/>
  <c r="X48" i="94"/>
  <c r="Z48" i="94" s="1"/>
  <c r="J56" i="94"/>
  <c r="J59" i="94"/>
  <c r="V80" i="94"/>
  <c r="F61" i="95"/>
  <c r="J48" i="99"/>
  <c r="J38" i="99"/>
  <c r="J34" i="99"/>
  <c r="J30" i="99"/>
  <c r="J49" i="99"/>
  <c r="J39" i="99"/>
  <c r="J25" i="99"/>
  <c r="J21" i="99"/>
  <c r="J40" i="99"/>
  <c r="J52" i="99"/>
  <c r="J51" i="99"/>
  <c r="J41" i="99"/>
  <c r="J35" i="99"/>
  <c r="J31" i="99"/>
  <c r="J53" i="99"/>
  <c r="J42" i="99"/>
  <c r="J26" i="99"/>
  <c r="J22" i="99"/>
  <c r="J54" i="99"/>
  <c r="J56" i="99"/>
  <c r="J36" i="99"/>
  <c r="J32" i="99"/>
  <c r="N12" i="99"/>
  <c r="J43" i="99"/>
  <c r="J27" i="99"/>
  <c r="J23" i="99"/>
  <c r="J63" i="99"/>
  <c r="J60" i="99"/>
  <c r="J46" i="99"/>
  <c r="J24" i="99"/>
  <c r="J20" i="99"/>
  <c r="J18" i="99"/>
  <c r="J16" i="99"/>
  <c r="J14" i="99"/>
  <c r="J47" i="99"/>
  <c r="H16" i="99"/>
  <c r="J45" i="99"/>
  <c r="J28" i="99"/>
  <c r="J44" i="99"/>
  <c r="J37" i="99"/>
  <c r="J29" i="99"/>
  <c r="J58" i="99"/>
  <c r="V93" i="95"/>
  <c r="V85" i="95"/>
  <c r="V89" i="95"/>
  <c r="N18" i="95"/>
  <c r="H23" i="95"/>
  <c r="J23" i="95" s="1"/>
  <c r="J36" i="95"/>
  <c r="V38" i="95"/>
  <c r="V42" i="95"/>
  <c r="V46" i="95"/>
  <c r="J54" i="95"/>
  <c r="V58" i="95"/>
  <c r="Z60" i="95"/>
  <c r="J64" i="95"/>
  <c r="N66" i="95"/>
  <c r="J78" i="95"/>
  <c r="J82" i="95"/>
  <c r="V83" i="95"/>
  <c r="X88" i="95"/>
  <c r="J94" i="95"/>
  <c r="X96" i="95"/>
  <c r="L12" i="97"/>
  <c r="F25" i="97"/>
  <c r="Z44" i="97"/>
  <c r="X44" i="97"/>
  <c r="F61" i="97"/>
  <c r="V64" i="97"/>
  <c r="V87" i="97"/>
  <c r="D16" i="99"/>
  <c r="F23" i="99"/>
  <c r="F20" i="104"/>
  <c r="F19" i="104"/>
  <c r="F18" i="104"/>
  <c r="F16" i="104"/>
  <c r="F14" i="104"/>
  <c r="F24" i="104"/>
  <c r="F22" i="104"/>
  <c r="F26" i="104"/>
  <c r="L12" i="104"/>
  <c r="F28" i="104"/>
  <c r="D16" i="104"/>
  <c r="F31" i="104"/>
  <c r="V19" i="95"/>
  <c r="J25" i="95"/>
  <c r="J27" i="95"/>
  <c r="J31" i="95"/>
  <c r="J35" i="95"/>
  <c r="V47" i="95"/>
  <c r="J53" i="95"/>
  <c r="V55" i="95"/>
  <c r="J63" i="95"/>
  <c r="V67" i="95"/>
  <c r="J71" i="95"/>
  <c r="J77" i="95"/>
  <c r="V79" i="95"/>
  <c r="J85" i="95"/>
  <c r="V86" i="95"/>
  <c r="J90" i="95"/>
  <c r="V16" i="97"/>
  <c r="Z15" i="98"/>
  <c r="X15" i="98"/>
  <c r="F63" i="99"/>
  <c r="F60" i="99"/>
  <c r="F47" i="99"/>
  <c r="F46" i="99"/>
  <c r="F18" i="99"/>
  <c r="F16" i="99"/>
  <c r="F14" i="99"/>
  <c r="F38" i="99"/>
  <c r="F34" i="99"/>
  <c r="F30" i="99"/>
  <c r="F49" i="99"/>
  <c r="F48" i="99"/>
  <c r="F25" i="99"/>
  <c r="F21" i="99"/>
  <c r="F40" i="99"/>
  <c r="F39" i="99"/>
  <c r="F52" i="99"/>
  <c r="F35" i="99"/>
  <c r="F31" i="99"/>
  <c r="F53" i="99"/>
  <c r="F51" i="99"/>
  <c r="F42" i="99"/>
  <c r="F41" i="99"/>
  <c r="F26" i="99"/>
  <c r="F22" i="99"/>
  <c r="F54" i="99"/>
  <c r="F36" i="99"/>
  <c r="F32" i="99"/>
  <c r="L12" i="99"/>
  <c r="F45" i="99"/>
  <c r="F44" i="99"/>
  <c r="F37" i="99"/>
  <c r="F33" i="99"/>
  <c r="F29" i="99"/>
  <c r="F28" i="99"/>
  <c r="F24" i="99"/>
  <c r="F20" i="99"/>
  <c r="F19" i="99"/>
  <c r="X14" i="101"/>
  <c r="P16" i="101"/>
  <c r="J21" i="95"/>
  <c r="V37" i="95"/>
  <c r="V41" i="95"/>
  <c r="V45" i="95"/>
  <c r="J51" i="95"/>
  <c r="J61" i="95"/>
  <c r="V65" i="95"/>
  <c r="J75" i="95"/>
  <c r="J81" i="95"/>
  <c r="V82" i="95"/>
  <c r="V96" i="95"/>
  <c r="V76" i="97"/>
  <c r="V60" i="97"/>
  <c r="V52" i="97"/>
  <c r="V44" i="97"/>
  <c r="V28" i="97"/>
  <c r="V24" i="97"/>
  <c r="V62" i="97"/>
  <c r="V54" i="97"/>
  <c r="V46" i="97"/>
  <c r="V38" i="97"/>
  <c r="V34" i="97"/>
  <c r="V77" i="97"/>
  <c r="V61" i="97"/>
  <c r="V45" i="97"/>
  <c r="V29" i="97"/>
  <c r="V25" i="97"/>
  <c r="V72" i="97"/>
  <c r="V68" i="97"/>
  <c r="V56" i="97"/>
  <c r="V79" i="97"/>
  <c r="V63" i="97"/>
  <c r="V47" i="97"/>
  <c r="V39" i="97"/>
  <c r="V35" i="97"/>
  <c r="V31" i="97"/>
  <c r="V78" i="97"/>
  <c r="V73" i="97"/>
  <c r="V69" i="97"/>
  <c r="V65" i="97"/>
  <c r="V57" i="97"/>
  <c r="V49" i="97"/>
  <c r="V74" i="97"/>
  <c r="V70" i="97"/>
  <c r="V66" i="97"/>
  <c r="V58" i="97"/>
  <c r="V50" i="97"/>
  <c r="V42" i="97"/>
  <c r="V53" i="97"/>
  <c r="V41" i="97"/>
  <c r="V37" i="97"/>
  <c r="V33" i="97"/>
  <c r="V19" i="97"/>
  <c r="F22" i="97"/>
  <c r="F34" i="97"/>
  <c r="F56" i="97"/>
  <c r="F89" i="97"/>
  <c r="N44" i="99"/>
  <c r="L44" i="99"/>
  <c r="X16" i="100"/>
  <c r="J30" i="95"/>
  <c r="J34" i="95"/>
  <c r="J50" i="95"/>
  <c r="V54" i="95"/>
  <c r="J60" i="95"/>
  <c r="V66" i="95"/>
  <c r="J70" i="95"/>
  <c r="J74" i="95"/>
  <c r="V78" i="95"/>
  <c r="J84" i="95"/>
  <c r="J93" i="95"/>
  <c r="V94" i="95"/>
  <c r="Z12" i="97"/>
  <c r="N22" i="97"/>
  <c r="L22" i="97"/>
  <c r="F29" i="97"/>
  <c r="F36" i="97"/>
  <c r="V43" i="97"/>
  <c r="F77" i="97"/>
  <c r="F79" i="97"/>
  <c r="V83" i="97"/>
  <c r="Z17" i="98"/>
  <c r="T25" i="98"/>
  <c r="Z19" i="101"/>
  <c r="X19" i="101"/>
  <c r="L54" i="94"/>
  <c r="L13" i="95"/>
  <c r="N13" i="95" s="1"/>
  <c r="X18" i="95"/>
  <c r="Z18" i="95" s="1"/>
  <c r="V27" i="95"/>
  <c r="V31" i="95"/>
  <c r="V35" i="95"/>
  <c r="J39" i="95"/>
  <c r="J43" i="95"/>
  <c r="J49" i="95"/>
  <c r="J59" i="95"/>
  <c r="V63" i="95"/>
  <c r="X66" i="95"/>
  <c r="J69" i="95"/>
  <c r="V71" i="95"/>
  <c r="J88" i="95"/>
  <c r="V100" i="95"/>
  <c r="L21" i="97"/>
  <c r="X22" i="97"/>
  <c r="F38" i="97"/>
  <c r="V89" i="97"/>
  <c r="Z19" i="100"/>
  <c r="P30" i="100"/>
  <c r="Z62" i="105"/>
  <c r="X62" i="105"/>
  <c r="J20" i="95"/>
  <c r="T23" i="95"/>
  <c r="V36" i="95"/>
  <c r="V40" i="95"/>
  <c r="V44" i="95"/>
  <c r="J48" i="95"/>
  <c r="V52" i="95"/>
  <c r="J58" i="95"/>
  <c r="V64" i="95"/>
  <c r="J68" i="95"/>
  <c r="V76" i="95"/>
  <c r="J80" i="95"/>
  <c r="J87" i="95"/>
  <c r="V90" i="95"/>
  <c r="F73" i="97"/>
  <c r="F69" i="97"/>
  <c r="F57" i="97"/>
  <c r="F17" i="97"/>
  <c r="F16" i="97"/>
  <c r="F83" i="97"/>
  <c r="F74" i="97"/>
  <c r="F70" i="97"/>
  <c r="F66" i="97"/>
  <c r="F65" i="97"/>
  <c r="F58" i="97"/>
  <c r="F50" i="97"/>
  <c r="F49" i="97"/>
  <c r="F21" i="97"/>
  <c r="F19" i="97"/>
  <c r="F82" i="97"/>
  <c r="F41" i="97"/>
  <c r="F37" i="97"/>
  <c r="F33" i="97"/>
  <c r="F85" i="97"/>
  <c r="F60" i="97"/>
  <c r="F59" i="97"/>
  <c r="F52" i="97"/>
  <c r="F51" i="97"/>
  <c r="F28" i="97"/>
  <c r="F24" i="97"/>
  <c r="F87" i="97"/>
  <c r="F75" i="97"/>
  <c r="F71" i="97"/>
  <c r="F67" i="97"/>
  <c r="F43" i="97"/>
  <c r="F42" i="97"/>
  <c r="F54" i="97"/>
  <c r="F53" i="97"/>
  <c r="F63" i="97"/>
  <c r="F62" i="97"/>
  <c r="F47" i="97"/>
  <c r="F46" i="97"/>
  <c r="F39" i="97"/>
  <c r="F35" i="97"/>
  <c r="F78" i="97"/>
  <c r="F30" i="97"/>
  <c r="F26" i="97"/>
  <c r="N21" i="97"/>
  <c r="V27" i="97"/>
  <c r="V32" i="97"/>
  <c r="V67" i="97"/>
  <c r="V71" i="97"/>
  <c r="V75" i="97"/>
  <c r="F92" i="97"/>
  <c r="P12" i="98"/>
  <c r="X13" i="98"/>
  <c r="N18" i="101"/>
  <c r="L18" i="101"/>
  <c r="V21" i="95"/>
  <c r="V25" i="95"/>
  <c r="J29" i="95"/>
  <c r="J33" i="95"/>
  <c r="J47" i="95"/>
  <c r="V53" i="95"/>
  <c r="J57" i="95"/>
  <c r="V61" i="95"/>
  <c r="J73" i="95"/>
  <c r="V77" i="95"/>
  <c r="V81" i="95"/>
  <c r="V84" i="95"/>
  <c r="J92" i="95"/>
  <c r="L96" i="95"/>
  <c r="L13" i="97"/>
  <c r="V17" i="97"/>
  <c r="F31" i="97"/>
  <c r="N62" i="97"/>
  <c r="L62" i="97"/>
  <c r="D30" i="100"/>
  <c r="L16" i="100"/>
  <c r="J89" i="95"/>
  <c r="J91" i="95"/>
  <c r="V26" i="95"/>
  <c r="V30" i="95"/>
  <c r="V34" i="95"/>
  <c r="J38" i="95"/>
  <c r="J42" i="95"/>
  <c r="J46" i="95"/>
  <c r="V50" i="95"/>
  <c r="J56" i="95"/>
  <c r="V62" i="95"/>
  <c r="V70" i="95"/>
  <c r="V74" i="95"/>
  <c r="J83" i="95"/>
  <c r="V22" i="97"/>
  <c r="V36" i="97"/>
  <c r="F64" i="97"/>
  <c r="V85" i="97"/>
  <c r="V92" i="97"/>
  <c r="L28" i="99"/>
  <c r="N28" i="99" s="1"/>
  <c r="H30" i="100"/>
  <c r="N16" i="100"/>
  <c r="J19" i="95"/>
  <c r="V39" i="95"/>
  <c r="V43" i="95"/>
  <c r="V51" i="95"/>
  <c r="J55" i="95"/>
  <c r="V59" i="95"/>
  <c r="J67" i="95"/>
  <c r="V75" i="95"/>
  <c r="J79" i="95"/>
  <c r="J86" i="95"/>
  <c r="V40" i="97"/>
  <c r="F44" i="97"/>
  <c r="F55" i="97"/>
  <c r="Z65" i="97"/>
  <c r="X65" i="97"/>
  <c r="Z82" i="97"/>
  <c r="X82" i="97"/>
  <c r="Z20" i="98"/>
  <c r="X20" i="98"/>
  <c r="Z21" i="100"/>
  <c r="X21" i="100"/>
  <c r="J28" i="95"/>
  <c r="J32" i="95"/>
  <c r="V48" i="95"/>
  <c r="V60" i="95"/>
  <c r="J66" i="95"/>
  <c r="V68" i="95"/>
  <c r="J72" i="95"/>
  <c r="V80" i="95"/>
  <c r="V87" i="95"/>
  <c r="V92" i="95"/>
  <c r="J96" i="95"/>
  <c r="L19" i="97"/>
  <c r="D85" i="97"/>
  <c r="Z21" i="97"/>
  <c r="F23" i="97"/>
  <c r="V26" i="97"/>
  <c r="L46" i="97"/>
  <c r="N46" i="97" s="1"/>
  <c r="F48" i="97"/>
  <c r="Z49" i="97"/>
  <c r="X49" i="97"/>
  <c r="V51" i="97"/>
  <c r="N55" i="97"/>
  <c r="L55" i="97"/>
  <c r="F68" i="97"/>
  <c r="F72" i="97"/>
  <c r="F80" i="97"/>
  <c r="V82" i="97"/>
  <c r="Z18" i="99"/>
  <c r="Z39" i="99"/>
  <c r="X39" i="99"/>
  <c r="F56" i="99"/>
  <c r="H39" i="101"/>
  <c r="N16" i="101"/>
  <c r="V29" i="95"/>
  <c r="V33" i="95"/>
  <c r="J37" i="95"/>
  <c r="J41" i="95"/>
  <c r="J45" i="95"/>
  <c r="V49" i="95"/>
  <c r="V57" i="95"/>
  <c r="J65" i="95"/>
  <c r="V69" i="95"/>
  <c r="V73" i="95"/>
  <c r="V88" i="95"/>
  <c r="H85" i="97"/>
  <c r="N19" i="97"/>
  <c r="V21" i="97"/>
  <c r="F76" i="97"/>
  <c r="F21" i="98"/>
  <c r="F20" i="98"/>
  <c r="F19" i="98"/>
  <c r="F15" i="98"/>
  <c r="D17" i="98"/>
  <c r="F23" i="98"/>
  <c r="L12" i="98"/>
  <c r="F27" i="98"/>
  <c r="Z19" i="98"/>
  <c r="X19" i="98"/>
  <c r="F58" i="99"/>
  <c r="P12" i="105"/>
  <c r="X13" i="105"/>
  <c r="J17" i="97"/>
  <c r="J31" i="97"/>
  <c r="J57" i="97"/>
  <c r="J69" i="97"/>
  <c r="J73" i="97"/>
  <c r="J79" i="97"/>
  <c r="V31" i="99"/>
  <c r="V35" i="99"/>
  <c r="R40" i="99"/>
  <c r="R41" i="99"/>
  <c r="R51" i="99"/>
  <c r="R52" i="99"/>
  <c r="V53" i="99"/>
  <c r="F26" i="100"/>
  <c r="F30" i="100"/>
  <c r="F28" i="100"/>
  <c r="L14" i="100"/>
  <c r="R22" i="100"/>
  <c r="J16" i="97"/>
  <c r="J26" i="97"/>
  <c r="J30" i="97"/>
  <c r="J78" i="97"/>
  <c r="V21" i="98"/>
  <c r="V23" i="98"/>
  <c r="V25" i="98"/>
  <c r="R21" i="99"/>
  <c r="R25" i="99"/>
  <c r="V40" i="99"/>
  <c r="R49" i="99"/>
  <c r="V52" i="99"/>
  <c r="X53" i="99"/>
  <c r="Z53" i="99" s="1"/>
  <c r="J24" i="100"/>
  <c r="J26" i="100"/>
  <c r="J32" i="100"/>
  <c r="N14" i="100"/>
  <c r="V23" i="100"/>
  <c r="R26" i="100"/>
  <c r="N19" i="101"/>
  <c r="N18" i="102"/>
  <c r="Z26" i="103"/>
  <c r="J55" i="97"/>
  <c r="J61" i="97"/>
  <c r="J77" i="97"/>
  <c r="J89" i="97"/>
  <c r="J92" i="97"/>
  <c r="P16" i="99"/>
  <c r="V39" i="99"/>
  <c r="V47" i="99"/>
  <c r="R30" i="100"/>
  <c r="R28" i="100"/>
  <c r="R32" i="100"/>
  <c r="T16" i="100"/>
  <c r="R19" i="100"/>
  <c r="D12" i="103"/>
  <c r="L13" i="103"/>
  <c r="X66" i="103"/>
  <c r="Z66" i="103"/>
  <c r="J38" i="97"/>
  <c r="J44" i="97"/>
  <c r="J54" i="97"/>
  <c r="J76" i="97"/>
  <c r="J27" i="98"/>
  <c r="V37" i="100"/>
  <c r="V34" i="100"/>
  <c r="V32" i="100"/>
  <c r="V22" i="100"/>
  <c r="V14" i="100"/>
  <c r="V16" i="100"/>
  <c r="V18" i="100"/>
  <c r="V30" i="100"/>
  <c r="F35" i="101"/>
  <c r="F34" i="101"/>
  <c r="F18" i="101"/>
  <c r="F16" i="101"/>
  <c r="F14" i="101"/>
  <c r="F26" i="101"/>
  <c r="F25" i="101"/>
  <c r="F21" i="101"/>
  <c r="F39" i="101"/>
  <c r="F37" i="101"/>
  <c r="F28" i="101"/>
  <c r="F27" i="101"/>
  <c r="F30" i="101"/>
  <c r="F29" i="101"/>
  <c r="F22" i="101"/>
  <c r="F23" i="101"/>
  <c r="F33" i="101"/>
  <c r="F20" i="101"/>
  <c r="F41" i="101"/>
  <c r="V25" i="105"/>
  <c r="P12" i="107"/>
  <c r="X14" i="107"/>
  <c r="J43" i="97"/>
  <c r="J53" i="97"/>
  <c r="J67" i="97"/>
  <c r="J71" i="97"/>
  <c r="J75" i="97"/>
  <c r="J87" i="97"/>
  <c r="N12" i="98"/>
  <c r="T16" i="99"/>
  <c r="R19" i="99"/>
  <c r="V29" i="99"/>
  <c r="V33" i="99"/>
  <c r="V37" i="99"/>
  <c r="V45" i="99"/>
  <c r="R58" i="99"/>
  <c r="X12" i="100"/>
  <c r="V19" i="100"/>
  <c r="X25" i="100"/>
  <c r="R34" i="100"/>
  <c r="J26" i="101"/>
  <c r="J39" i="101"/>
  <c r="J37" i="101"/>
  <c r="J27" i="101"/>
  <c r="J21" i="101"/>
  <c r="J28" i="101"/>
  <c r="J41" i="101"/>
  <c r="J29" i="101"/>
  <c r="J46" i="101"/>
  <c r="J43" i="101"/>
  <c r="J31" i="101"/>
  <c r="J32" i="101"/>
  <c r="N12" i="101"/>
  <c r="J34" i="101"/>
  <c r="J24" i="101"/>
  <c r="J35" i="101"/>
  <c r="J25" i="101"/>
  <c r="D16" i="101"/>
  <c r="Z18" i="101"/>
  <c r="J20" i="101"/>
  <c r="F32" i="101"/>
  <c r="L19" i="102"/>
  <c r="N19" i="102" s="1"/>
  <c r="N51" i="102"/>
  <c r="L53" i="102"/>
  <c r="N53" i="102" s="1"/>
  <c r="P12" i="103"/>
  <c r="Z25" i="103"/>
  <c r="Z52" i="103"/>
  <c r="X54" i="103"/>
  <c r="J24" i="97"/>
  <c r="J28" i="97"/>
  <c r="J42" i="97"/>
  <c r="J52" i="97"/>
  <c r="J60" i="97"/>
  <c r="J23" i="98"/>
  <c r="J25" i="98"/>
  <c r="V14" i="99"/>
  <c r="V16" i="99"/>
  <c r="V18" i="99"/>
  <c r="R43" i="99"/>
  <c r="R44" i="99"/>
  <c r="V46" i="99"/>
  <c r="V58" i="99"/>
  <c r="V60" i="99"/>
  <c r="V63" i="99"/>
  <c r="Z12" i="100"/>
  <c r="R25" i="100"/>
  <c r="L12" i="101"/>
  <c r="N29" i="101"/>
  <c r="L29" i="101"/>
  <c r="J33" i="97"/>
  <c r="J37" i="97"/>
  <c r="J41" i="97"/>
  <c r="J51" i="97"/>
  <c r="J59" i="97"/>
  <c r="J85" i="97"/>
  <c r="H17" i="98"/>
  <c r="X12" i="99"/>
  <c r="V19" i="99"/>
  <c r="V23" i="99"/>
  <c r="V27" i="99"/>
  <c r="R32" i="99"/>
  <c r="R36" i="99"/>
  <c r="V43" i="99"/>
  <c r="F21" i="100"/>
  <c r="F22" i="100"/>
  <c r="R24" i="100"/>
  <c r="F32" i="100"/>
  <c r="J16" i="101"/>
  <c r="J22" i="101"/>
  <c r="J50" i="97"/>
  <c r="J58" i="97"/>
  <c r="J66" i="97"/>
  <c r="J70" i="97"/>
  <c r="J74" i="97"/>
  <c r="J82" i="97"/>
  <c r="J83" i="97"/>
  <c r="J15" i="98"/>
  <c r="J17" i="98"/>
  <c r="J19" i="98"/>
  <c r="V27" i="98"/>
  <c r="V29" i="98"/>
  <c r="Z12" i="99"/>
  <c r="V28" i="99"/>
  <c r="V32" i="99"/>
  <c r="V36" i="99"/>
  <c r="V44" i="99"/>
  <c r="R56" i="99"/>
  <c r="F14" i="100"/>
  <c r="F16" i="100"/>
  <c r="F18" i="100"/>
  <c r="J22" i="100"/>
  <c r="V24" i="100"/>
  <c r="V25" i="100"/>
  <c r="F37" i="100"/>
  <c r="V30" i="101"/>
  <c r="V22" i="101"/>
  <c r="V32" i="101"/>
  <c r="Z12" i="101"/>
  <c r="V23" i="101"/>
  <c r="V19" i="101"/>
  <c r="V33" i="101"/>
  <c r="V25" i="101"/>
  <c r="T16" i="101"/>
  <c r="V24" i="101"/>
  <c r="V20" i="101"/>
  <c r="V26" i="101"/>
  <c r="V28" i="101"/>
  <c r="V46" i="101"/>
  <c r="V43" i="101"/>
  <c r="V41" i="101"/>
  <c r="V31" i="101"/>
  <c r="F24" i="101"/>
  <c r="F31" i="101"/>
  <c r="L29" i="102"/>
  <c r="N29" i="102" s="1"/>
  <c r="Z83" i="103"/>
  <c r="R54" i="99"/>
  <c r="V28" i="100"/>
  <c r="F19" i="101"/>
  <c r="F43" i="101"/>
  <c r="P16" i="102"/>
  <c r="J22" i="97"/>
  <c r="J32" i="97"/>
  <c r="J36" i="97"/>
  <c r="J40" i="97"/>
  <c r="J48" i="97"/>
  <c r="J64" i="97"/>
  <c r="V26" i="99"/>
  <c r="V42" i="99"/>
  <c r="V54" i="99"/>
  <c r="R23" i="100"/>
  <c r="H92" i="103"/>
  <c r="V36" i="102"/>
  <c r="R41" i="102"/>
  <c r="R42" i="102"/>
  <c r="V44" i="102"/>
  <c r="R49" i="102"/>
  <c r="J56" i="102"/>
  <c r="J58" i="102"/>
  <c r="R62" i="102"/>
  <c r="R65" i="102"/>
  <c r="V79" i="103"/>
  <c r="V75" i="103"/>
  <c r="V59" i="103"/>
  <c r="V47" i="103"/>
  <c r="V70" i="103"/>
  <c r="V62" i="103"/>
  <c r="V90" i="103"/>
  <c r="V80" i="103"/>
  <c r="V71" i="103"/>
  <c r="V66" i="103"/>
  <c r="V54" i="103"/>
  <c r="V83" i="103"/>
  <c r="V67" i="103"/>
  <c r="X37" i="103"/>
  <c r="Z37" i="103" s="1"/>
  <c r="J40" i="103"/>
  <c r="V45" i="103"/>
  <c r="V50" i="103"/>
  <c r="J53" i="103"/>
  <c r="V55" i="103"/>
  <c r="V56" i="103"/>
  <c r="N58" i="103"/>
  <c r="N62" i="103"/>
  <c r="V76" i="103"/>
  <c r="J80" i="103"/>
  <c r="X26" i="105"/>
  <c r="Z26" i="105" s="1"/>
  <c r="N64" i="105"/>
  <c r="D16" i="102"/>
  <c r="R22" i="102"/>
  <c r="J25" i="102"/>
  <c r="R26" i="102"/>
  <c r="F29" i="102"/>
  <c r="F30" i="102"/>
  <c r="F34" i="102"/>
  <c r="F38" i="102"/>
  <c r="V41" i="102"/>
  <c r="F46" i="102"/>
  <c r="V49" i="102"/>
  <c r="F53" i="102"/>
  <c r="F54" i="102"/>
  <c r="R60" i="102"/>
  <c r="V19" i="103"/>
  <c r="J23" i="103"/>
  <c r="J25" i="103"/>
  <c r="J27" i="103"/>
  <c r="J31" i="103"/>
  <c r="J35" i="103"/>
  <c r="V41" i="103"/>
  <c r="J47" i="103"/>
  <c r="V49" i="103"/>
  <c r="J58" i="103"/>
  <c r="J62" i="103"/>
  <c r="J68" i="103"/>
  <c r="Z69" i="103"/>
  <c r="J73" i="103"/>
  <c r="X25" i="105"/>
  <c r="Z25" i="105" s="1"/>
  <c r="X64" i="105"/>
  <c r="Z64" i="105" s="1"/>
  <c r="D31" i="108"/>
  <c r="R35" i="101"/>
  <c r="H16" i="102"/>
  <c r="F19" i="102"/>
  <c r="F20" i="102"/>
  <c r="F24" i="102"/>
  <c r="F28" i="102"/>
  <c r="J29" i="102"/>
  <c r="V31" i="102"/>
  <c r="V35" i="102"/>
  <c r="V39" i="102"/>
  <c r="V47" i="102"/>
  <c r="F51" i="102"/>
  <c r="F52" i="102"/>
  <c r="J53" i="102"/>
  <c r="J21" i="103"/>
  <c r="V37" i="103"/>
  <c r="J39" i="103"/>
  <c r="V44" i="103"/>
  <c r="J61" i="103"/>
  <c r="V68" i="103"/>
  <c r="X69" i="103"/>
  <c r="Z74" i="103"/>
  <c r="V78" i="103"/>
  <c r="Z48" i="109"/>
  <c r="X48" i="109"/>
  <c r="V48" i="109"/>
  <c r="R14" i="101"/>
  <c r="R16" i="101"/>
  <c r="R18" i="101"/>
  <c r="R33" i="101"/>
  <c r="R34" i="101"/>
  <c r="V21" i="102"/>
  <c r="V25" i="102"/>
  <c r="R30" i="102"/>
  <c r="J33" i="102"/>
  <c r="R34" i="102"/>
  <c r="J37" i="102"/>
  <c r="R38" i="102"/>
  <c r="J45" i="102"/>
  <c r="R46" i="102"/>
  <c r="F50" i="102"/>
  <c r="J51" i="102"/>
  <c r="R54" i="102"/>
  <c r="V27" i="103"/>
  <c r="V31" i="103"/>
  <c r="V35" i="103"/>
  <c r="J46" i="103"/>
  <c r="V65" i="103"/>
  <c r="J81" i="103"/>
  <c r="H16" i="104"/>
  <c r="J24" i="104"/>
  <c r="J22" i="104"/>
  <c r="J26" i="104"/>
  <c r="J31" i="104"/>
  <c r="J28" i="104"/>
  <c r="Z14" i="104"/>
  <c r="X14" i="104"/>
  <c r="N56" i="105"/>
  <c r="L56" i="105"/>
  <c r="F31" i="109"/>
  <c r="R19" i="101"/>
  <c r="F23" i="102"/>
  <c r="F27" i="102"/>
  <c r="V30" i="102"/>
  <c r="V34" i="102"/>
  <c r="V38" i="102"/>
  <c r="F42" i="102"/>
  <c r="F43" i="102"/>
  <c r="J44" i="102"/>
  <c r="V46" i="102"/>
  <c r="J50" i="102"/>
  <c r="V54" i="102"/>
  <c r="V56" i="102"/>
  <c r="V58" i="102"/>
  <c r="F62" i="102"/>
  <c r="F65" i="102"/>
  <c r="J20" i="103"/>
  <c r="T23" i="103"/>
  <c r="J42" i="103"/>
  <c r="V43" i="103"/>
  <c r="N50" i="103"/>
  <c r="V58" i="103"/>
  <c r="J64" i="103"/>
  <c r="J72" i="103"/>
  <c r="V84" i="103"/>
  <c r="N12" i="104"/>
  <c r="N21" i="107"/>
  <c r="T71" i="109"/>
  <c r="V17" i="109"/>
  <c r="R52" i="102"/>
  <c r="R53" i="102"/>
  <c r="V21" i="103"/>
  <c r="V25" i="103"/>
  <c r="J29" i="103"/>
  <c r="J33" i="103"/>
  <c r="J38" i="103"/>
  <c r="V39" i="103"/>
  <c r="J50" i="103"/>
  <c r="V51" i="103"/>
  <c r="V52" i="103"/>
  <c r="V57" i="103"/>
  <c r="V61" i="103"/>
  <c r="N64" i="103"/>
  <c r="V77" i="103"/>
  <c r="R26" i="104"/>
  <c r="R31" i="104"/>
  <c r="R28" i="104"/>
  <c r="X12" i="104"/>
  <c r="R20" i="104"/>
  <c r="P16" i="104"/>
  <c r="J16" i="104"/>
  <c r="Z18" i="104"/>
  <c r="X18" i="104"/>
  <c r="J20" i="104"/>
  <c r="D12" i="105"/>
  <c r="T23" i="105"/>
  <c r="Z52" i="105"/>
  <c r="X12" i="101"/>
  <c r="R32" i="101"/>
  <c r="R14" i="102"/>
  <c r="R16" i="102"/>
  <c r="R18" i="102"/>
  <c r="V20" i="102"/>
  <c r="V24" i="102"/>
  <c r="V28" i="102"/>
  <c r="J32" i="102"/>
  <c r="R33" i="102"/>
  <c r="J36" i="102"/>
  <c r="R37" i="102"/>
  <c r="F40" i="102"/>
  <c r="F41" i="102"/>
  <c r="J42" i="102"/>
  <c r="R45" i="102"/>
  <c r="F48" i="102"/>
  <c r="F49" i="102"/>
  <c r="V52" i="102"/>
  <c r="J62" i="102"/>
  <c r="J65" i="102"/>
  <c r="J67" i="103"/>
  <c r="J55" i="103"/>
  <c r="J82" i="103"/>
  <c r="J78" i="103"/>
  <c r="J84" i="103"/>
  <c r="J79" i="103"/>
  <c r="J75" i="103"/>
  <c r="J69" i="103"/>
  <c r="J88" i="103"/>
  <c r="J86" i="103"/>
  <c r="J70" i="103"/>
  <c r="J60" i="103"/>
  <c r="J48" i="103"/>
  <c r="J71" i="103"/>
  <c r="J63" i="103"/>
  <c r="X13" i="103"/>
  <c r="V26" i="103"/>
  <c r="V30" i="103"/>
  <c r="V34" i="103"/>
  <c r="J45" i="103"/>
  <c r="N74" i="103"/>
  <c r="V81" i="103"/>
  <c r="Z50" i="105"/>
  <c r="X50" i="105"/>
  <c r="T16" i="102"/>
  <c r="R19" i="102"/>
  <c r="F22" i="102"/>
  <c r="F26" i="102"/>
  <c r="V29" i="102"/>
  <c r="V33" i="102"/>
  <c r="V37" i="102"/>
  <c r="J41" i="102"/>
  <c r="V45" i="102"/>
  <c r="J49" i="102"/>
  <c r="R50" i="102"/>
  <c r="R51" i="102"/>
  <c r="V53" i="102"/>
  <c r="F60" i="102"/>
  <c r="J19" i="103"/>
  <c r="J37" i="103"/>
  <c r="J41" i="103"/>
  <c r="V46" i="103"/>
  <c r="J49" i="103"/>
  <c r="X50" i="103"/>
  <c r="Z50" i="103" s="1"/>
  <c r="J59" i="103"/>
  <c r="Z64" i="103"/>
  <c r="V72" i="103"/>
  <c r="J74" i="103"/>
  <c r="Z37" i="105"/>
  <c r="L66" i="105"/>
  <c r="N66" i="105" s="1"/>
  <c r="R22" i="101"/>
  <c r="R30" i="101"/>
  <c r="R31" i="101"/>
  <c r="R43" i="101"/>
  <c r="R46" i="101"/>
  <c r="V14" i="102"/>
  <c r="V16" i="102"/>
  <c r="V18" i="102"/>
  <c r="R23" i="102"/>
  <c r="J26" i="102"/>
  <c r="R27" i="102"/>
  <c r="F31" i="102"/>
  <c r="F35" i="102"/>
  <c r="F39" i="102"/>
  <c r="J40" i="102"/>
  <c r="R43" i="102"/>
  <c r="R44" i="102"/>
  <c r="F47" i="102"/>
  <c r="J48" i="102"/>
  <c r="V50" i="102"/>
  <c r="F56" i="102"/>
  <c r="J60" i="102"/>
  <c r="V20" i="103"/>
  <c r="J28" i="103"/>
  <c r="J32" i="103"/>
  <c r="J36" i="103"/>
  <c r="L37" i="103"/>
  <c r="N37" i="103" s="1"/>
  <c r="V42" i="103"/>
  <c r="V60" i="103"/>
  <c r="V64" i="103"/>
  <c r="J76" i="103"/>
  <c r="J83" i="103"/>
  <c r="X12" i="102"/>
  <c r="V19" i="102"/>
  <c r="V23" i="102"/>
  <c r="V27" i="102"/>
  <c r="J31" i="102"/>
  <c r="R32" i="102"/>
  <c r="J35" i="102"/>
  <c r="J39" i="102"/>
  <c r="V43" i="102"/>
  <c r="V29" i="103"/>
  <c r="V33" i="103"/>
  <c r="V38" i="103"/>
  <c r="J44" i="103"/>
  <c r="J54" i="103"/>
  <c r="Z56" i="103"/>
  <c r="V63" i="103"/>
  <c r="J66" i="103"/>
  <c r="N86" i="103"/>
  <c r="L86" i="103"/>
  <c r="J90" i="103"/>
  <c r="T16" i="104"/>
  <c r="J19" i="104"/>
  <c r="N18" i="105"/>
  <c r="N71" i="105"/>
  <c r="V80" i="105"/>
  <c r="J85" i="105"/>
  <c r="L21" i="107"/>
  <c r="Z19" i="109"/>
  <c r="V19" i="109"/>
  <c r="J61" i="105"/>
  <c r="J71" i="105"/>
  <c r="V72" i="105"/>
  <c r="V75" i="105"/>
  <c r="J79" i="105"/>
  <c r="J82" i="105"/>
  <c r="V91" i="105"/>
  <c r="V98" i="105"/>
  <c r="N78" i="107"/>
  <c r="V27" i="105"/>
  <c r="V31" i="105"/>
  <c r="V35" i="105"/>
  <c r="J39" i="105"/>
  <c r="J43" i="105"/>
  <c r="J47" i="105"/>
  <c r="V51" i="105"/>
  <c r="J59" i="105"/>
  <c r="V63" i="105"/>
  <c r="J67" i="105"/>
  <c r="J70" i="105"/>
  <c r="X71" i="105"/>
  <c r="Z71" i="105" s="1"/>
  <c r="V85" i="105"/>
  <c r="V14" i="104"/>
  <c r="V16" i="104"/>
  <c r="J90" i="105"/>
  <c r="J91" i="105"/>
  <c r="J75" i="105"/>
  <c r="J94" i="105"/>
  <c r="J89" i="105"/>
  <c r="J84" i="105"/>
  <c r="J80" i="105"/>
  <c r="J68" i="105"/>
  <c r="V26" i="105"/>
  <c r="V30" i="105"/>
  <c r="V34" i="105"/>
  <c r="J38" i="105"/>
  <c r="J42" i="105"/>
  <c r="J46" i="105"/>
  <c r="V50" i="105"/>
  <c r="J56" i="105"/>
  <c r="V62" i="105"/>
  <c r="V71" i="105"/>
  <c r="J81" i="107"/>
  <c r="J80" i="107"/>
  <c r="J64" i="107"/>
  <c r="J52" i="107"/>
  <c r="J75" i="107"/>
  <c r="J71" i="107"/>
  <c r="J63" i="107"/>
  <c r="J77" i="107"/>
  <c r="J50" i="107"/>
  <c r="J29" i="107"/>
  <c r="J25" i="107"/>
  <c r="J72" i="107"/>
  <c r="J68" i="107"/>
  <c r="J57" i="107"/>
  <c r="J58" i="107"/>
  <c r="J51" i="107"/>
  <c r="J43" i="107"/>
  <c r="J39" i="107"/>
  <c r="J35" i="107"/>
  <c r="J78" i="107"/>
  <c r="J44" i="107"/>
  <c r="J30" i="107"/>
  <c r="J26" i="107"/>
  <c r="J45" i="107"/>
  <c r="J17" i="107"/>
  <c r="J69" i="107"/>
  <c r="J65" i="107"/>
  <c r="J59" i="107"/>
  <c r="J53" i="107"/>
  <c r="J46" i="107"/>
  <c r="J40" i="107"/>
  <c r="J36" i="107"/>
  <c r="J22" i="107"/>
  <c r="J82" i="107"/>
  <c r="J73" i="107"/>
  <c r="J66" i="107"/>
  <c r="J60" i="107"/>
  <c r="J54" i="107"/>
  <c r="J31" i="107"/>
  <c r="J27" i="107"/>
  <c r="J23" i="107"/>
  <c r="J21" i="107"/>
  <c r="J88" i="107"/>
  <c r="J79" i="107"/>
  <c r="J76" i="107"/>
  <c r="J70" i="107"/>
  <c r="J84" i="107"/>
  <c r="J62" i="107"/>
  <c r="J49" i="107"/>
  <c r="J33" i="107"/>
  <c r="J74" i="107"/>
  <c r="J56" i="107"/>
  <c r="J42" i="107"/>
  <c r="J38" i="107"/>
  <c r="J34" i="107"/>
  <c r="J32" i="107"/>
  <c r="Z33" i="107"/>
  <c r="N48" i="107"/>
  <c r="V39" i="105"/>
  <c r="V43" i="105"/>
  <c r="V47" i="105"/>
  <c r="J55" i="105"/>
  <c r="V59" i="105"/>
  <c r="L64" i="105"/>
  <c r="J65" i="105"/>
  <c r="J69" i="105"/>
  <c r="V70" i="105"/>
  <c r="V84" i="105"/>
  <c r="J28" i="107"/>
  <c r="J48" i="107"/>
  <c r="F73" i="109"/>
  <c r="F61" i="109"/>
  <c r="F45" i="109"/>
  <c r="F44" i="109"/>
  <c r="F56" i="109"/>
  <c r="F55" i="109"/>
  <c r="F19" i="109"/>
  <c r="F15" i="109"/>
  <c r="F68" i="109"/>
  <c r="F43" i="109"/>
  <c r="F42" i="109"/>
  <c r="F66" i="109"/>
  <c r="F41" i="109"/>
  <c r="F28" i="109"/>
  <c r="L12" i="109"/>
  <c r="F63" i="109"/>
  <c r="F59" i="109"/>
  <c r="F46" i="109"/>
  <c r="F21" i="109"/>
  <c r="F20" i="109"/>
  <c r="D17" i="109"/>
  <c r="F17" i="109" s="1"/>
  <c r="F51" i="109"/>
  <c r="F69" i="109"/>
  <c r="F60" i="109"/>
  <c r="F26" i="109"/>
  <c r="F64" i="109"/>
  <c r="F52" i="109"/>
  <c r="F65" i="109"/>
  <c r="F49" i="109"/>
  <c r="F38" i="109"/>
  <c r="F35" i="109"/>
  <c r="F62" i="109"/>
  <c r="F24" i="109"/>
  <c r="F27" i="109"/>
  <c r="F25" i="109"/>
  <c r="F57" i="109"/>
  <c r="F36" i="109"/>
  <c r="F32" i="109"/>
  <c r="F39" i="109"/>
  <c r="F34" i="109"/>
  <c r="F23" i="109"/>
  <c r="F53" i="109"/>
  <c r="F30" i="109"/>
  <c r="F47" i="109"/>
  <c r="F37" i="109"/>
  <c r="F54" i="109"/>
  <c r="F33" i="109"/>
  <c r="F50" i="109"/>
  <c r="F29" i="109"/>
  <c r="F48" i="109"/>
  <c r="X20" i="109"/>
  <c r="Z20" i="109" s="1"/>
  <c r="J28" i="105"/>
  <c r="J32" i="105"/>
  <c r="J36" i="105"/>
  <c r="V48" i="105"/>
  <c r="J54" i="105"/>
  <c r="V60" i="105"/>
  <c r="J76" i="105"/>
  <c r="V81" i="105"/>
  <c r="J83" i="105"/>
  <c r="J86" i="105"/>
  <c r="L91" i="105"/>
  <c r="N91" i="105" s="1"/>
  <c r="J24" i="107"/>
  <c r="J67" i="107"/>
  <c r="Z14" i="108"/>
  <c r="X14" i="108"/>
  <c r="V20" i="109"/>
  <c r="J53" i="105"/>
  <c r="V57" i="105"/>
  <c r="V73" i="105"/>
  <c r="J16" i="107"/>
  <c r="Z50" i="107"/>
  <c r="L83" i="103"/>
  <c r="N83" i="103" s="1"/>
  <c r="V86" i="105"/>
  <c r="V82" i="105"/>
  <c r="V78" i="105"/>
  <c r="V87" i="105"/>
  <c r="V83" i="105"/>
  <c r="V79" i="105"/>
  <c r="V67" i="105"/>
  <c r="V94" i="105"/>
  <c r="V92" i="105"/>
  <c r="V76" i="105"/>
  <c r="V64" i="105"/>
  <c r="H23" i="105"/>
  <c r="V38" i="105"/>
  <c r="V42" i="105"/>
  <c r="V46" i="105"/>
  <c r="J52" i="105"/>
  <c r="V58" i="105"/>
  <c r="J64" i="105"/>
  <c r="V65" i="105"/>
  <c r="Z66" i="105"/>
  <c r="V69" i="105"/>
  <c r="J72" i="105"/>
  <c r="X78" i="105"/>
  <c r="Z78" i="105" s="1"/>
  <c r="V89" i="105"/>
  <c r="L94" i="105"/>
  <c r="D12" i="107"/>
  <c r="L13" i="107"/>
  <c r="N13" i="107" s="1"/>
  <c r="H19" i="107"/>
  <c r="J19" i="107" s="1"/>
  <c r="J61" i="107"/>
  <c r="X19" i="109"/>
  <c r="V19" i="105"/>
  <c r="J25" i="105"/>
  <c r="J27" i="105"/>
  <c r="J31" i="105"/>
  <c r="J35" i="105"/>
  <c r="J51" i="105"/>
  <c r="V55" i="105"/>
  <c r="J63" i="105"/>
  <c r="V66" i="105"/>
  <c r="J88" i="105"/>
  <c r="J98" i="105"/>
  <c r="V78" i="107"/>
  <c r="V58" i="107"/>
  <c r="V46" i="107"/>
  <c r="V77" i="107"/>
  <c r="V73" i="107"/>
  <c r="V76" i="107"/>
  <c r="V84" i="107"/>
  <c r="V82" i="107"/>
  <c r="V67" i="107"/>
  <c r="V55" i="107"/>
  <c r="V22" i="107"/>
  <c r="V26" i="107"/>
  <c r="V30" i="107"/>
  <c r="X58" i="107"/>
  <c r="Z58" i="107" s="1"/>
  <c r="V72" i="107"/>
  <c r="V81" i="107"/>
  <c r="N14" i="108"/>
  <c r="L14" i="108"/>
  <c r="N19" i="109"/>
  <c r="R34" i="109"/>
  <c r="R41" i="109"/>
  <c r="R46" i="109"/>
  <c r="R59" i="109"/>
  <c r="V43" i="107"/>
  <c r="V51" i="107"/>
  <c r="V52" i="107"/>
  <c r="V64" i="107"/>
  <c r="Z78" i="107"/>
  <c r="R20" i="109"/>
  <c r="R23" i="109"/>
  <c r="Z46" i="109"/>
  <c r="N48" i="109"/>
  <c r="X55" i="109"/>
  <c r="Z55" i="109" s="1"/>
  <c r="X57" i="109"/>
  <c r="Z57" i="109"/>
  <c r="Z68" i="109"/>
  <c r="V68" i="109"/>
  <c r="N54" i="107"/>
  <c r="N66" i="107"/>
  <c r="R49" i="109"/>
  <c r="R65" i="109"/>
  <c r="R64" i="109"/>
  <c r="R40" i="109"/>
  <c r="R36" i="109"/>
  <c r="R32" i="109"/>
  <c r="R63" i="109"/>
  <c r="R48" i="109"/>
  <c r="R47" i="109"/>
  <c r="R39" i="109"/>
  <c r="R35" i="109"/>
  <c r="R69" i="109"/>
  <c r="R22" i="109"/>
  <c r="R60" i="109"/>
  <c r="R56" i="109"/>
  <c r="R26" i="109"/>
  <c r="R57" i="109"/>
  <c r="R61" i="109"/>
  <c r="R58" i="109"/>
  <c r="R54" i="109"/>
  <c r="R66" i="109"/>
  <c r="R68" i="109"/>
  <c r="R51" i="109"/>
  <c r="R50" i="109"/>
  <c r="R33" i="109"/>
  <c r="R25" i="109"/>
  <c r="R73" i="109"/>
  <c r="R29" i="109"/>
  <c r="N31" i="109"/>
  <c r="R38" i="109"/>
  <c r="R45" i="109"/>
  <c r="R52" i="109"/>
  <c r="V49" i="107"/>
  <c r="V50" i="107"/>
  <c r="V56" i="107"/>
  <c r="V71" i="107"/>
  <c r="X13" i="109"/>
  <c r="Z13" i="109" s="1"/>
  <c r="P17" i="109"/>
  <c r="J31" i="109"/>
  <c r="L60" i="107"/>
  <c r="N60" i="107" s="1"/>
  <c r="R21" i="108"/>
  <c r="R20" i="108"/>
  <c r="P16" i="108"/>
  <c r="R22" i="108"/>
  <c r="R14" i="108"/>
  <c r="R18" i="108"/>
  <c r="R16" i="108"/>
  <c r="L18" i="108"/>
  <c r="R24" i="108"/>
  <c r="R17" i="109"/>
  <c r="R24" i="109"/>
  <c r="N42" i="109"/>
  <c r="V33" i="107"/>
  <c r="V37" i="107"/>
  <c r="V41" i="107"/>
  <c r="V61" i="107"/>
  <c r="V62" i="107"/>
  <c r="L81" i="107"/>
  <c r="N81" i="107" s="1"/>
  <c r="V22" i="108"/>
  <c r="V24" i="108"/>
  <c r="V20" i="108"/>
  <c r="T16" i="108"/>
  <c r="V21" i="108"/>
  <c r="V28" i="108"/>
  <c r="R31" i="109"/>
  <c r="R62" i="109"/>
  <c r="Z48" i="107"/>
  <c r="V79" i="107"/>
  <c r="V88" i="107"/>
  <c r="H24" i="108"/>
  <c r="N16" i="108"/>
  <c r="R42" i="109"/>
  <c r="L51" i="109"/>
  <c r="N51" i="109" s="1"/>
  <c r="V31" i="107"/>
  <c r="V48" i="107"/>
  <c r="R21" i="109"/>
  <c r="R28" i="109"/>
  <c r="R37" i="109"/>
  <c r="Z42" i="109"/>
  <c r="J51" i="109"/>
  <c r="N65" i="109"/>
  <c r="T19" i="107"/>
  <c r="V36" i="107"/>
  <c r="V40" i="107"/>
  <c r="V53" i="107"/>
  <c r="V54" i="107"/>
  <c r="V59" i="107"/>
  <c r="Z60" i="107"/>
  <c r="V65" i="107"/>
  <c r="V66" i="107"/>
  <c r="V69" i="107"/>
  <c r="V70" i="107"/>
  <c r="L16" i="108"/>
  <c r="P20" i="108"/>
  <c r="X20" i="108" s="1"/>
  <c r="X22" i="108"/>
  <c r="X12" i="109"/>
  <c r="Z12" i="109" s="1"/>
  <c r="V42" i="109"/>
  <c r="R44" i="109"/>
  <c r="J65" i="109"/>
  <c r="N68" i="109"/>
  <c r="V60" i="107"/>
  <c r="V75" i="107"/>
  <c r="R15" i="109"/>
  <c r="R30" i="109"/>
  <c r="X44" i="109"/>
  <c r="Z44" i="109" s="1"/>
  <c r="L12" i="108"/>
  <c r="J28" i="108"/>
  <c r="N12" i="109"/>
  <c r="J17" i="109"/>
  <c r="J20" i="109"/>
  <c r="V22" i="109"/>
  <c r="J28" i="109"/>
  <c r="V36" i="109"/>
  <c r="V39" i="109"/>
  <c r="J41" i="109"/>
  <c r="X51" i="109"/>
  <c r="Z51" i="109" s="1"/>
  <c r="J55" i="109"/>
  <c r="J66" i="109"/>
  <c r="X68" i="109"/>
  <c r="F26" i="108"/>
  <c r="V64" i="109"/>
  <c r="V40" i="109"/>
  <c r="V59" i="109"/>
  <c r="V51" i="109"/>
  <c r="V27" i="109"/>
  <c r="V23" i="109"/>
  <c r="V58" i="109"/>
  <c r="J15" i="109"/>
  <c r="J24" i="109"/>
  <c r="V29" i="109"/>
  <c r="X42" i="109"/>
  <c r="J45" i="109"/>
  <c r="V63" i="109"/>
  <c r="V73" i="109"/>
  <c r="J53" i="109"/>
  <c r="V55" i="109"/>
  <c r="J30" i="109"/>
  <c r="V32" i="109"/>
  <c r="J43" i="109"/>
  <c r="J48" i="109"/>
  <c r="J52" i="109"/>
  <c r="V54" i="109"/>
  <c r="V62" i="109"/>
  <c r="J64" i="109"/>
  <c r="J60" i="109"/>
  <c r="V61" i="109"/>
  <c r="V65" i="109"/>
  <c r="F28" i="108"/>
  <c r="J73" i="109"/>
  <c r="J62" i="109"/>
  <c r="J56" i="109"/>
  <c r="J46" i="109"/>
  <c r="J63" i="109"/>
  <c r="J57" i="109"/>
  <c r="J47" i="109"/>
  <c r="J39" i="109"/>
  <c r="J35" i="109"/>
  <c r="J54" i="109"/>
  <c r="J44" i="109"/>
  <c r="J38" i="109"/>
  <c r="J34" i="109"/>
  <c r="J25" i="109"/>
  <c r="V30" i="109"/>
  <c r="V31" i="109"/>
  <c r="J33" i="109"/>
  <c r="J42" i="109"/>
  <c r="V43" i="109"/>
  <c r="J50" i="109"/>
  <c r="V52" i="109"/>
  <c r="Z53" i="109"/>
  <c r="V57" i="109"/>
  <c r="H17" i="109"/>
  <c r="J19" i="109"/>
  <c r="J21" i="109"/>
  <c r="V26" i="109"/>
  <c r="V47" i="109"/>
  <c r="V53" i="109"/>
  <c r="V56" i="109"/>
  <c r="J59" i="109"/>
  <c r="V60" i="109"/>
  <c r="L85" i="97" l="1"/>
  <c r="D89" i="97"/>
  <c r="T124" i="39"/>
  <c r="L18" i="38"/>
  <c r="D27" i="38"/>
  <c r="L18" i="14"/>
  <c r="D27" i="14"/>
  <c r="X18" i="11"/>
  <c r="P27" i="11"/>
  <c r="X18" i="16"/>
  <c r="P27" i="16"/>
  <c r="H28" i="108"/>
  <c r="N24" i="108"/>
  <c r="L24" i="108"/>
  <c r="H96" i="105"/>
  <c r="X16" i="104"/>
  <c r="P24" i="104"/>
  <c r="T75" i="109"/>
  <c r="N17" i="98"/>
  <c r="H25" i="98"/>
  <c r="D25" i="98"/>
  <c r="L17" i="98"/>
  <c r="H34" i="100"/>
  <c r="T98" i="95"/>
  <c r="T32" i="88"/>
  <c r="Z16" i="88"/>
  <c r="D88" i="91"/>
  <c r="T119" i="84"/>
  <c r="F105" i="74"/>
  <c r="F104" i="74"/>
  <c r="F97" i="74"/>
  <c r="F145" i="74"/>
  <c r="F124" i="74"/>
  <c r="F116" i="74"/>
  <c r="F115" i="74"/>
  <c r="F146" i="74"/>
  <c r="F144" i="74"/>
  <c r="F135" i="74"/>
  <c r="F131" i="74"/>
  <c r="F107" i="74"/>
  <c r="F106" i="74"/>
  <c r="F147" i="74"/>
  <c r="F126" i="74"/>
  <c r="F125" i="74"/>
  <c r="F118" i="74"/>
  <c r="F117" i="74"/>
  <c r="F98" i="74"/>
  <c r="F137" i="74"/>
  <c r="F136" i="74"/>
  <c r="F109" i="74"/>
  <c r="F108" i="74"/>
  <c r="F132" i="74"/>
  <c r="F151" i="74"/>
  <c r="F139" i="74"/>
  <c r="F138" i="74"/>
  <c r="F127" i="74"/>
  <c r="F111" i="74"/>
  <c r="F110" i="74"/>
  <c r="F99" i="74"/>
  <c r="F95" i="74"/>
  <c r="F141" i="74"/>
  <c r="F140" i="74"/>
  <c r="F133" i="74"/>
  <c r="F129" i="74"/>
  <c r="F128" i="74"/>
  <c r="F101" i="74"/>
  <c r="F100" i="74"/>
  <c r="F123" i="74"/>
  <c r="F103" i="74"/>
  <c r="F102" i="74"/>
  <c r="F88" i="74"/>
  <c r="F84" i="74"/>
  <c r="F80" i="74"/>
  <c r="F79" i="74"/>
  <c r="F134" i="74"/>
  <c r="F78" i="74"/>
  <c r="F71" i="74"/>
  <c r="F67" i="74"/>
  <c r="F63" i="74"/>
  <c r="F59" i="74"/>
  <c r="F55" i="74"/>
  <c r="F93" i="74"/>
  <c r="F90" i="74"/>
  <c r="F89" i="74"/>
  <c r="D76" i="74"/>
  <c r="F76" i="74" s="1"/>
  <c r="F113" i="74"/>
  <c r="F96" i="74"/>
  <c r="F85" i="74"/>
  <c r="F81" i="74"/>
  <c r="F142" i="74"/>
  <c r="F72" i="74"/>
  <c r="F68" i="74"/>
  <c r="F64" i="74"/>
  <c r="F60" i="74"/>
  <c r="F56" i="74"/>
  <c r="L12" i="74"/>
  <c r="N12" i="74" s="1"/>
  <c r="F121" i="74"/>
  <c r="F119" i="74"/>
  <c r="F94" i="74"/>
  <c r="F91" i="74"/>
  <c r="F86" i="74"/>
  <c r="F82" i="74"/>
  <c r="F114" i="74"/>
  <c r="F73" i="74"/>
  <c r="F69" i="74"/>
  <c r="F65" i="74"/>
  <c r="F61" i="74"/>
  <c r="F57" i="74"/>
  <c r="F53" i="74"/>
  <c r="F52" i="74"/>
  <c r="F130" i="74"/>
  <c r="F122" i="74"/>
  <c r="F87" i="74"/>
  <c r="F83" i="74"/>
  <c r="F92" i="74"/>
  <c r="F112" i="74"/>
  <c r="F54" i="74"/>
  <c r="F58" i="74"/>
  <c r="F120" i="74"/>
  <c r="F62" i="74"/>
  <c r="F66" i="74"/>
  <c r="F70" i="74"/>
  <c r="F74" i="74"/>
  <c r="L19" i="72"/>
  <c r="N19" i="72" s="1"/>
  <c r="D70" i="72"/>
  <c r="H80" i="75"/>
  <c r="J26" i="75"/>
  <c r="N16" i="60"/>
  <c r="H58" i="60"/>
  <c r="X16" i="55"/>
  <c r="P33" i="55"/>
  <c r="Z16" i="59"/>
  <c r="T71" i="59"/>
  <c r="P60" i="61"/>
  <c r="X16" i="61"/>
  <c r="H101" i="51"/>
  <c r="J46" i="51"/>
  <c r="D75" i="59"/>
  <c r="H127" i="36"/>
  <c r="H165" i="30"/>
  <c r="N76" i="30"/>
  <c r="H261" i="3"/>
  <c r="R220" i="12"/>
  <c r="R219" i="12"/>
  <c r="R204" i="12"/>
  <c r="R200" i="12"/>
  <c r="R184" i="12"/>
  <c r="R161" i="12"/>
  <c r="R160" i="12"/>
  <c r="R152" i="12"/>
  <c r="R144" i="12"/>
  <c r="R128" i="12"/>
  <c r="R124" i="12"/>
  <c r="R120" i="12"/>
  <c r="P116" i="12"/>
  <c r="X12" i="12"/>
  <c r="Z12" i="12" s="1"/>
  <c r="R221" i="12"/>
  <c r="R212" i="12"/>
  <c r="R211" i="12"/>
  <c r="R195" i="12"/>
  <c r="R179" i="12"/>
  <c r="R168" i="12"/>
  <c r="R167" i="12"/>
  <c r="R111" i="12"/>
  <c r="R107" i="12"/>
  <c r="R103" i="12"/>
  <c r="R99" i="12"/>
  <c r="R95" i="12"/>
  <c r="R91" i="12"/>
  <c r="R87" i="12"/>
  <c r="R83" i="12"/>
  <c r="R79" i="12"/>
  <c r="R222" i="12"/>
  <c r="R190" i="12"/>
  <c r="R162" i="12"/>
  <c r="R138" i="12"/>
  <c r="R134" i="12"/>
  <c r="R223" i="12"/>
  <c r="R213" i="12"/>
  <c r="R205" i="12"/>
  <c r="R201" i="12"/>
  <c r="R185" i="12"/>
  <c r="R170" i="12"/>
  <c r="R169" i="12"/>
  <c r="R154" i="12"/>
  <c r="R153" i="12"/>
  <c r="R146" i="12"/>
  <c r="R145" i="12"/>
  <c r="R130" i="12"/>
  <c r="R129" i="12"/>
  <c r="R125" i="12"/>
  <c r="R121" i="12"/>
  <c r="R197" i="12"/>
  <c r="R196" i="12"/>
  <c r="R180" i="12"/>
  <c r="R214" i="12"/>
  <c r="R207" i="12"/>
  <c r="R206" i="12"/>
  <c r="R202" i="12"/>
  <c r="R198" i="12"/>
  <c r="R186" i="12"/>
  <c r="R126" i="12"/>
  <c r="R122" i="12"/>
  <c r="R227" i="12"/>
  <c r="R181" i="12"/>
  <c r="R174" i="12"/>
  <c r="R173" i="12"/>
  <c r="R165" i="12"/>
  <c r="R149" i="12"/>
  <c r="R208" i="12"/>
  <c r="R192" i="12"/>
  <c r="R157" i="12"/>
  <c r="R156" i="12"/>
  <c r="R141" i="12"/>
  <c r="R140" i="12"/>
  <c r="R136" i="12"/>
  <c r="R132" i="12"/>
  <c r="R183" i="12"/>
  <c r="R182" i="12"/>
  <c r="R166" i="12"/>
  <c r="R159" i="12"/>
  <c r="R158" i="12"/>
  <c r="R151" i="12"/>
  <c r="R150" i="12"/>
  <c r="R143" i="12"/>
  <c r="R142" i="12"/>
  <c r="R119" i="12"/>
  <c r="R114" i="12"/>
  <c r="R118" i="12"/>
  <c r="R104" i="12"/>
  <c r="R96" i="12"/>
  <c r="R88" i="12"/>
  <c r="R80" i="12"/>
  <c r="R210" i="12"/>
  <c r="R101" i="12"/>
  <c r="R90" i="12"/>
  <c r="R82" i="12"/>
  <c r="R217" i="12"/>
  <c r="R189" i="12"/>
  <c r="R172" i="12"/>
  <c r="R85" i="12"/>
  <c r="R215" i="12"/>
  <c r="R193" i="12"/>
  <c r="R191" i="12"/>
  <c r="R187" i="12"/>
  <c r="R163" i="12"/>
  <c r="R155" i="12"/>
  <c r="R133" i="12"/>
  <c r="R112" i="12"/>
  <c r="R78" i="12"/>
  <c r="R137" i="12"/>
  <c r="R135" i="12"/>
  <c r="R131" i="12"/>
  <c r="R102" i="12"/>
  <c r="R97" i="12"/>
  <c r="R94" i="12"/>
  <c r="R89" i="12"/>
  <c r="R86" i="12"/>
  <c r="R81" i="12"/>
  <c r="R209" i="12"/>
  <c r="R147" i="12"/>
  <c r="R139" i="12"/>
  <c r="R105" i="12"/>
  <c r="R93" i="12"/>
  <c r="R177" i="12"/>
  <c r="R164" i="12"/>
  <c r="R127" i="12"/>
  <c r="R123" i="12"/>
  <c r="R110" i="12"/>
  <c r="R199" i="12"/>
  <c r="R175" i="12"/>
  <c r="R113" i="12"/>
  <c r="R100" i="12"/>
  <c r="R92" i="12"/>
  <c r="R84" i="12"/>
  <c r="R216" i="12"/>
  <c r="R194" i="12"/>
  <c r="R188" i="12"/>
  <c r="R148" i="12"/>
  <c r="R116" i="12"/>
  <c r="R108" i="12"/>
  <c r="R98" i="12"/>
  <c r="R178" i="12"/>
  <c r="R171" i="12"/>
  <c r="R106" i="12"/>
  <c r="R203" i="12"/>
  <c r="R176" i="12"/>
  <c r="R109" i="12"/>
  <c r="T27" i="52"/>
  <c r="Z18" i="52"/>
  <c r="X18" i="43"/>
  <c r="P27" i="43"/>
  <c r="X18" i="31"/>
  <c r="P27" i="31"/>
  <c r="T27" i="32"/>
  <c r="Z18" i="32"/>
  <c r="L18" i="25"/>
  <c r="D27" i="25"/>
  <c r="T27" i="20"/>
  <c r="Z18" i="20"/>
  <c r="T27" i="14"/>
  <c r="Z18" i="14"/>
  <c r="X18" i="14"/>
  <c r="P27" i="14"/>
  <c r="D27" i="17"/>
  <c r="L18" i="17"/>
  <c r="T88" i="103"/>
  <c r="Z16" i="101"/>
  <c r="T39" i="101"/>
  <c r="T165" i="30"/>
  <c r="Z18" i="47"/>
  <c r="T27" i="47"/>
  <c r="P76" i="58"/>
  <c r="X16" i="58"/>
  <c r="P71" i="109"/>
  <c r="X17" i="109"/>
  <c r="Z17" i="109" s="1"/>
  <c r="J23" i="105"/>
  <c r="D58" i="102"/>
  <c r="L16" i="102"/>
  <c r="R94" i="105"/>
  <c r="R98" i="105"/>
  <c r="R72" i="105"/>
  <c r="R88" i="105"/>
  <c r="R87" i="105"/>
  <c r="R91" i="105"/>
  <c r="R90" i="105"/>
  <c r="R85" i="105"/>
  <c r="R81" i="105"/>
  <c r="R69" i="105"/>
  <c r="R86" i="105"/>
  <c r="R83" i="105"/>
  <c r="R80" i="105"/>
  <c r="R76" i="105"/>
  <c r="R37" i="105"/>
  <c r="R36" i="105"/>
  <c r="R32" i="105"/>
  <c r="R28" i="105"/>
  <c r="X12" i="105"/>
  <c r="Z12" i="105" s="1"/>
  <c r="R56" i="105"/>
  <c r="R55" i="105"/>
  <c r="R19" i="105"/>
  <c r="R89" i="105"/>
  <c r="R66" i="105"/>
  <c r="R65" i="105"/>
  <c r="R46" i="105"/>
  <c r="R42" i="105"/>
  <c r="R38" i="105"/>
  <c r="R78" i="105"/>
  <c r="R77" i="105"/>
  <c r="R73" i="105"/>
  <c r="R58" i="105"/>
  <c r="R57" i="105"/>
  <c r="R33" i="105"/>
  <c r="R29" i="105"/>
  <c r="R92" i="105"/>
  <c r="R20" i="105"/>
  <c r="R84" i="105"/>
  <c r="R70" i="105"/>
  <c r="R67" i="105"/>
  <c r="R60" i="105"/>
  <c r="R59" i="105"/>
  <c r="R48" i="105"/>
  <c r="R47" i="105"/>
  <c r="R43" i="105"/>
  <c r="R39" i="105"/>
  <c r="R44" i="105"/>
  <c r="R40" i="105"/>
  <c r="R25" i="105"/>
  <c r="R23" i="105"/>
  <c r="R68" i="105"/>
  <c r="R64" i="105"/>
  <c r="R75" i="105"/>
  <c r="R54" i="105"/>
  <c r="R53" i="105"/>
  <c r="R45" i="105"/>
  <c r="R41" i="105"/>
  <c r="R51" i="105"/>
  <c r="R26" i="105"/>
  <c r="R74" i="105"/>
  <c r="R49" i="105"/>
  <c r="R63" i="105"/>
  <c r="R50" i="105"/>
  <c r="R35" i="105"/>
  <c r="R82" i="105"/>
  <c r="R52" i="105"/>
  <c r="P23" i="105"/>
  <c r="R71" i="105"/>
  <c r="R31" i="105"/>
  <c r="R79" i="105"/>
  <c r="R62" i="105"/>
  <c r="R30" i="105"/>
  <c r="R21" i="105"/>
  <c r="R34" i="105"/>
  <c r="R18" i="105"/>
  <c r="R27" i="105"/>
  <c r="R61" i="105"/>
  <c r="F17" i="98"/>
  <c r="P84" i="91"/>
  <c r="X16" i="91"/>
  <c r="T92" i="87"/>
  <c r="V23" i="82"/>
  <c r="T49" i="82"/>
  <c r="F44" i="82"/>
  <c r="F40" i="82"/>
  <c r="F36" i="82"/>
  <c r="F35" i="82"/>
  <c r="F31" i="82"/>
  <c r="F27" i="82"/>
  <c r="F26" i="82"/>
  <c r="F25" i="82"/>
  <c r="F45" i="82"/>
  <c r="F41" i="82"/>
  <c r="F37" i="82"/>
  <c r="D23" i="82"/>
  <c r="F32" i="82"/>
  <c r="F28" i="82"/>
  <c r="L12" i="82"/>
  <c r="N12" i="82" s="1"/>
  <c r="F19" i="82"/>
  <c r="F18" i="82"/>
  <c r="F47" i="82"/>
  <c r="F42" i="82"/>
  <c r="F38" i="82"/>
  <c r="F51" i="82"/>
  <c r="F33" i="82"/>
  <c r="F29" i="82"/>
  <c r="F20" i="82"/>
  <c r="F34" i="82"/>
  <c r="F30" i="82"/>
  <c r="F21" i="82"/>
  <c r="F39" i="82"/>
  <c r="F43" i="82"/>
  <c r="T70" i="72"/>
  <c r="Z19" i="72"/>
  <c r="V19" i="72"/>
  <c r="T101" i="76"/>
  <c r="P70" i="72"/>
  <c r="X19" i="72"/>
  <c r="F99" i="68"/>
  <c r="F96" i="68"/>
  <c r="F90" i="68"/>
  <c r="F68" i="68"/>
  <c r="F67" i="68"/>
  <c r="F44" i="68"/>
  <c r="F40" i="68"/>
  <c r="F92" i="68"/>
  <c r="F83" i="68"/>
  <c r="F59" i="68"/>
  <c r="F58" i="68"/>
  <c r="F31" i="68"/>
  <c r="F27" i="68"/>
  <c r="F78" i="68"/>
  <c r="F70" i="68"/>
  <c r="F69" i="68"/>
  <c r="F54" i="68"/>
  <c r="F50" i="68"/>
  <c r="F85" i="68"/>
  <c r="F84" i="68"/>
  <c r="F61" i="68"/>
  <c r="F60" i="68"/>
  <c r="F45" i="68"/>
  <c r="F41" i="68"/>
  <c r="F94" i="68"/>
  <c r="F80" i="68"/>
  <c r="F79" i="68"/>
  <c r="F72" i="68"/>
  <c r="F71" i="68"/>
  <c r="F32" i="68"/>
  <c r="F28" i="68"/>
  <c r="F63" i="68"/>
  <c r="F62" i="68"/>
  <c r="F55" i="68"/>
  <c r="F51" i="68"/>
  <c r="F86" i="68"/>
  <c r="F74" i="68"/>
  <c r="F73" i="68"/>
  <c r="F46" i="68"/>
  <c r="F42" i="68"/>
  <c r="F81" i="68"/>
  <c r="F65" i="68"/>
  <c r="F64" i="68"/>
  <c r="F33" i="68"/>
  <c r="F29" i="68"/>
  <c r="F87" i="68"/>
  <c r="F56" i="68"/>
  <c r="F52" i="68"/>
  <c r="F48" i="68"/>
  <c r="F47" i="68"/>
  <c r="F82" i="68"/>
  <c r="F66" i="68"/>
  <c r="F37" i="68"/>
  <c r="F35" i="68"/>
  <c r="F30" i="68"/>
  <c r="F26" i="68"/>
  <c r="F25" i="68"/>
  <c r="L12" i="68"/>
  <c r="N12" i="68" s="1"/>
  <c r="D35" i="68"/>
  <c r="F57" i="68"/>
  <c r="F43" i="68"/>
  <c r="F88" i="68"/>
  <c r="F77" i="68"/>
  <c r="F38" i="68"/>
  <c r="F75" i="68"/>
  <c r="F49" i="68"/>
  <c r="F39" i="68"/>
  <c r="F76" i="68"/>
  <c r="F53" i="68"/>
  <c r="H76" i="58"/>
  <c r="N16" i="58"/>
  <c r="T101" i="51"/>
  <c r="V46" i="51"/>
  <c r="T26" i="54"/>
  <c r="Z22" i="54"/>
  <c r="T242" i="18"/>
  <c r="V135" i="18"/>
  <c r="J144" i="3"/>
  <c r="H22" i="6"/>
  <c r="N16" i="6"/>
  <c r="R216" i="15"/>
  <c r="R206" i="15"/>
  <c r="R198" i="15"/>
  <c r="R194" i="15"/>
  <c r="R178" i="15"/>
  <c r="R162" i="15"/>
  <c r="R155" i="15"/>
  <c r="R154" i="15"/>
  <c r="R147" i="15"/>
  <c r="R146" i="15"/>
  <c r="R139" i="15"/>
  <c r="R138" i="15"/>
  <c r="R115" i="15"/>
  <c r="R110" i="15"/>
  <c r="R106" i="15"/>
  <c r="R102" i="15"/>
  <c r="R98" i="15"/>
  <c r="R94" i="15"/>
  <c r="R90" i="15"/>
  <c r="R86" i="15"/>
  <c r="R82" i="15"/>
  <c r="R78" i="15"/>
  <c r="R190" i="15"/>
  <c r="R189" i="15"/>
  <c r="R173" i="15"/>
  <c r="R133" i="15"/>
  <c r="R129" i="15"/>
  <c r="R114" i="15"/>
  <c r="R112" i="15"/>
  <c r="R184" i="15"/>
  <c r="R157" i="15"/>
  <c r="R156" i="15"/>
  <c r="R148" i="15"/>
  <c r="R140" i="15"/>
  <c r="R124" i="15"/>
  <c r="R120" i="15"/>
  <c r="R116" i="15"/>
  <c r="P112" i="15"/>
  <c r="R207" i="15"/>
  <c r="R200" i="15"/>
  <c r="R199" i="15"/>
  <c r="R195" i="15"/>
  <c r="R191" i="15"/>
  <c r="R179" i="15"/>
  <c r="R164" i="15"/>
  <c r="R163" i="15"/>
  <c r="R107" i="15"/>
  <c r="R103" i="15"/>
  <c r="R99" i="15"/>
  <c r="R95" i="15"/>
  <c r="R91" i="15"/>
  <c r="R87" i="15"/>
  <c r="R83" i="15"/>
  <c r="R79" i="15"/>
  <c r="R220" i="15"/>
  <c r="R174" i="15"/>
  <c r="R158" i="15"/>
  <c r="R134" i="15"/>
  <c r="R130" i="15"/>
  <c r="R201" i="15"/>
  <c r="R185" i="15"/>
  <c r="R166" i="15"/>
  <c r="R165" i="15"/>
  <c r="R150" i="15"/>
  <c r="R149" i="15"/>
  <c r="R142" i="15"/>
  <c r="R141" i="15"/>
  <c r="R126" i="15"/>
  <c r="R125" i="15"/>
  <c r="R121" i="15"/>
  <c r="R117" i="15"/>
  <c r="R209" i="15"/>
  <c r="R208" i="15"/>
  <c r="R196" i="15"/>
  <c r="R192" i="15"/>
  <c r="R180" i="15"/>
  <c r="R108" i="15"/>
  <c r="R104" i="15"/>
  <c r="R100" i="15"/>
  <c r="R96" i="15"/>
  <c r="R92" i="15"/>
  <c r="R88" i="15"/>
  <c r="R84" i="15"/>
  <c r="R80" i="15"/>
  <c r="X12" i="15"/>
  <c r="Z12" i="15" s="1"/>
  <c r="R175" i="15"/>
  <c r="R168" i="15"/>
  <c r="R167" i="15"/>
  <c r="R160" i="15"/>
  <c r="R159" i="15"/>
  <c r="R151" i="15"/>
  <c r="R144" i="15"/>
  <c r="R143" i="15"/>
  <c r="R135" i="15"/>
  <c r="R131" i="15"/>
  <c r="R127" i="15"/>
  <c r="R76" i="15"/>
  <c r="R210" i="15"/>
  <c r="R203" i="15"/>
  <c r="R202" i="15"/>
  <c r="R187" i="15"/>
  <c r="R186" i="15"/>
  <c r="R122" i="15"/>
  <c r="R118" i="15"/>
  <c r="R214" i="15"/>
  <c r="R205" i="15"/>
  <c r="R204" i="15"/>
  <c r="R188" i="15"/>
  <c r="R177" i="15"/>
  <c r="R176" i="15"/>
  <c r="R153" i="15"/>
  <c r="R152" i="15"/>
  <c r="R137" i="15"/>
  <c r="R136" i="15"/>
  <c r="R132" i="15"/>
  <c r="R128" i="15"/>
  <c r="R77" i="15"/>
  <c r="R109" i="15"/>
  <c r="R105" i="15"/>
  <c r="R101" i="15"/>
  <c r="R97" i="15"/>
  <c r="R93" i="15"/>
  <c r="R89" i="15"/>
  <c r="R85" i="15"/>
  <c r="R81" i="15"/>
  <c r="R197" i="15"/>
  <c r="R170" i="15"/>
  <c r="R212" i="15"/>
  <c r="R182" i="15"/>
  <c r="R172" i="15"/>
  <c r="R145" i="15"/>
  <c r="R161" i="15"/>
  <c r="R171" i="15"/>
  <c r="R193" i="15"/>
  <c r="R119" i="15"/>
  <c r="R213" i="15"/>
  <c r="R169" i="15"/>
  <c r="R181" i="15"/>
  <c r="R123" i="15"/>
  <c r="R215" i="15"/>
  <c r="R183" i="15"/>
  <c r="Z16" i="6"/>
  <c r="T22" i="6"/>
  <c r="H27" i="43"/>
  <c r="N18" i="43"/>
  <c r="T27" i="41"/>
  <c r="Z18" i="41"/>
  <c r="T27" i="40"/>
  <c r="Z18" i="40"/>
  <c r="T27" i="37"/>
  <c r="Z18" i="37"/>
  <c r="P27" i="37"/>
  <c r="X18" i="37"/>
  <c r="T27" i="25"/>
  <c r="Z18" i="25"/>
  <c r="X18" i="22"/>
  <c r="P27" i="22"/>
  <c r="H27" i="26"/>
  <c r="N18" i="26"/>
  <c r="P27" i="4"/>
  <c r="X18" i="4"/>
  <c r="L18" i="10"/>
  <c r="D27" i="10"/>
  <c r="L16" i="101"/>
  <c r="D39" i="101"/>
  <c r="P56" i="99"/>
  <c r="X16" i="99"/>
  <c r="H43" i="101"/>
  <c r="L30" i="100"/>
  <c r="N30" i="100" s="1"/>
  <c r="D34" i="100"/>
  <c r="V23" i="95"/>
  <c r="T89" i="97"/>
  <c r="L16" i="88"/>
  <c r="D32" i="88"/>
  <c r="P79" i="93"/>
  <c r="X19" i="93"/>
  <c r="F88" i="84"/>
  <c r="F87" i="84"/>
  <c r="F52" i="84"/>
  <c r="F48" i="84"/>
  <c r="F115" i="84"/>
  <c r="F114" i="84"/>
  <c r="F107" i="84"/>
  <c r="F106" i="84"/>
  <c r="F95" i="84"/>
  <c r="F79" i="84"/>
  <c r="F78" i="84"/>
  <c r="F67" i="84"/>
  <c r="F66" i="84"/>
  <c r="F39" i="84"/>
  <c r="F102" i="84"/>
  <c r="F90" i="84"/>
  <c r="F89" i="84"/>
  <c r="F62" i="84"/>
  <c r="F58" i="84"/>
  <c r="F97" i="84"/>
  <c r="F96" i="84"/>
  <c r="F69" i="84"/>
  <c r="F68" i="84"/>
  <c r="F53" i="84"/>
  <c r="F117" i="84"/>
  <c r="F108" i="84"/>
  <c r="F80" i="84"/>
  <c r="F40" i="84"/>
  <c r="F36" i="84"/>
  <c r="F35" i="84"/>
  <c r="F121" i="84"/>
  <c r="F103" i="84"/>
  <c r="F91" i="84"/>
  <c r="F71" i="84"/>
  <c r="F70" i="84"/>
  <c r="F63" i="84"/>
  <c r="F59" i="84"/>
  <c r="F110" i="84"/>
  <c r="F109" i="84"/>
  <c r="F98" i="84"/>
  <c r="F82" i="84"/>
  <c r="F81" i="84"/>
  <c r="F54" i="84"/>
  <c r="F50" i="84"/>
  <c r="F46" i="84"/>
  <c r="F45" i="84"/>
  <c r="F93" i="84"/>
  <c r="F92" i="84"/>
  <c r="F73" i="84"/>
  <c r="F72" i="84"/>
  <c r="F44" i="84"/>
  <c r="F42" i="84"/>
  <c r="F37" i="84"/>
  <c r="F94" i="84"/>
  <c r="F86" i="84"/>
  <c r="F85" i="84"/>
  <c r="F38" i="84"/>
  <c r="F113" i="84"/>
  <c r="F105" i="84"/>
  <c r="F101" i="84"/>
  <c r="F77" i="84"/>
  <c r="F76" i="84"/>
  <c r="F65" i="84"/>
  <c r="F61" i="84"/>
  <c r="F57" i="84"/>
  <c r="F75" i="84"/>
  <c r="F60" i="84"/>
  <c r="F51" i="84"/>
  <c r="F111" i="84"/>
  <c r="F100" i="84"/>
  <c r="F55" i="84"/>
  <c r="F64" i="84"/>
  <c r="F74" i="84"/>
  <c r="L12" i="84"/>
  <c r="N12" i="84" s="1"/>
  <c r="F84" i="84"/>
  <c r="F99" i="84"/>
  <c r="D42" i="84"/>
  <c r="F104" i="84"/>
  <c r="F49" i="84"/>
  <c r="F83" i="84"/>
  <c r="F56" i="84"/>
  <c r="F112" i="84"/>
  <c r="F47" i="84"/>
  <c r="Z26" i="75"/>
  <c r="T80" i="75"/>
  <c r="V26" i="75"/>
  <c r="H77" i="72"/>
  <c r="T92" i="68"/>
  <c r="R109" i="70"/>
  <c r="R99" i="70"/>
  <c r="R92" i="70"/>
  <c r="R91" i="70"/>
  <c r="R84" i="70"/>
  <c r="R83" i="70"/>
  <c r="R47" i="70"/>
  <c r="R43" i="70"/>
  <c r="R39" i="70"/>
  <c r="R35" i="70"/>
  <c r="R110" i="70"/>
  <c r="R74" i="70"/>
  <c r="R70" i="70"/>
  <c r="R66" i="70"/>
  <c r="R93" i="70"/>
  <c r="R85" i="70"/>
  <c r="R61" i="70"/>
  <c r="R57" i="70"/>
  <c r="R101" i="70"/>
  <c r="R100" i="70"/>
  <c r="R48" i="70"/>
  <c r="R44" i="70"/>
  <c r="R40" i="70"/>
  <c r="R36" i="70"/>
  <c r="X12" i="70"/>
  <c r="Z12" i="70" s="1"/>
  <c r="R76" i="70"/>
  <c r="R75" i="70"/>
  <c r="R71" i="70"/>
  <c r="R67" i="70"/>
  <c r="R114" i="70"/>
  <c r="R102" i="70"/>
  <c r="R95" i="70"/>
  <c r="R94" i="70"/>
  <c r="R87" i="70"/>
  <c r="R86" i="70"/>
  <c r="R62" i="70"/>
  <c r="R58" i="70"/>
  <c r="R78" i="70"/>
  <c r="R77" i="70"/>
  <c r="R97" i="70"/>
  <c r="R96" i="70"/>
  <c r="R88" i="70"/>
  <c r="R72" i="70"/>
  <c r="R68" i="70"/>
  <c r="R53" i="70"/>
  <c r="R104" i="70"/>
  <c r="R103" i="70"/>
  <c r="R80" i="70"/>
  <c r="R79" i="70"/>
  <c r="R63" i="70"/>
  <c r="R59" i="70"/>
  <c r="R55" i="70"/>
  <c r="P51" i="70"/>
  <c r="R105" i="70"/>
  <c r="R90" i="70"/>
  <c r="R89" i="70"/>
  <c r="R82" i="70"/>
  <c r="R81" i="70"/>
  <c r="R73" i="70"/>
  <c r="R69" i="70"/>
  <c r="R34" i="70"/>
  <c r="R108" i="70"/>
  <c r="R65" i="70"/>
  <c r="R54" i="70"/>
  <c r="R46" i="70"/>
  <c r="R56" i="70"/>
  <c r="R42" i="70"/>
  <c r="R38" i="70"/>
  <c r="R60" i="70"/>
  <c r="R49" i="70"/>
  <c r="R107" i="70"/>
  <c r="R64" i="70"/>
  <c r="R45" i="70"/>
  <c r="R37" i="70"/>
  <c r="R41" i="70"/>
  <c r="R98" i="70"/>
  <c r="R85" i="83"/>
  <c r="R84" i="83"/>
  <c r="R72" i="83"/>
  <c r="R71" i="83"/>
  <c r="R90" i="83"/>
  <c r="R88" i="83"/>
  <c r="R74" i="83"/>
  <c r="R73" i="83"/>
  <c r="R92" i="83"/>
  <c r="R97" i="83"/>
  <c r="R94" i="83"/>
  <c r="R81" i="83"/>
  <c r="R69" i="83"/>
  <c r="R83" i="83"/>
  <c r="R77" i="83"/>
  <c r="R51" i="83"/>
  <c r="R24" i="83"/>
  <c r="R19" i="83"/>
  <c r="R63" i="83"/>
  <c r="R62" i="83"/>
  <c r="R42" i="83"/>
  <c r="R38" i="83"/>
  <c r="R34" i="83"/>
  <c r="R23" i="83"/>
  <c r="R21" i="83"/>
  <c r="R29" i="83"/>
  <c r="R25" i="83"/>
  <c r="P21" i="83"/>
  <c r="R86" i="83"/>
  <c r="R75" i="83"/>
  <c r="R64" i="83"/>
  <c r="R53" i="83"/>
  <c r="R52" i="83"/>
  <c r="X12" i="83"/>
  <c r="Z12" i="83" s="1"/>
  <c r="R78" i="83"/>
  <c r="R70" i="83"/>
  <c r="R67" i="83"/>
  <c r="R44" i="83"/>
  <c r="R43" i="83"/>
  <c r="R39" i="83"/>
  <c r="R35" i="83"/>
  <c r="R16" i="83"/>
  <c r="R55" i="83"/>
  <c r="R54" i="83"/>
  <c r="R30" i="83"/>
  <c r="R26" i="83"/>
  <c r="R68" i="83"/>
  <c r="R65" i="83"/>
  <c r="R46" i="83"/>
  <c r="R45" i="83"/>
  <c r="R17" i="83"/>
  <c r="R76" i="83"/>
  <c r="R57" i="83"/>
  <c r="R56" i="83"/>
  <c r="R40" i="83"/>
  <c r="R36" i="83"/>
  <c r="R48" i="83"/>
  <c r="R47" i="83"/>
  <c r="R31" i="83"/>
  <c r="R27" i="83"/>
  <c r="R50" i="83"/>
  <c r="R49" i="83"/>
  <c r="R41" i="83"/>
  <c r="R37" i="83"/>
  <c r="R80" i="83"/>
  <c r="R66" i="83"/>
  <c r="R61" i="83"/>
  <c r="R60" i="83"/>
  <c r="R33" i="83"/>
  <c r="R32" i="83"/>
  <c r="R28" i="83"/>
  <c r="R79" i="83"/>
  <c r="R18" i="83"/>
  <c r="R59" i="83"/>
  <c r="R58" i="83"/>
  <c r="R82" i="83"/>
  <c r="R90" i="68"/>
  <c r="R94" i="68"/>
  <c r="R80" i="68"/>
  <c r="R73" i="68"/>
  <c r="R72" i="68"/>
  <c r="R32" i="68"/>
  <c r="R28" i="68"/>
  <c r="R64" i="68"/>
  <c r="R63" i="68"/>
  <c r="R55" i="68"/>
  <c r="R51" i="68"/>
  <c r="R87" i="68"/>
  <c r="R86" i="68"/>
  <c r="R74" i="68"/>
  <c r="R47" i="68"/>
  <c r="R46" i="68"/>
  <c r="R42" i="68"/>
  <c r="R81" i="68"/>
  <c r="R65" i="68"/>
  <c r="R38" i="68"/>
  <c r="R33" i="68"/>
  <c r="R29" i="68"/>
  <c r="R56" i="68"/>
  <c r="R52" i="68"/>
  <c r="R48" i="68"/>
  <c r="R37" i="68"/>
  <c r="R25" i="68"/>
  <c r="R88" i="68"/>
  <c r="R76" i="68"/>
  <c r="R75" i="68"/>
  <c r="R43" i="68"/>
  <c r="R39" i="68"/>
  <c r="P35" i="68"/>
  <c r="R35" i="68" s="1"/>
  <c r="R82" i="68"/>
  <c r="R67" i="68"/>
  <c r="R66" i="68"/>
  <c r="R30" i="68"/>
  <c r="R26" i="68"/>
  <c r="X12" i="68"/>
  <c r="Z12" i="68" s="1"/>
  <c r="R77" i="68"/>
  <c r="R58" i="68"/>
  <c r="R57" i="68"/>
  <c r="R53" i="68"/>
  <c r="R49" i="68"/>
  <c r="R69" i="68"/>
  <c r="R68" i="68"/>
  <c r="R44" i="68"/>
  <c r="R40" i="68"/>
  <c r="R79" i="68"/>
  <c r="R78" i="68"/>
  <c r="R71" i="68"/>
  <c r="R70" i="68"/>
  <c r="R54" i="68"/>
  <c r="R50" i="68"/>
  <c r="R59" i="68"/>
  <c r="R45" i="68"/>
  <c r="R27" i="68"/>
  <c r="R31" i="68"/>
  <c r="R62" i="68"/>
  <c r="R60" i="68"/>
  <c r="R85" i="68"/>
  <c r="R83" i="68"/>
  <c r="R41" i="68"/>
  <c r="R84" i="68"/>
  <c r="R61" i="68"/>
  <c r="P58" i="60"/>
  <c r="X16" i="60"/>
  <c r="L65" i="69"/>
  <c r="D69" i="69"/>
  <c r="D73" i="57"/>
  <c r="L17" i="57"/>
  <c r="F63" i="48"/>
  <c r="F62" i="48"/>
  <c r="F47" i="48"/>
  <c r="F46" i="48"/>
  <c r="F39" i="48"/>
  <c r="F35" i="48"/>
  <c r="F58" i="48"/>
  <c r="F57" i="48"/>
  <c r="F30" i="48"/>
  <c r="F26" i="48"/>
  <c r="F22" i="48"/>
  <c r="L12" i="48"/>
  <c r="N12" i="48" s="1"/>
  <c r="F49" i="48"/>
  <c r="F48" i="48"/>
  <c r="F64" i="48"/>
  <c r="F40" i="48"/>
  <c r="F36" i="48"/>
  <c r="F32" i="48"/>
  <c r="F31" i="48"/>
  <c r="F59" i="48"/>
  <c r="F41" i="48"/>
  <c r="F37" i="48"/>
  <c r="F33" i="48"/>
  <c r="F68" i="48"/>
  <c r="F43" i="48"/>
  <c r="F42" i="48"/>
  <c r="F54" i="48"/>
  <c r="F53" i="48"/>
  <c r="F44" i="48"/>
  <c r="F27" i="48"/>
  <c r="F73" i="48"/>
  <c r="F51" i="48"/>
  <c r="F25" i="48"/>
  <c r="F56" i="48"/>
  <c r="F15" i="48"/>
  <c r="F60" i="48"/>
  <c r="F28" i="48"/>
  <c r="F23" i="48"/>
  <c r="F20" i="48"/>
  <c r="F19" i="48"/>
  <c r="D17" i="48"/>
  <c r="F17" i="48" s="1"/>
  <c r="F52" i="48"/>
  <c r="F45" i="48"/>
  <c r="F38" i="48"/>
  <c r="F65" i="48"/>
  <c r="F21" i="48"/>
  <c r="F61" i="48"/>
  <c r="F29" i="48"/>
  <c r="F24" i="48"/>
  <c r="F34" i="48"/>
  <c r="F55" i="48"/>
  <c r="F69" i="48"/>
  <c r="F66" i="48"/>
  <c r="F50" i="48"/>
  <c r="T75" i="48"/>
  <c r="Z71" i="48"/>
  <c r="X71" i="48"/>
  <c r="P75" i="48"/>
  <c r="T120" i="42"/>
  <c r="V25" i="42"/>
  <c r="D120" i="42"/>
  <c r="L25" i="42"/>
  <c r="R120" i="39"/>
  <c r="R111" i="39"/>
  <c r="R110" i="39"/>
  <c r="R78" i="39"/>
  <c r="R50" i="39"/>
  <c r="R46" i="39"/>
  <c r="R42" i="39"/>
  <c r="R23" i="39"/>
  <c r="X12" i="39"/>
  <c r="Z12" i="39" s="1"/>
  <c r="R122" i="39"/>
  <c r="R112" i="39"/>
  <c r="R104" i="39"/>
  <c r="R100" i="39"/>
  <c r="R96" i="39"/>
  <c r="R85" i="39"/>
  <c r="R84" i="39"/>
  <c r="R69" i="39"/>
  <c r="R68" i="39"/>
  <c r="R60" i="39"/>
  <c r="R24" i="39"/>
  <c r="R79" i="39"/>
  <c r="R52" i="39"/>
  <c r="R51" i="39"/>
  <c r="R47" i="39"/>
  <c r="R43" i="39"/>
  <c r="R91" i="39"/>
  <c r="R90" i="39"/>
  <c r="R86" i="39"/>
  <c r="R71" i="39"/>
  <c r="R70" i="39"/>
  <c r="R38" i="39"/>
  <c r="R34" i="39"/>
  <c r="R113" i="39"/>
  <c r="R106" i="39"/>
  <c r="R105" i="39"/>
  <c r="R101" i="39"/>
  <c r="R97" i="39"/>
  <c r="R62" i="39"/>
  <c r="R61" i="39"/>
  <c r="R54" i="39"/>
  <c r="R53" i="39"/>
  <c r="R25" i="39"/>
  <c r="R126" i="39"/>
  <c r="R107" i="39"/>
  <c r="R87" i="39"/>
  <c r="R64" i="39"/>
  <c r="R63" i="39"/>
  <c r="R56" i="39"/>
  <c r="R55" i="39"/>
  <c r="R39" i="39"/>
  <c r="R35" i="39"/>
  <c r="R115" i="39"/>
  <c r="R114" i="39"/>
  <c r="R102" i="39"/>
  <c r="R98" i="39"/>
  <c r="R75" i="39"/>
  <c r="R74" i="39"/>
  <c r="R31" i="39"/>
  <c r="R26" i="39"/>
  <c r="R116" i="39"/>
  <c r="R109" i="39"/>
  <c r="R108" i="39"/>
  <c r="R88" i="39"/>
  <c r="R77" i="39"/>
  <c r="R76" i="39"/>
  <c r="R41" i="39"/>
  <c r="R40" i="39"/>
  <c r="R36" i="39"/>
  <c r="R32" i="39"/>
  <c r="R80" i="39"/>
  <c r="R58" i="39"/>
  <c r="R44" i="39"/>
  <c r="P28" i="39"/>
  <c r="R119" i="39"/>
  <c r="R121" i="39"/>
  <c r="R95" i="39"/>
  <c r="R72" i="39"/>
  <c r="R65" i="39"/>
  <c r="R89" i="39"/>
  <c r="R83" i="39"/>
  <c r="R30" i="39"/>
  <c r="R93" i="39"/>
  <c r="R66" i="39"/>
  <c r="R49" i="39"/>
  <c r="R81" i="39"/>
  <c r="R59" i="39"/>
  <c r="R45" i="39"/>
  <c r="R99" i="39"/>
  <c r="R73" i="39"/>
  <c r="R118" i="39"/>
  <c r="R94" i="39"/>
  <c r="R37" i="39"/>
  <c r="R33" i="39"/>
  <c r="R82" i="39"/>
  <c r="R103" i="39"/>
  <c r="R67" i="39"/>
  <c r="R57" i="39"/>
  <c r="R92" i="39"/>
  <c r="R48" i="39"/>
  <c r="H131" i="39"/>
  <c r="J128" i="39"/>
  <c r="R68" i="33"/>
  <c r="R61" i="33"/>
  <c r="R60" i="33"/>
  <c r="R36" i="33"/>
  <c r="R32" i="33"/>
  <c r="X12" i="33"/>
  <c r="Z12" i="33" s="1"/>
  <c r="R75" i="33"/>
  <c r="R52" i="33"/>
  <c r="R51" i="33"/>
  <c r="R78" i="33"/>
  <c r="R77" i="33"/>
  <c r="R62" i="33"/>
  <c r="R69" i="33"/>
  <c r="R64" i="33"/>
  <c r="R63" i="33"/>
  <c r="R56" i="33"/>
  <c r="R55" i="33"/>
  <c r="R47" i="33"/>
  <c r="R43" i="33"/>
  <c r="R28" i="33"/>
  <c r="R26" i="33"/>
  <c r="R24" i="33"/>
  <c r="R72" i="33"/>
  <c r="R71" i="33"/>
  <c r="R67" i="33"/>
  <c r="R59" i="33"/>
  <c r="R35" i="33"/>
  <c r="R31" i="33"/>
  <c r="R70" i="33"/>
  <c r="R49" i="33"/>
  <c r="R53" i="33"/>
  <c r="R50" i="33"/>
  <c r="R41" i="33"/>
  <c r="R30" i="33"/>
  <c r="R57" i="33"/>
  <c r="R54" i="33"/>
  <c r="R44" i="33"/>
  <c r="R38" i="33"/>
  <c r="R33" i="33"/>
  <c r="R58" i="33"/>
  <c r="R42" i="33"/>
  <c r="R73" i="33"/>
  <c r="R45" i="33"/>
  <c r="R39" i="33"/>
  <c r="R82" i="33"/>
  <c r="R40" i="33"/>
  <c r="R29" i="33"/>
  <c r="R65" i="33"/>
  <c r="R37" i="33"/>
  <c r="R66" i="33"/>
  <c r="R48" i="33"/>
  <c r="R46" i="33"/>
  <c r="P26" i="33"/>
  <c r="R34" i="33"/>
  <c r="R74" i="33"/>
  <c r="F237" i="3"/>
  <c r="F233" i="3"/>
  <c r="F229" i="3"/>
  <c r="F228" i="3"/>
  <c r="F217" i="3"/>
  <c r="F185" i="3"/>
  <c r="F165" i="3"/>
  <c r="F161" i="3"/>
  <c r="F268" i="3"/>
  <c r="F267" i="3"/>
  <c r="F253" i="3"/>
  <c r="F244" i="3"/>
  <c r="F243" i="3"/>
  <c r="F212" i="3"/>
  <c r="F204" i="3"/>
  <c r="F203" i="3"/>
  <c r="F172" i="3"/>
  <c r="F171" i="3"/>
  <c r="F156" i="3"/>
  <c r="F152" i="3"/>
  <c r="F148" i="3"/>
  <c r="F147" i="3"/>
  <c r="F197" i="3"/>
  <c r="F254" i="3"/>
  <c r="F252" i="3"/>
  <c r="F223" i="3"/>
  <c r="F195" i="3"/>
  <c r="F187" i="3"/>
  <c r="F186" i="3"/>
  <c r="F179" i="3"/>
  <c r="F146" i="3"/>
  <c r="F144" i="3"/>
  <c r="F139" i="3"/>
  <c r="F135" i="3"/>
  <c r="F131" i="3"/>
  <c r="F127" i="3"/>
  <c r="F123" i="3"/>
  <c r="F119" i="3"/>
  <c r="F115" i="3"/>
  <c r="F111" i="3"/>
  <c r="F107" i="3"/>
  <c r="F103" i="3"/>
  <c r="F99" i="3"/>
  <c r="F210" i="3"/>
  <c r="F182" i="3"/>
  <c r="F255" i="3"/>
  <c r="F246" i="3"/>
  <c r="F245" i="3"/>
  <c r="F238" i="3"/>
  <c r="F234" i="3"/>
  <c r="F230" i="3"/>
  <c r="F218" i="3"/>
  <c r="F206" i="3"/>
  <c r="F205" i="3"/>
  <c r="F166" i="3"/>
  <c r="F162" i="3"/>
  <c r="D144" i="3"/>
  <c r="F256" i="3"/>
  <c r="F213" i="3"/>
  <c r="F189" i="3"/>
  <c r="F188" i="3"/>
  <c r="F181" i="3"/>
  <c r="F180" i="3"/>
  <c r="F173" i="3"/>
  <c r="F157" i="3"/>
  <c r="F153" i="3"/>
  <c r="F149" i="3"/>
  <c r="F225" i="3"/>
  <c r="F198" i="3"/>
  <c r="F150" i="3"/>
  <c r="F257" i="3"/>
  <c r="F224" i="3"/>
  <c r="F220" i="3"/>
  <c r="F219" i="3"/>
  <c r="F208" i="3"/>
  <c r="F207" i="3"/>
  <c r="F196" i="3"/>
  <c r="F140" i="3"/>
  <c r="F136" i="3"/>
  <c r="F132" i="3"/>
  <c r="F128" i="3"/>
  <c r="F124" i="3"/>
  <c r="F120" i="3"/>
  <c r="F116" i="3"/>
  <c r="F112" i="3"/>
  <c r="F108" i="3"/>
  <c r="F104" i="3"/>
  <c r="F100" i="3"/>
  <c r="F209" i="3"/>
  <c r="F258" i="3"/>
  <c r="F247" i="3"/>
  <c r="F239" i="3"/>
  <c r="F235" i="3"/>
  <c r="F231" i="3"/>
  <c r="F215" i="3"/>
  <c r="F214" i="3"/>
  <c r="F191" i="3"/>
  <c r="F190" i="3"/>
  <c r="F175" i="3"/>
  <c r="F174" i="3"/>
  <c r="F167" i="3"/>
  <c r="F163" i="3"/>
  <c r="F159" i="3"/>
  <c r="F158" i="3"/>
  <c r="F259" i="3"/>
  <c r="F226" i="3"/>
  <c r="F154" i="3"/>
  <c r="F241" i="3"/>
  <c r="F240" i="3"/>
  <c r="F221" i="3"/>
  <c r="F177" i="3"/>
  <c r="F176" i="3"/>
  <c r="F141" i="3"/>
  <c r="F137" i="3"/>
  <c r="F133" i="3"/>
  <c r="F129" i="3"/>
  <c r="F125" i="3"/>
  <c r="F121" i="3"/>
  <c r="F117" i="3"/>
  <c r="F113" i="3"/>
  <c r="F109" i="3"/>
  <c r="F105" i="3"/>
  <c r="F101" i="3"/>
  <c r="F263" i="3"/>
  <c r="F227" i="3"/>
  <c r="F211" i="3"/>
  <c r="F155" i="3"/>
  <c r="F151" i="3"/>
  <c r="F222" i="3"/>
  <c r="F199" i="3"/>
  <c r="F184" i="3"/>
  <c r="F178" i="3"/>
  <c r="F236" i="3"/>
  <c r="F164" i="3"/>
  <c r="F169" i="3"/>
  <c r="F160" i="3"/>
  <c r="F249" i="3"/>
  <c r="F202" i="3"/>
  <c r="F200" i="3"/>
  <c r="F194" i="3"/>
  <c r="F192" i="3"/>
  <c r="F97" i="3"/>
  <c r="F242" i="3"/>
  <c r="F232" i="3"/>
  <c r="F248" i="3"/>
  <c r="F216" i="3"/>
  <c r="F183" i="3"/>
  <c r="F170" i="3"/>
  <c r="F134" i="3"/>
  <c r="F130" i="3"/>
  <c r="F126" i="3"/>
  <c r="F122" i="3"/>
  <c r="F118" i="3"/>
  <c r="F114" i="3"/>
  <c r="F110" i="3"/>
  <c r="F102" i="3"/>
  <c r="F250" i="3"/>
  <c r="F201" i="3"/>
  <c r="F193" i="3"/>
  <c r="F168" i="3"/>
  <c r="F142" i="3"/>
  <c r="F138" i="3"/>
  <c r="F106" i="3"/>
  <c r="F98" i="3"/>
  <c r="L12" i="3"/>
  <c r="N12" i="3" s="1"/>
  <c r="L18" i="112"/>
  <c r="D27" i="112"/>
  <c r="L18" i="49"/>
  <c r="D27" i="49"/>
  <c r="X18" i="44"/>
  <c r="P27" i="44"/>
  <c r="H27" i="44"/>
  <c r="N18" i="44"/>
  <c r="L18" i="50"/>
  <c r="D27" i="50"/>
  <c r="L18" i="52"/>
  <c r="D27" i="52"/>
  <c r="X18" i="41"/>
  <c r="P27" i="41"/>
  <c r="X18" i="40"/>
  <c r="P27" i="40"/>
  <c r="T27" i="38"/>
  <c r="Z18" i="38"/>
  <c r="L18" i="34"/>
  <c r="D27" i="34"/>
  <c r="H27" i="37"/>
  <c r="N18" i="37"/>
  <c r="P27" i="35"/>
  <c r="X18" i="35"/>
  <c r="L18" i="29"/>
  <c r="D27" i="29"/>
  <c r="H27" i="19"/>
  <c r="N18" i="19"/>
  <c r="T27" i="16"/>
  <c r="Z18" i="16"/>
  <c r="L18" i="19"/>
  <c r="D27" i="19"/>
  <c r="P27" i="13"/>
  <c r="X18" i="13"/>
  <c r="X18" i="10"/>
  <c r="P27" i="10"/>
  <c r="R80" i="76"/>
  <c r="R56" i="76"/>
  <c r="R52" i="76"/>
  <c r="R43" i="76"/>
  <c r="R39" i="76"/>
  <c r="R35" i="76"/>
  <c r="R90" i="76"/>
  <c r="R71" i="76"/>
  <c r="R70" i="76"/>
  <c r="R66" i="76"/>
  <c r="R62" i="76"/>
  <c r="R103" i="76"/>
  <c r="R82" i="76"/>
  <c r="R81" i="76"/>
  <c r="R57" i="76"/>
  <c r="R53" i="76"/>
  <c r="R73" i="76"/>
  <c r="R72" i="76"/>
  <c r="R49" i="76"/>
  <c r="R44" i="76"/>
  <c r="R40" i="76"/>
  <c r="R36" i="76"/>
  <c r="R92" i="76"/>
  <c r="R91" i="76"/>
  <c r="R84" i="76"/>
  <c r="R83" i="76"/>
  <c r="R67" i="76"/>
  <c r="R63" i="76"/>
  <c r="R48" i="76"/>
  <c r="R32" i="76"/>
  <c r="R75" i="76"/>
  <c r="R74" i="76"/>
  <c r="R58" i="76"/>
  <c r="R54" i="76"/>
  <c r="R50" i="76"/>
  <c r="P46" i="76"/>
  <c r="R46" i="76" s="1"/>
  <c r="R94" i="76"/>
  <c r="R93" i="76"/>
  <c r="R86" i="76"/>
  <c r="R85" i="76"/>
  <c r="R41" i="76"/>
  <c r="R37" i="76"/>
  <c r="R33" i="76"/>
  <c r="R77" i="76"/>
  <c r="R76" i="76"/>
  <c r="R68" i="76"/>
  <c r="R64" i="76"/>
  <c r="X12" i="76"/>
  <c r="Z12" i="76" s="1"/>
  <c r="R98" i="76"/>
  <c r="R97" i="76"/>
  <c r="R79" i="76"/>
  <c r="R78" i="76"/>
  <c r="R42" i="76"/>
  <c r="R38" i="76"/>
  <c r="R34" i="76"/>
  <c r="R69" i="76"/>
  <c r="R99" i="76"/>
  <c r="R60" i="76"/>
  <c r="R55" i="76"/>
  <c r="R89" i="76"/>
  <c r="R87" i="76"/>
  <c r="R95" i="76"/>
  <c r="R51" i="76"/>
  <c r="R65" i="76"/>
  <c r="R59" i="76"/>
  <c r="R61" i="76"/>
  <c r="R88" i="76"/>
  <c r="X18" i="47"/>
  <c r="P27" i="47"/>
  <c r="L16" i="54"/>
  <c r="D22" i="54"/>
  <c r="P102" i="9"/>
  <c r="X17" i="9"/>
  <c r="T27" i="49"/>
  <c r="Z18" i="49"/>
  <c r="L18" i="28"/>
  <c r="D27" i="28"/>
  <c r="L18" i="4"/>
  <c r="D27" i="4"/>
  <c r="P24" i="108"/>
  <c r="X16" i="108"/>
  <c r="H24" i="104"/>
  <c r="N16" i="104"/>
  <c r="R82" i="107"/>
  <c r="R67" i="107"/>
  <c r="R56" i="107"/>
  <c r="R55" i="107"/>
  <c r="R84" i="107"/>
  <c r="R81" i="107"/>
  <c r="R76" i="107"/>
  <c r="R72" i="107"/>
  <c r="R64" i="107"/>
  <c r="R52" i="107"/>
  <c r="R30" i="107"/>
  <c r="R26" i="107"/>
  <c r="R75" i="107"/>
  <c r="R46" i="107"/>
  <c r="R45" i="107"/>
  <c r="R22" i="107"/>
  <c r="R17" i="107"/>
  <c r="R93" i="107"/>
  <c r="R69" i="107"/>
  <c r="R65" i="107"/>
  <c r="R60" i="107"/>
  <c r="R59" i="107"/>
  <c r="R53" i="107"/>
  <c r="R40" i="107"/>
  <c r="R36" i="107"/>
  <c r="R21" i="107"/>
  <c r="R19" i="107"/>
  <c r="R73" i="107"/>
  <c r="R70" i="107"/>
  <c r="R66" i="107"/>
  <c r="R54" i="107"/>
  <c r="R31" i="107"/>
  <c r="R27" i="107"/>
  <c r="R23" i="107"/>
  <c r="R88" i="107"/>
  <c r="R79" i="107"/>
  <c r="R48" i="107"/>
  <c r="R47" i="107"/>
  <c r="R61" i="107"/>
  <c r="R41" i="107"/>
  <c r="R37" i="107"/>
  <c r="R62" i="107"/>
  <c r="R33" i="107"/>
  <c r="R32" i="107"/>
  <c r="R28" i="107"/>
  <c r="R24" i="107"/>
  <c r="R71" i="107"/>
  <c r="R68" i="107"/>
  <c r="R63" i="107"/>
  <c r="R58" i="107"/>
  <c r="R57" i="107"/>
  <c r="X12" i="107"/>
  <c r="Z12" i="107" s="1"/>
  <c r="R78" i="107"/>
  <c r="R51" i="107"/>
  <c r="R44" i="107"/>
  <c r="R43" i="107"/>
  <c r="R39" i="107"/>
  <c r="R35" i="107"/>
  <c r="R16" i="107"/>
  <c r="R86" i="107"/>
  <c r="P19" i="107"/>
  <c r="R34" i="107"/>
  <c r="R77" i="107"/>
  <c r="R38" i="107"/>
  <c r="R50" i="107"/>
  <c r="R42" i="107"/>
  <c r="R74" i="107"/>
  <c r="R80" i="107"/>
  <c r="R90" i="107"/>
  <c r="R25" i="107"/>
  <c r="R29" i="107"/>
  <c r="R49" i="107"/>
  <c r="P34" i="100"/>
  <c r="T78" i="79"/>
  <c r="R65" i="79"/>
  <c r="R58" i="79"/>
  <c r="R57" i="79"/>
  <c r="R41" i="79"/>
  <c r="R37" i="79"/>
  <c r="R73" i="79"/>
  <c r="R72" i="79"/>
  <c r="R49" i="79"/>
  <c r="R48" i="79"/>
  <c r="R32" i="79"/>
  <c r="R28" i="79"/>
  <c r="R59" i="79"/>
  <c r="R24" i="79"/>
  <c r="R19" i="79"/>
  <c r="R74" i="79"/>
  <c r="R66" i="79"/>
  <c r="R51" i="79"/>
  <c r="R50" i="79"/>
  <c r="R42" i="79"/>
  <c r="R38" i="79"/>
  <c r="R23" i="79"/>
  <c r="R21" i="79"/>
  <c r="X12" i="79"/>
  <c r="Z12" i="79" s="1"/>
  <c r="R76" i="79"/>
  <c r="R34" i="79"/>
  <c r="R33" i="79"/>
  <c r="R29" i="79"/>
  <c r="R25" i="79"/>
  <c r="P21" i="79"/>
  <c r="R61" i="79"/>
  <c r="R60" i="79"/>
  <c r="R53" i="79"/>
  <c r="R52" i="79"/>
  <c r="R68" i="79"/>
  <c r="R67" i="79"/>
  <c r="R43" i="79"/>
  <c r="R39" i="79"/>
  <c r="R35" i="79"/>
  <c r="R80" i="79"/>
  <c r="R62" i="79"/>
  <c r="R55" i="79"/>
  <c r="R54" i="79"/>
  <c r="R30" i="79"/>
  <c r="R26" i="79"/>
  <c r="R69" i="79"/>
  <c r="R64" i="79"/>
  <c r="R63" i="79"/>
  <c r="R31" i="79"/>
  <c r="R27" i="79"/>
  <c r="R40" i="79"/>
  <c r="R44" i="79"/>
  <c r="R18" i="79"/>
  <c r="R71" i="79"/>
  <c r="R47" i="79"/>
  <c r="R56" i="79"/>
  <c r="R45" i="79"/>
  <c r="R46" i="79"/>
  <c r="R17" i="79"/>
  <c r="R70" i="79"/>
  <c r="R36" i="79"/>
  <c r="H149" i="74"/>
  <c r="P70" i="80"/>
  <c r="X19" i="80"/>
  <c r="X26" i="75"/>
  <c r="P80" i="75"/>
  <c r="R138" i="74"/>
  <c r="R137" i="74"/>
  <c r="R110" i="74"/>
  <c r="R109" i="74"/>
  <c r="R132" i="74"/>
  <c r="R121" i="74"/>
  <c r="R120" i="74"/>
  <c r="R151" i="74"/>
  <c r="R140" i="74"/>
  <c r="R139" i="74"/>
  <c r="R128" i="74"/>
  <c r="R127" i="74"/>
  <c r="R111" i="74"/>
  <c r="R100" i="74"/>
  <c r="R99" i="74"/>
  <c r="R95" i="74"/>
  <c r="R91" i="74"/>
  <c r="R122" i="74"/>
  <c r="R141" i="74"/>
  <c r="R133" i="74"/>
  <c r="R129" i="74"/>
  <c r="R102" i="74"/>
  <c r="R101" i="74"/>
  <c r="R123" i="74"/>
  <c r="R104" i="74"/>
  <c r="R103" i="74"/>
  <c r="R145" i="74"/>
  <c r="R144" i="74"/>
  <c r="R106" i="74"/>
  <c r="R105" i="74"/>
  <c r="R97" i="74"/>
  <c r="R93" i="74"/>
  <c r="R147" i="74"/>
  <c r="R136" i="74"/>
  <c r="R135" i="74"/>
  <c r="R131" i="74"/>
  <c r="R108" i="74"/>
  <c r="R107" i="74"/>
  <c r="R134" i="74"/>
  <c r="R98" i="74"/>
  <c r="R90" i="74"/>
  <c r="R85" i="74"/>
  <c r="R81" i="74"/>
  <c r="R125" i="74"/>
  <c r="R96" i="74"/>
  <c r="R72" i="74"/>
  <c r="R68" i="74"/>
  <c r="R64" i="74"/>
  <c r="R60" i="74"/>
  <c r="R56" i="74"/>
  <c r="X12" i="74"/>
  <c r="Z12" i="74" s="1"/>
  <c r="R142" i="74"/>
  <c r="R116" i="74"/>
  <c r="R52" i="74"/>
  <c r="R86" i="74"/>
  <c r="R82" i="74"/>
  <c r="R119" i="74"/>
  <c r="R94" i="74"/>
  <c r="R73" i="74"/>
  <c r="R69" i="74"/>
  <c r="R65" i="74"/>
  <c r="R61" i="74"/>
  <c r="R57" i="74"/>
  <c r="R53" i="74"/>
  <c r="R126" i="74"/>
  <c r="R114" i="74"/>
  <c r="R87" i="74"/>
  <c r="R83" i="74"/>
  <c r="R117" i="74"/>
  <c r="R79" i="74"/>
  <c r="R74" i="74"/>
  <c r="R70" i="74"/>
  <c r="R66" i="74"/>
  <c r="R62" i="74"/>
  <c r="R58" i="74"/>
  <c r="R54" i="74"/>
  <c r="R146" i="74"/>
  <c r="R130" i="74"/>
  <c r="R115" i="74"/>
  <c r="R92" i="74"/>
  <c r="R78" i="74"/>
  <c r="R76" i="74"/>
  <c r="R71" i="74"/>
  <c r="R67" i="74"/>
  <c r="R63" i="74"/>
  <c r="R59" i="74"/>
  <c r="R55" i="74"/>
  <c r="R88" i="74"/>
  <c r="R80" i="74"/>
  <c r="R118" i="74"/>
  <c r="R112" i="74"/>
  <c r="P76" i="74"/>
  <c r="R89" i="74"/>
  <c r="R113" i="74"/>
  <c r="R84" i="74"/>
  <c r="R124" i="74"/>
  <c r="P100" i="63"/>
  <c r="X16" i="63"/>
  <c r="R94" i="51"/>
  <c r="R93" i="51"/>
  <c r="R86" i="51"/>
  <c r="R85" i="51"/>
  <c r="R41" i="51"/>
  <c r="R37" i="51"/>
  <c r="R33" i="51"/>
  <c r="R98" i="51"/>
  <c r="R97" i="51"/>
  <c r="R79" i="51"/>
  <c r="R78" i="51"/>
  <c r="R43" i="51"/>
  <c r="R39" i="51"/>
  <c r="R35" i="51"/>
  <c r="R90" i="51"/>
  <c r="R75" i="51"/>
  <c r="R74" i="51"/>
  <c r="R58" i="51"/>
  <c r="R54" i="51"/>
  <c r="R50" i="51"/>
  <c r="P46" i="51"/>
  <c r="R91" i="51"/>
  <c r="R36" i="51"/>
  <c r="R89" i="51"/>
  <c r="R77" i="51"/>
  <c r="R73" i="51"/>
  <c r="R55" i="51"/>
  <c r="R46" i="51"/>
  <c r="R83" i="51"/>
  <c r="R64" i="51"/>
  <c r="R61" i="51"/>
  <c r="R42" i="51"/>
  <c r="X12" i="51"/>
  <c r="Z12" i="51" s="1"/>
  <c r="R92" i="51"/>
  <c r="R80" i="51"/>
  <c r="R70" i="51"/>
  <c r="R67" i="51"/>
  <c r="R53" i="51"/>
  <c r="R48" i="51"/>
  <c r="R84" i="51"/>
  <c r="R56" i="51"/>
  <c r="R34" i="51"/>
  <c r="R95" i="51"/>
  <c r="R87" i="51"/>
  <c r="R68" i="51"/>
  <c r="R65" i="51"/>
  <c r="R49" i="51"/>
  <c r="R62" i="51"/>
  <c r="R32" i="51"/>
  <c r="R99" i="51"/>
  <c r="R88" i="51"/>
  <c r="R81" i="51"/>
  <c r="R59" i="51"/>
  <c r="R72" i="51"/>
  <c r="R57" i="51"/>
  <c r="R38" i="51"/>
  <c r="R44" i="51"/>
  <c r="R40" i="51"/>
  <c r="R82" i="51"/>
  <c r="R103" i="51"/>
  <c r="R76" i="51"/>
  <c r="R63" i="51"/>
  <c r="R52" i="51"/>
  <c r="R66" i="51"/>
  <c r="R60" i="51"/>
  <c r="R71" i="51"/>
  <c r="R69" i="51"/>
  <c r="R51" i="51"/>
  <c r="T101" i="45"/>
  <c r="V23" i="45"/>
  <c r="T78" i="56"/>
  <c r="Z17" i="56"/>
  <c r="R126" i="30"/>
  <c r="R125" i="30"/>
  <c r="R106" i="30"/>
  <c r="R105" i="30"/>
  <c r="R97" i="30"/>
  <c r="R93" i="30"/>
  <c r="R78" i="30"/>
  <c r="R157" i="30"/>
  <c r="R156" i="30"/>
  <c r="R149" i="30"/>
  <c r="R148" i="30"/>
  <c r="R144" i="30"/>
  <c r="R133" i="30"/>
  <c r="R132" i="30"/>
  <c r="R116" i="30"/>
  <c r="R89" i="30"/>
  <c r="R88" i="30"/>
  <c r="R84" i="30"/>
  <c r="R80" i="30"/>
  <c r="P76" i="30"/>
  <c r="R140" i="30"/>
  <c r="R139" i="30"/>
  <c r="R127" i="30"/>
  <c r="R108" i="30"/>
  <c r="R107" i="30"/>
  <c r="R71" i="30"/>
  <c r="R67" i="30"/>
  <c r="R63" i="30"/>
  <c r="R59" i="30"/>
  <c r="R55" i="30"/>
  <c r="R158" i="30"/>
  <c r="R150" i="30"/>
  <c r="R134" i="30"/>
  <c r="R98" i="30"/>
  <c r="R94" i="30"/>
  <c r="R90" i="30"/>
  <c r="R161" i="30"/>
  <c r="R160" i="30"/>
  <c r="R145" i="30"/>
  <c r="R141" i="30"/>
  <c r="R118" i="30"/>
  <c r="R117" i="30"/>
  <c r="R110" i="30"/>
  <c r="R109" i="30"/>
  <c r="R85" i="30"/>
  <c r="R81" i="30"/>
  <c r="R162" i="30"/>
  <c r="R129" i="30"/>
  <c r="R128" i="30"/>
  <c r="R163" i="30"/>
  <c r="R152" i="30"/>
  <c r="R151" i="30"/>
  <c r="R135" i="30"/>
  <c r="R120" i="30"/>
  <c r="R119" i="30"/>
  <c r="R112" i="30"/>
  <c r="R111" i="30"/>
  <c r="R146" i="30"/>
  <c r="R142" i="30"/>
  <c r="R130" i="30"/>
  <c r="R86" i="30"/>
  <c r="R82" i="30"/>
  <c r="R154" i="30"/>
  <c r="R153" i="30"/>
  <c r="R122" i="30"/>
  <c r="R121" i="30"/>
  <c r="R113" i="30"/>
  <c r="R102" i="30"/>
  <c r="R101" i="30"/>
  <c r="R73" i="30"/>
  <c r="R69" i="30"/>
  <c r="R65" i="30"/>
  <c r="R61" i="30"/>
  <c r="R57" i="30"/>
  <c r="R53" i="30"/>
  <c r="R167" i="30"/>
  <c r="R155" i="30"/>
  <c r="R147" i="30"/>
  <c r="R143" i="30"/>
  <c r="R131" i="30"/>
  <c r="R124" i="30"/>
  <c r="R123" i="30"/>
  <c r="R104" i="30"/>
  <c r="R103" i="30"/>
  <c r="R87" i="30"/>
  <c r="R83" i="30"/>
  <c r="R100" i="30"/>
  <c r="R74" i="30"/>
  <c r="R72" i="30"/>
  <c r="R138" i="30"/>
  <c r="R70" i="30"/>
  <c r="R68" i="30"/>
  <c r="X12" i="30"/>
  <c r="Z12" i="30" s="1"/>
  <c r="R114" i="30"/>
  <c r="R96" i="30"/>
  <c r="R92" i="30"/>
  <c r="R66" i="30"/>
  <c r="R64" i="30"/>
  <c r="R136" i="30"/>
  <c r="R62" i="30"/>
  <c r="R60" i="30"/>
  <c r="R115" i="30"/>
  <c r="R95" i="30"/>
  <c r="R91" i="30"/>
  <c r="R52" i="30"/>
  <c r="R58" i="30"/>
  <c r="R56" i="30"/>
  <c r="R54" i="30"/>
  <c r="R99" i="30"/>
  <c r="R79" i="30"/>
  <c r="R137" i="30"/>
  <c r="T106" i="21"/>
  <c r="P22" i="6"/>
  <c r="X16" i="6"/>
  <c r="F98" i="21"/>
  <c r="F97" i="21"/>
  <c r="F93" i="21"/>
  <c r="F89" i="21"/>
  <c r="F108" i="21"/>
  <c r="F90" i="21"/>
  <c r="F113" i="21"/>
  <c r="F68" i="21"/>
  <c r="F67" i="21"/>
  <c r="F101" i="21"/>
  <c r="F94" i="21"/>
  <c r="F75" i="21"/>
  <c r="F47" i="21"/>
  <c r="F43" i="21"/>
  <c r="F39" i="21"/>
  <c r="F95" i="21"/>
  <c r="F91" i="21"/>
  <c r="F88" i="21"/>
  <c r="F82" i="21"/>
  <c r="F70" i="21"/>
  <c r="F69" i="21"/>
  <c r="F58" i="21"/>
  <c r="F57" i="21"/>
  <c r="F34" i="21"/>
  <c r="F30" i="21"/>
  <c r="F77" i="21"/>
  <c r="F76" i="21"/>
  <c r="F49" i="21"/>
  <c r="F48" i="21"/>
  <c r="F21" i="21"/>
  <c r="F102" i="21"/>
  <c r="F72" i="21"/>
  <c r="F71" i="21"/>
  <c r="F60" i="21"/>
  <c r="F59" i="21"/>
  <c r="F44" i="21"/>
  <c r="F40" i="21"/>
  <c r="F92" i="21"/>
  <c r="F78" i="21"/>
  <c r="F62" i="21"/>
  <c r="F61" i="21"/>
  <c r="F99" i="21"/>
  <c r="F96" i="21"/>
  <c r="F85" i="21"/>
  <c r="F84" i="21"/>
  <c r="F73" i="21"/>
  <c r="F53" i="21"/>
  <c r="F52" i="21"/>
  <c r="F45" i="21"/>
  <c r="F41" i="21"/>
  <c r="F110" i="21"/>
  <c r="F104" i="21"/>
  <c r="F80" i="21"/>
  <c r="F79" i="21"/>
  <c r="F64" i="21"/>
  <c r="F63" i="21"/>
  <c r="F36" i="21"/>
  <c r="F32" i="21"/>
  <c r="F28" i="21"/>
  <c r="F27" i="21"/>
  <c r="F106" i="21"/>
  <c r="F86" i="21"/>
  <c r="F74" i="21"/>
  <c r="F66" i="21"/>
  <c r="F65" i="21"/>
  <c r="F46" i="21"/>
  <c r="F42" i="21"/>
  <c r="F38" i="21"/>
  <c r="F37" i="21"/>
  <c r="D24" i="21"/>
  <c r="F100" i="21"/>
  <c r="F51" i="21"/>
  <c r="F26" i="21"/>
  <c r="F22" i="21"/>
  <c r="F29" i="21"/>
  <c r="F20" i="21"/>
  <c r="F54" i="21"/>
  <c r="F31" i="21"/>
  <c r="L12" i="21"/>
  <c r="N12" i="21" s="1"/>
  <c r="F35" i="21"/>
  <c r="F81" i="21"/>
  <c r="F33" i="21"/>
  <c r="F83" i="21"/>
  <c r="F55" i="21"/>
  <c r="F24" i="21"/>
  <c r="F87" i="21"/>
  <c r="F50" i="21"/>
  <c r="F56" i="21"/>
  <c r="F19" i="21"/>
  <c r="F210" i="15"/>
  <c r="F209" i="15"/>
  <c r="F202" i="15"/>
  <c r="F186" i="15"/>
  <c r="F122" i="15"/>
  <c r="F118" i="15"/>
  <c r="F197" i="15"/>
  <c r="F193" i="15"/>
  <c r="F181" i="15"/>
  <c r="F169" i="15"/>
  <c r="F168" i="15"/>
  <c r="F161" i="15"/>
  <c r="F160" i="15"/>
  <c r="F145" i="15"/>
  <c r="F144" i="15"/>
  <c r="F109" i="15"/>
  <c r="F105" i="15"/>
  <c r="F101" i="15"/>
  <c r="F97" i="15"/>
  <c r="F93" i="15"/>
  <c r="F89" i="15"/>
  <c r="F85" i="15"/>
  <c r="F81" i="15"/>
  <c r="F77" i="15"/>
  <c r="F76" i="15"/>
  <c r="F213" i="15"/>
  <c r="F204" i="15"/>
  <c r="F203" i="15"/>
  <c r="F188" i="15"/>
  <c r="F187" i="15"/>
  <c r="F176" i="15"/>
  <c r="F152" i="15"/>
  <c r="F136" i="15"/>
  <c r="F132" i="15"/>
  <c r="F128" i="15"/>
  <c r="F214" i="15"/>
  <c r="F212" i="15"/>
  <c r="F183" i="15"/>
  <c r="F182" i="15"/>
  <c r="F171" i="15"/>
  <c r="F170" i="15"/>
  <c r="F123" i="15"/>
  <c r="F119" i="15"/>
  <c r="F215" i="15"/>
  <c r="F206" i="15"/>
  <c r="F205" i="15"/>
  <c r="F198" i="15"/>
  <c r="F194" i="15"/>
  <c r="F178" i="15"/>
  <c r="F177" i="15"/>
  <c r="F162" i="15"/>
  <c r="F154" i="15"/>
  <c r="F153" i="15"/>
  <c r="F146" i="15"/>
  <c r="F138" i="15"/>
  <c r="F137" i="15"/>
  <c r="F110" i="15"/>
  <c r="F106" i="15"/>
  <c r="F102" i="15"/>
  <c r="F98" i="15"/>
  <c r="F94" i="15"/>
  <c r="F90" i="15"/>
  <c r="F86" i="15"/>
  <c r="F82" i="15"/>
  <c r="F78" i="15"/>
  <c r="F216" i="15"/>
  <c r="F189" i="15"/>
  <c r="F173" i="15"/>
  <c r="F172" i="15"/>
  <c r="F133" i="15"/>
  <c r="F129" i="15"/>
  <c r="F184" i="15"/>
  <c r="F156" i="15"/>
  <c r="F155" i="15"/>
  <c r="F148" i="15"/>
  <c r="F147" i="15"/>
  <c r="F140" i="15"/>
  <c r="F139" i="15"/>
  <c r="F124" i="15"/>
  <c r="F120" i="15"/>
  <c r="F116" i="15"/>
  <c r="F115" i="15"/>
  <c r="F207" i="15"/>
  <c r="F199" i="15"/>
  <c r="F195" i="15"/>
  <c r="F191" i="15"/>
  <c r="F190" i="15"/>
  <c r="F179" i="15"/>
  <c r="F163" i="15"/>
  <c r="F114" i="15"/>
  <c r="F107" i="15"/>
  <c r="F103" i="15"/>
  <c r="F99" i="15"/>
  <c r="F95" i="15"/>
  <c r="F91" i="15"/>
  <c r="F87" i="15"/>
  <c r="F83" i="15"/>
  <c r="F79" i="15"/>
  <c r="F220" i="15"/>
  <c r="F174" i="15"/>
  <c r="F158" i="15"/>
  <c r="F157" i="15"/>
  <c r="F134" i="15"/>
  <c r="F130" i="15"/>
  <c r="D112" i="15"/>
  <c r="F208" i="15"/>
  <c r="F196" i="15"/>
  <c r="F192" i="15"/>
  <c r="F180" i="15"/>
  <c r="F108" i="15"/>
  <c r="F104" i="15"/>
  <c r="F100" i="15"/>
  <c r="F96" i="15"/>
  <c r="F92" i="15"/>
  <c r="F88" i="15"/>
  <c r="F84" i="15"/>
  <c r="F80" i="15"/>
  <c r="L12" i="15"/>
  <c r="N12" i="15" s="1"/>
  <c r="F150" i="15"/>
  <c r="F121" i="15"/>
  <c r="F131" i="15"/>
  <c r="F200" i="15"/>
  <c r="F167" i="15"/>
  <c r="F165" i="15"/>
  <c r="F159" i="15"/>
  <c r="F142" i="15"/>
  <c r="F175" i="15"/>
  <c r="F185" i="15"/>
  <c r="F135" i="15"/>
  <c r="F125" i="15"/>
  <c r="F127" i="15"/>
  <c r="F151" i="15"/>
  <c r="F201" i="15"/>
  <c r="F166" i="15"/>
  <c r="F164" i="15"/>
  <c r="F149" i="15"/>
  <c r="F143" i="15"/>
  <c r="F141" i="15"/>
  <c r="F117" i="15"/>
  <c r="F126" i="15"/>
  <c r="D27" i="110"/>
  <c r="L18" i="110"/>
  <c r="H27" i="53"/>
  <c r="N18" i="53"/>
  <c r="L18" i="53"/>
  <c r="D27" i="53"/>
  <c r="P27" i="50"/>
  <c r="X18" i="50"/>
  <c r="Z18" i="35"/>
  <c r="T27" i="35"/>
  <c r="X18" i="28"/>
  <c r="P27" i="28"/>
  <c r="P27" i="25"/>
  <c r="X18" i="25"/>
  <c r="T27" i="19"/>
  <c r="Z18" i="19"/>
  <c r="D71" i="109"/>
  <c r="L17" i="109"/>
  <c r="D98" i="95"/>
  <c r="L23" i="95"/>
  <c r="R64" i="24"/>
  <c r="R63" i="24"/>
  <c r="R55" i="24"/>
  <c r="R51" i="24"/>
  <c r="R87" i="24"/>
  <c r="R86" i="24"/>
  <c r="R74" i="24"/>
  <c r="R81" i="24"/>
  <c r="R65" i="24"/>
  <c r="R38" i="24"/>
  <c r="R33" i="24"/>
  <c r="R29" i="24"/>
  <c r="R88" i="24"/>
  <c r="R90" i="24"/>
  <c r="R76" i="24"/>
  <c r="R75" i="24"/>
  <c r="R82" i="24"/>
  <c r="R67" i="24"/>
  <c r="R66" i="24"/>
  <c r="R30" i="24"/>
  <c r="R26" i="24"/>
  <c r="X12" i="24"/>
  <c r="Z12" i="24" s="1"/>
  <c r="R94" i="24"/>
  <c r="R69" i="24"/>
  <c r="R68" i="24"/>
  <c r="R44" i="24"/>
  <c r="R40" i="24"/>
  <c r="R84" i="24"/>
  <c r="R83" i="24"/>
  <c r="R60" i="24"/>
  <c r="R59" i="24"/>
  <c r="R31" i="24"/>
  <c r="R27" i="24"/>
  <c r="R85" i="24"/>
  <c r="R62" i="24"/>
  <c r="R61" i="24"/>
  <c r="R45" i="24"/>
  <c r="R41" i="24"/>
  <c r="R80" i="24"/>
  <c r="R57" i="24"/>
  <c r="R52" i="24"/>
  <c r="R72" i="24"/>
  <c r="R47" i="24"/>
  <c r="R78" i="24"/>
  <c r="R35" i="24"/>
  <c r="R50" i="24"/>
  <c r="P35" i="24"/>
  <c r="R58" i="24"/>
  <c r="R39" i="24"/>
  <c r="R32" i="24"/>
  <c r="R25" i="24"/>
  <c r="R79" i="24"/>
  <c r="R53" i="24"/>
  <c r="R48" i="24"/>
  <c r="R43" i="24"/>
  <c r="R73" i="24"/>
  <c r="R70" i="24"/>
  <c r="R37" i="24"/>
  <c r="R77" i="24"/>
  <c r="R56" i="24"/>
  <c r="R71" i="24"/>
  <c r="R28" i="24"/>
  <c r="R54" i="24"/>
  <c r="R46" i="24"/>
  <c r="R42" i="24"/>
  <c r="R49" i="24"/>
  <c r="H71" i="109"/>
  <c r="N17" i="109"/>
  <c r="T86" i="107"/>
  <c r="V19" i="107"/>
  <c r="H95" i="103"/>
  <c r="J92" i="103"/>
  <c r="T79" i="93"/>
  <c r="Z19" i="93"/>
  <c r="T78" i="94"/>
  <c r="Z20" i="94"/>
  <c r="H82" i="94"/>
  <c r="F40" i="94"/>
  <c r="F80" i="94"/>
  <c r="F68" i="94"/>
  <c r="F60" i="94"/>
  <c r="F59" i="94"/>
  <c r="F32" i="94"/>
  <c r="F28" i="94"/>
  <c r="F24" i="94"/>
  <c r="F85" i="94"/>
  <c r="F82" i="94"/>
  <c r="F51" i="94"/>
  <c r="F50" i="94"/>
  <c r="F70" i="94"/>
  <c r="F69" i="94"/>
  <c r="F62" i="94"/>
  <c r="F61" i="94"/>
  <c r="F42" i="94"/>
  <c r="F38" i="94"/>
  <c r="F34" i="94"/>
  <c r="F33" i="94"/>
  <c r="F72" i="94"/>
  <c r="F71" i="94"/>
  <c r="F64" i="94"/>
  <c r="F63" i="94"/>
  <c r="F74" i="94"/>
  <c r="F73" i="94"/>
  <c r="F66" i="94"/>
  <c r="F65" i="94"/>
  <c r="F30" i="94"/>
  <c r="F26" i="94"/>
  <c r="F57" i="94"/>
  <c r="F56" i="94"/>
  <c r="F45" i="94"/>
  <c r="F44" i="94"/>
  <c r="F43" i="94"/>
  <c r="F37" i="94"/>
  <c r="F27" i="94"/>
  <c r="F53" i="94"/>
  <c r="F47" i="94"/>
  <c r="F25" i="94"/>
  <c r="F54" i="94"/>
  <c r="F41" i="94"/>
  <c r="F31" i="94"/>
  <c r="F78" i="94"/>
  <c r="F48" i="94"/>
  <c r="F35" i="94"/>
  <c r="F29" i="94"/>
  <c r="F18" i="94"/>
  <c r="F17" i="94"/>
  <c r="F55" i="94"/>
  <c r="F39" i="94"/>
  <c r="F58" i="94"/>
  <c r="F46" i="94"/>
  <c r="F22" i="94"/>
  <c r="F20" i="94"/>
  <c r="F76" i="94"/>
  <c r="F67" i="94"/>
  <c r="D20" i="94"/>
  <c r="L12" i="94"/>
  <c r="F49" i="94"/>
  <c r="F23" i="94"/>
  <c r="F36" i="94"/>
  <c r="F52" i="94"/>
  <c r="P92" i="87"/>
  <c r="X88" i="87"/>
  <c r="Z88" i="87" s="1"/>
  <c r="H119" i="84"/>
  <c r="T97" i="83"/>
  <c r="T149" i="74"/>
  <c r="D70" i="80"/>
  <c r="L19" i="80"/>
  <c r="F103" i="70"/>
  <c r="F79" i="70"/>
  <c r="F78" i="70"/>
  <c r="F63" i="70"/>
  <c r="F59" i="70"/>
  <c r="F55" i="70"/>
  <c r="F54" i="70"/>
  <c r="F98" i="70"/>
  <c r="F97" i="70"/>
  <c r="F53" i="70"/>
  <c r="F46" i="70"/>
  <c r="F42" i="70"/>
  <c r="F38" i="70"/>
  <c r="F105" i="70"/>
  <c r="F104" i="70"/>
  <c r="F89" i="70"/>
  <c r="F81" i="70"/>
  <c r="F80" i="70"/>
  <c r="F73" i="70"/>
  <c r="F69" i="70"/>
  <c r="D51" i="70"/>
  <c r="F51" i="70" s="1"/>
  <c r="F64" i="70"/>
  <c r="F60" i="70"/>
  <c r="F56" i="70"/>
  <c r="F108" i="70"/>
  <c r="F99" i="70"/>
  <c r="F91" i="70"/>
  <c r="F90" i="70"/>
  <c r="F83" i="70"/>
  <c r="F82" i="70"/>
  <c r="F47" i="70"/>
  <c r="F43" i="70"/>
  <c r="F39" i="70"/>
  <c r="F35" i="70"/>
  <c r="F34" i="70"/>
  <c r="F109" i="70"/>
  <c r="F107" i="70"/>
  <c r="F74" i="70"/>
  <c r="F70" i="70"/>
  <c r="F66" i="70"/>
  <c r="F65" i="70"/>
  <c r="F110" i="70"/>
  <c r="F93" i="70"/>
  <c r="F92" i="70"/>
  <c r="F85" i="70"/>
  <c r="F84" i="70"/>
  <c r="F100" i="70"/>
  <c r="F48" i="70"/>
  <c r="F44" i="70"/>
  <c r="F40" i="70"/>
  <c r="F36" i="70"/>
  <c r="L12" i="70"/>
  <c r="N12" i="70" s="1"/>
  <c r="F75" i="70"/>
  <c r="F71" i="70"/>
  <c r="F67" i="70"/>
  <c r="F77" i="70"/>
  <c r="F76" i="70"/>
  <c r="F49" i="70"/>
  <c r="F45" i="70"/>
  <c r="F41" i="70"/>
  <c r="F37" i="70"/>
  <c r="F57" i="70"/>
  <c r="F68" i="70"/>
  <c r="F61" i="70"/>
  <c r="F87" i="70"/>
  <c r="F95" i="70"/>
  <c r="F72" i="70"/>
  <c r="F101" i="70"/>
  <c r="F58" i="70"/>
  <c r="F88" i="70"/>
  <c r="F62" i="70"/>
  <c r="F114" i="70"/>
  <c r="F96" i="70"/>
  <c r="F94" i="70"/>
  <c r="F86" i="70"/>
  <c r="F102" i="70"/>
  <c r="V35" i="68"/>
  <c r="H71" i="59"/>
  <c r="N16" i="59"/>
  <c r="X71" i="59"/>
  <c r="P75" i="59"/>
  <c r="T62" i="60"/>
  <c r="T76" i="58"/>
  <c r="Z16" i="58"/>
  <c r="H120" i="42"/>
  <c r="N25" i="42"/>
  <c r="R122" i="42"/>
  <c r="R88" i="42"/>
  <c r="R76" i="42"/>
  <c r="R69" i="42"/>
  <c r="R68" i="42"/>
  <c r="R103" i="42"/>
  <c r="R83" i="42"/>
  <c r="R111" i="42"/>
  <c r="R110" i="42"/>
  <c r="R98" i="42"/>
  <c r="R94" i="42"/>
  <c r="R71" i="42"/>
  <c r="R70" i="42"/>
  <c r="R90" i="42"/>
  <c r="R89" i="42"/>
  <c r="R78" i="42"/>
  <c r="R77" i="42"/>
  <c r="R45" i="42"/>
  <c r="R112" i="42"/>
  <c r="R105" i="42"/>
  <c r="R104" i="42"/>
  <c r="R84" i="42"/>
  <c r="R117" i="42"/>
  <c r="R85" i="42"/>
  <c r="R118" i="42"/>
  <c r="R108" i="42"/>
  <c r="R100" i="42"/>
  <c r="R96" i="42"/>
  <c r="R92" i="42"/>
  <c r="R81" i="42"/>
  <c r="R80" i="42"/>
  <c r="R65" i="42"/>
  <c r="R64" i="42"/>
  <c r="R56" i="42"/>
  <c r="R87" i="42"/>
  <c r="R86" i="42"/>
  <c r="R82" i="42"/>
  <c r="R67" i="42"/>
  <c r="R66" i="42"/>
  <c r="R93" i="42"/>
  <c r="R74" i="42"/>
  <c r="R55" i="42"/>
  <c r="R42" i="42"/>
  <c r="R38" i="42"/>
  <c r="R37" i="42"/>
  <c r="R33" i="42"/>
  <c r="R29" i="42"/>
  <c r="P25" i="42"/>
  <c r="R25" i="42" s="1"/>
  <c r="R106" i="42"/>
  <c r="R102" i="42"/>
  <c r="R79" i="42"/>
  <c r="R61" i="42"/>
  <c r="R52" i="42"/>
  <c r="R116" i="42"/>
  <c r="R114" i="42"/>
  <c r="R72" i="42"/>
  <c r="R48" i="42"/>
  <c r="R39" i="42"/>
  <c r="R20" i="42"/>
  <c r="R49" i="42"/>
  <c r="R34" i="42"/>
  <c r="R30" i="42"/>
  <c r="R107" i="42"/>
  <c r="R58" i="42"/>
  <c r="R53" i="42"/>
  <c r="R43" i="42"/>
  <c r="R21" i="42"/>
  <c r="R109" i="42"/>
  <c r="R75" i="42"/>
  <c r="R59" i="42"/>
  <c r="R46" i="42"/>
  <c r="X12" i="42"/>
  <c r="Z12" i="42" s="1"/>
  <c r="R73" i="42"/>
  <c r="R62" i="42"/>
  <c r="R40" i="42"/>
  <c r="R35" i="42"/>
  <c r="R31" i="42"/>
  <c r="R22" i="42"/>
  <c r="R115" i="42"/>
  <c r="R54" i="42"/>
  <c r="R50" i="42"/>
  <c r="R63" i="42"/>
  <c r="R60" i="42"/>
  <c r="R57" i="42"/>
  <c r="R28" i="42"/>
  <c r="R23" i="42"/>
  <c r="R44" i="42"/>
  <c r="R91" i="42"/>
  <c r="R32" i="42"/>
  <c r="R41" i="42"/>
  <c r="R27" i="42"/>
  <c r="R36" i="42"/>
  <c r="R95" i="42"/>
  <c r="R97" i="42"/>
  <c r="R51" i="42"/>
  <c r="R47" i="42"/>
  <c r="R99" i="42"/>
  <c r="R101" i="42"/>
  <c r="P127" i="36"/>
  <c r="X27" i="36"/>
  <c r="R121" i="36"/>
  <c r="T92" i="24"/>
  <c r="F77" i="33"/>
  <c r="F83" i="24"/>
  <c r="F59" i="24"/>
  <c r="F58" i="24"/>
  <c r="F31" i="24"/>
  <c r="F27" i="24"/>
  <c r="F78" i="24"/>
  <c r="F70" i="24"/>
  <c r="F69" i="24"/>
  <c r="F99" i="24"/>
  <c r="F96" i="24"/>
  <c r="F85" i="24"/>
  <c r="F84" i="24"/>
  <c r="F61" i="24"/>
  <c r="F60" i="24"/>
  <c r="F45" i="24"/>
  <c r="F41" i="24"/>
  <c r="F80" i="24"/>
  <c r="F79" i="24"/>
  <c r="F63" i="24"/>
  <c r="F62" i="24"/>
  <c r="F55" i="24"/>
  <c r="F86" i="24"/>
  <c r="F74" i="24"/>
  <c r="F73" i="24"/>
  <c r="F46" i="24"/>
  <c r="F42" i="24"/>
  <c r="F88" i="24"/>
  <c r="F87" i="24"/>
  <c r="F56" i="24"/>
  <c r="F52" i="24"/>
  <c r="F48" i="24"/>
  <c r="F47" i="24"/>
  <c r="F75" i="24"/>
  <c r="F43" i="24"/>
  <c r="F39" i="24"/>
  <c r="F38" i="24"/>
  <c r="F92" i="24"/>
  <c r="F90" i="24"/>
  <c r="F77" i="24"/>
  <c r="F76" i="24"/>
  <c r="F57" i="24"/>
  <c r="F53" i="24"/>
  <c r="F49" i="24"/>
  <c r="D35" i="24"/>
  <c r="F66" i="24"/>
  <c r="F44" i="24"/>
  <c r="F33" i="24"/>
  <c r="F71" i="24"/>
  <c r="F54" i="24"/>
  <c r="F64" i="24"/>
  <c r="F94" i="24"/>
  <c r="F82" i="24"/>
  <c r="F72" i="24"/>
  <c r="F29" i="24"/>
  <c r="F67" i="24"/>
  <c r="F35" i="24"/>
  <c r="F65" i="24"/>
  <c r="L12" i="24"/>
  <c r="N12" i="24" s="1"/>
  <c r="F50" i="24"/>
  <c r="F32" i="24"/>
  <c r="F30" i="24"/>
  <c r="F25" i="24"/>
  <c r="F68" i="24"/>
  <c r="F37" i="24"/>
  <c r="F28" i="24"/>
  <c r="F81" i="24"/>
  <c r="F51" i="24"/>
  <c r="F26" i="24"/>
  <c r="F40" i="24"/>
  <c r="H27" i="110"/>
  <c r="N18" i="110"/>
  <c r="T27" i="112"/>
  <c r="Z18" i="112"/>
  <c r="H27" i="112"/>
  <c r="N18" i="112"/>
  <c r="H27" i="47"/>
  <c r="N18" i="47"/>
  <c r="H27" i="49"/>
  <c r="N18" i="49"/>
  <c r="H27" i="46"/>
  <c r="N18" i="46"/>
  <c r="H27" i="31"/>
  <c r="N18" i="31"/>
  <c r="H27" i="25"/>
  <c r="N18" i="25"/>
  <c r="H27" i="22"/>
  <c r="N18" i="22"/>
  <c r="D27" i="23"/>
  <c r="L18" i="23"/>
  <c r="L18" i="20"/>
  <c r="D27" i="20"/>
  <c r="X18" i="17"/>
  <c r="P27" i="17"/>
  <c r="X18" i="8"/>
  <c r="P27" i="8"/>
  <c r="H27" i="5"/>
  <c r="N18" i="5"/>
  <c r="N16" i="88"/>
  <c r="H32" i="88"/>
  <c r="L16" i="61"/>
  <c r="D60" i="61"/>
  <c r="R230" i="18"/>
  <c r="R223" i="18"/>
  <c r="R222" i="18"/>
  <c r="R218" i="18"/>
  <c r="R214" i="18"/>
  <c r="R202" i="18"/>
  <c r="R187" i="18"/>
  <c r="R186" i="18"/>
  <c r="R244" i="18"/>
  <c r="R224" i="18"/>
  <c r="R208" i="18"/>
  <c r="R189" i="18"/>
  <c r="R188" i="18"/>
  <c r="R173" i="18"/>
  <c r="R172" i="18"/>
  <c r="R165" i="18"/>
  <c r="R164" i="18"/>
  <c r="R232" i="18"/>
  <c r="R231" i="18"/>
  <c r="R219" i="18"/>
  <c r="R215" i="18"/>
  <c r="R203" i="18"/>
  <c r="R236" i="18"/>
  <c r="R235" i="18"/>
  <c r="R220" i="18"/>
  <c r="R216" i="18"/>
  <c r="R205" i="18"/>
  <c r="R204" i="18"/>
  <c r="R193" i="18"/>
  <c r="R192" i="18"/>
  <c r="R184" i="18"/>
  <c r="R168" i="18"/>
  <c r="R237" i="18"/>
  <c r="R228" i="18"/>
  <c r="R227" i="18"/>
  <c r="R211" i="18"/>
  <c r="R200" i="18"/>
  <c r="R199" i="18"/>
  <c r="R176" i="18"/>
  <c r="R175" i="18"/>
  <c r="R160" i="18"/>
  <c r="R159" i="18"/>
  <c r="R155" i="18"/>
  <c r="R151" i="18"/>
  <c r="R239" i="18"/>
  <c r="R229" i="18"/>
  <c r="R221" i="18"/>
  <c r="R217" i="18"/>
  <c r="R201" i="18"/>
  <c r="R185" i="18"/>
  <c r="R178" i="18"/>
  <c r="R177" i="18"/>
  <c r="R170" i="18"/>
  <c r="R169" i="18"/>
  <c r="R162" i="18"/>
  <c r="R161" i="18"/>
  <c r="R179" i="18"/>
  <c r="R153" i="18"/>
  <c r="R143" i="18"/>
  <c r="R139" i="18"/>
  <c r="P135" i="18"/>
  <c r="R212" i="18"/>
  <c r="R209" i="18"/>
  <c r="R198" i="18"/>
  <c r="R190" i="18"/>
  <c r="R174" i="18"/>
  <c r="R166" i="18"/>
  <c r="R163" i="18"/>
  <c r="R158" i="18"/>
  <c r="R147" i="18"/>
  <c r="R130" i="18"/>
  <c r="R126" i="18"/>
  <c r="R122" i="18"/>
  <c r="R118" i="18"/>
  <c r="R114" i="18"/>
  <c r="R110" i="18"/>
  <c r="R106" i="18"/>
  <c r="R102" i="18"/>
  <c r="R98" i="18"/>
  <c r="R94" i="18"/>
  <c r="R233" i="18"/>
  <c r="R183" i="18"/>
  <c r="R180" i="18"/>
  <c r="R171" i="18"/>
  <c r="R90" i="18"/>
  <c r="R210" i="18"/>
  <c r="R207" i="18"/>
  <c r="R196" i="18"/>
  <c r="R156" i="18"/>
  <c r="R144" i="18"/>
  <c r="R140" i="18"/>
  <c r="X12" i="18"/>
  <c r="Z12" i="18" s="1"/>
  <c r="R213" i="18"/>
  <c r="R191" i="18"/>
  <c r="R167" i="18"/>
  <c r="R131" i="18"/>
  <c r="R127" i="18"/>
  <c r="R123" i="18"/>
  <c r="R119" i="18"/>
  <c r="R115" i="18"/>
  <c r="R111" i="18"/>
  <c r="R107" i="18"/>
  <c r="R103" i="18"/>
  <c r="R99" i="18"/>
  <c r="R95" i="18"/>
  <c r="R91" i="18"/>
  <c r="R154" i="18"/>
  <c r="R148" i="18"/>
  <c r="R181" i="18"/>
  <c r="R149" i="18"/>
  <c r="R145" i="18"/>
  <c r="R141" i="18"/>
  <c r="R132" i="18"/>
  <c r="R128" i="18"/>
  <c r="R124" i="18"/>
  <c r="R120" i="18"/>
  <c r="R116" i="18"/>
  <c r="R112" i="18"/>
  <c r="R108" i="18"/>
  <c r="R104" i="18"/>
  <c r="R100" i="18"/>
  <c r="R96" i="18"/>
  <c r="R92" i="18"/>
  <c r="R240" i="18"/>
  <c r="R238" i="18"/>
  <c r="R225" i="18"/>
  <c r="R197" i="18"/>
  <c r="R194" i="18"/>
  <c r="R157" i="18"/>
  <c r="R152" i="18"/>
  <c r="R226" i="18"/>
  <c r="R150" i="18"/>
  <c r="R138" i="18"/>
  <c r="R133" i="18"/>
  <c r="R129" i="18"/>
  <c r="R125" i="18"/>
  <c r="R121" i="18"/>
  <c r="R117" i="18"/>
  <c r="R113" i="18"/>
  <c r="R109" i="18"/>
  <c r="R105" i="18"/>
  <c r="R101" i="18"/>
  <c r="R97" i="18"/>
  <c r="R93" i="18"/>
  <c r="R195" i="18"/>
  <c r="R135" i="18"/>
  <c r="R182" i="18"/>
  <c r="R142" i="18"/>
  <c r="R206" i="18"/>
  <c r="R146" i="18"/>
  <c r="R137" i="18"/>
  <c r="Z18" i="111"/>
  <c r="T27" i="111"/>
  <c r="X18" i="52"/>
  <c r="P27" i="52"/>
  <c r="D80" i="58"/>
  <c r="L76" i="58"/>
  <c r="T27" i="44"/>
  <c r="Z18" i="44"/>
  <c r="T27" i="31"/>
  <c r="Z18" i="31"/>
  <c r="H27" i="13"/>
  <c r="N18" i="13"/>
  <c r="H86" i="107"/>
  <c r="T58" i="102"/>
  <c r="Z16" i="102"/>
  <c r="T96" i="105"/>
  <c r="V23" i="105"/>
  <c r="V23" i="103"/>
  <c r="H58" i="102"/>
  <c r="N16" i="102"/>
  <c r="X16" i="102"/>
  <c r="P58" i="102"/>
  <c r="P85" i="97"/>
  <c r="X19" i="97"/>
  <c r="H78" i="92"/>
  <c r="N18" i="92"/>
  <c r="P78" i="94"/>
  <c r="X20" i="94"/>
  <c r="X18" i="92"/>
  <c r="P78" i="92"/>
  <c r="T88" i="91"/>
  <c r="V20" i="85"/>
  <c r="T28" i="85"/>
  <c r="N21" i="83"/>
  <c r="H90" i="83"/>
  <c r="J21" i="83"/>
  <c r="L16" i="60"/>
  <c r="D58" i="60"/>
  <c r="H104" i="63"/>
  <c r="H101" i="45"/>
  <c r="J23" i="45"/>
  <c r="T218" i="15"/>
  <c r="V112" i="15"/>
  <c r="H242" i="18"/>
  <c r="H218" i="15"/>
  <c r="F208" i="12"/>
  <c r="F207" i="12"/>
  <c r="F192" i="12"/>
  <c r="F156" i="12"/>
  <c r="F140" i="12"/>
  <c r="F136" i="12"/>
  <c r="F132" i="12"/>
  <c r="F215" i="12"/>
  <c r="F203" i="12"/>
  <c r="F199" i="12"/>
  <c r="F187" i="12"/>
  <c r="F175" i="12"/>
  <c r="F174" i="12"/>
  <c r="F127" i="12"/>
  <c r="F123" i="12"/>
  <c r="F182" i="12"/>
  <c r="F166" i="12"/>
  <c r="F158" i="12"/>
  <c r="F157" i="12"/>
  <c r="F150" i="12"/>
  <c r="F142" i="12"/>
  <c r="F141" i="12"/>
  <c r="F114" i="12"/>
  <c r="F110" i="12"/>
  <c r="F106" i="12"/>
  <c r="F102" i="12"/>
  <c r="F98" i="12"/>
  <c r="F94" i="12"/>
  <c r="F90" i="12"/>
  <c r="F86" i="12"/>
  <c r="F82" i="12"/>
  <c r="F217" i="12"/>
  <c r="F216" i="12"/>
  <c r="F209" i="12"/>
  <c r="F193" i="12"/>
  <c r="F189" i="12"/>
  <c r="F188" i="12"/>
  <c r="F177" i="12"/>
  <c r="F176" i="12"/>
  <c r="F137" i="12"/>
  <c r="F133" i="12"/>
  <c r="F204" i="12"/>
  <c r="F200" i="12"/>
  <c r="F184" i="12"/>
  <c r="F183" i="12"/>
  <c r="F160" i="12"/>
  <c r="F159" i="12"/>
  <c r="F152" i="12"/>
  <c r="F151" i="12"/>
  <c r="F144" i="12"/>
  <c r="F143" i="12"/>
  <c r="F221" i="12"/>
  <c r="F219" i="12"/>
  <c r="F190" i="12"/>
  <c r="F162" i="12"/>
  <c r="F161" i="12"/>
  <c r="F138" i="12"/>
  <c r="F134" i="12"/>
  <c r="D116" i="12"/>
  <c r="F116" i="12" s="1"/>
  <c r="F222" i="12"/>
  <c r="F213" i="12"/>
  <c r="F212" i="12"/>
  <c r="F205" i="12"/>
  <c r="F201" i="12"/>
  <c r="F185" i="12"/>
  <c r="F169" i="12"/>
  <c r="F168" i="12"/>
  <c r="F153" i="12"/>
  <c r="F145" i="12"/>
  <c r="F223" i="12"/>
  <c r="F196" i="12"/>
  <c r="F180" i="12"/>
  <c r="F112" i="12"/>
  <c r="F108" i="12"/>
  <c r="F104" i="12"/>
  <c r="F100" i="12"/>
  <c r="F96" i="12"/>
  <c r="F92" i="12"/>
  <c r="F88" i="12"/>
  <c r="F84" i="12"/>
  <c r="F80" i="12"/>
  <c r="F214" i="12"/>
  <c r="F206" i="12"/>
  <c r="F202" i="12"/>
  <c r="F198" i="12"/>
  <c r="F197" i="12"/>
  <c r="F186" i="12"/>
  <c r="F126" i="12"/>
  <c r="F122" i="12"/>
  <c r="F210" i="12"/>
  <c r="F171" i="12"/>
  <c r="F154" i="12"/>
  <c r="F120" i="12"/>
  <c r="F111" i="12"/>
  <c r="L12" i="12"/>
  <c r="N12" i="12" s="1"/>
  <c r="F164" i="12"/>
  <c r="F178" i="12"/>
  <c r="F146" i="12"/>
  <c r="F130" i="12"/>
  <c r="F101" i="12"/>
  <c r="F93" i="12"/>
  <c r="F85" i="12"/>
  <c r="F79" i="12"/>
  <c r="F165" i="12"/>
  <c r="F128" i="12"/>
  <c r="F124" i="12"/>
  <c r="F195" i="12"/>
  <c r="F167" i="12"/>
  <c r="F118" i="12"/>
  <c r="F109" i="12"/>
  <c r="F227" i="12"/>
  <c r="F191" i="12"/>
  <c r="F163" i="12"/>
  <c r="F149" i="12"/>
  <c r="F99" i="12"/>
  <c r="F91" i="12"/>
  <c r="F83" i="12"/>
  <c r="F211" i="12"/>
  <c r="F172" i="12"/>
  <c r="F155" i="12"/>
  <c r="F135" i="12"/>
  <c r="F131" i="12"/>
  <c r="F121" i="12"/>
  <c r="F107" i="12"/>
  <c r="F220" i="12"/>
  <c r="F179" i="12"/>
  <c r="F147" i="12"/>
  <c r="F119" i="12"/>
  <c r="F78" i="12"/>
  <c r="F170" i="12"/>
  <c r="F139" i="12"/>
  <c r="F129" i="12"/>
  <c r="F125" i="12"/>
  <c r="F97" i="12"/>
  <c r="F89" i="12"/>
  <c r="F81" i="12"/>
  <c r="F105" i="12"/>
  <c r="F181" i="12"/>
  <c r="F194" i="12"/>
  <c r="F173" i="12"/>
  <c r="F113" i="12"/>
  <c r="F103" i="12"/>
  <c r="F95" i="12"/>
  <c r="F87" i="12"/>
  <c r="F148" i="12"/>
  <c r="D22" i="6"/>
  <c r="L16" i="6"/>
  <c r="T27" i="53"/>
  <c r="Z18" i="53"/>
  <c r="T27" i="50"/>
  <c r="Z18" i="50"/>
  <c r="X18" i="49"/>
  <c r="P27" i="49"/>
  <c r="H27" i="50"/>
  <c r="N18" i="50"/>
  <c r="X18" i="46"/>
  <c r="P27" i="46"/>
  <c r="L18" i="40"/>
  <c r="D27" i="40"/>
  <c r="L18" i="41"/>
  <c r="D27" i="41"/>
  <c r="L18" i="35"/>
  <c r="D27" i="35"/>
  <c r="T27" i="26"/>
  <c r="Z18" i="26"/>
  <c r="X18" i="26"/>
  <c r="P27" i="26"/>
  <c r="X18" i="20"/>
  <c r="P27" i="20"/>
  <c r="T27" i="13"/>
  <c r="Z18" i="13"/>
  <c r="H27" i="16"/>
  <c r="N18" i="16"/>
  <c r="T77" i="80"/>
  <c r="T73" i="57"/>
  <c r="Z17" i="57"/>
  <c r="T127" i="36"/>
  <c r="Z27" i="36"/>
  <c r="V27" i="36"/>
  <c r="T27" i="34"/>
  <c r="Z18" i="34"/>
  <c r="H74" i="80"/>
  <c r="H92" i="24"/>
  <c r="P27" i="53"/>
  <c r="X18" i="53"/>
  <c r="L18" i="43"/>
  <c r="D27" i="43"/>
  <c r="N18" i="20"/>
  <c r="H27" i="20"/>
  <c r="F92" i="105"/>
  <c r="F91" i="105"/>
  <c r="F89" i="105"/>
  <c r="F88" i="105"/>
  <c r="F73" i="105"/>
  <c r="F94" i="105"/>
  <c r="F85" i="105"/>
  <c r="F71" i="105"/>
  <c r="F44" i="105"/>
  <c r="F40" i="105"/>
  <c r="F98" i="105"/>
  <c r="F68" i="105"/>
  <c r="F63" i="105"/>
  <c r="F62" i="105"/>
  <c r="F51" i="105"/>
  <c r="F50" i="105"/>
  <c r="F35" i="105"/>
  <c r="F31" i="105"/>
  <c r="F27" i="105"/>
  <c r="F26" i="105"/>
  <c r="F75" i="105"/>
  <c r="F72" i="105"/>
  <c r="F25" i="105"/>
  <c r="F80" i="105"/>
  <c r="F64" i="105"/>
  <c r="F53" i="105"/>
  <c r="F52" i="105"/>
  <c r="F45" i="105"/>
  <c r="F41" i="105"/>
  <c r="D23" i="105"/>
  <c r="F86" i="105"/>
  <c r="F83" i="105"/>
  <c r="F36" i="105"/>
  <c r="F32" i="105"/>
  <c r="F28" i="105"/>
  <c r="L12" i="105"/>
  <c r="N12" i="105" s="1"/>
  <c r="F76" i="105"/>
  <c r="F69" i="105"/>
  <c r="F65" i="105"/>
  <c r="F55" i="105"/>
  <c r="F54" i="105"/>
  <c r="F19" i="105"/>
  <c r="F18" i="105"/>
  <c r="F84" i="105"/>
  <c r="F66" i="105"/>
  <c r="F20" i="105"/>
  <c r="F90" i="105"/>
  <c r="F74" i="105"/>
  <c r="F34" i="105"/>
  <c r="F82" i="105"/>
  <c r="F79" i="105"/>
  <c r="F61" i="105"/>
  <c r="F60" i="105"/>
  <c r="F49" i="105"/>
  <c r="F48" i="105"/>
  <c r="F77" i="105"/>
  <c r="F46" i="105"/>
  <c r="F81" i="105"/>
  <c r="F70" i="105"/>
  <c r="F30" i="105"/>
  <c r="F21" i="105"/>
  <c r="F78" i="105"/>
  <c r="F58" i="105"/>
  <c r="F39" i="105"/>
  <c r="F43" i="105"/>
  <c r="F47" i="105"/>
  <c r="F37" i="105"/>
  <c r="F87" i="105"/>
  <c r="F33" i="105"/>
  <c r="F42" i="105"/>
  <c r="F38" i="105"/>
  <c r="F29" i="105"/>
  <c r="F57" i="105"/>
  <c r="F67" i="105"/>
  <c r="F56" i="105"/>
  <c r="F59" i="105"/>
  <c r="T56" i="99"/>
  <c r="Z16" i="99"/>
  <c r="F72" i="103"/>
  <c r="F67" i="103"/>
  <c r="F66" i="103"/>
  <c r="F84" i="103"/>
  <c r="F83" i="103"/>
  <c r="F68" i="103"/>
  <c r="F79" i="103"/>
  <c r="F75" i="103"/>
  <c r="F74" i="103"/>
  <c r="F59" i="103"/>
  <c r="F58" i="103"/>
  <c r="F47" i="103"/>
  <c r="F43" i="103"/>
  <c r="F39" i="103"/>
  <c r="F90" i="103"/>
  <c r="F80" i="103"/>
  <c r="F76" i="103"/>
  <c r="F78" i="103"/>
  <c r="F62" i="103"/>
  <c r="F53" i="103"/>
  <c r="F40" i="103"/>
  <c r="F25" i="103"/>
  <c r="F23" i="103"/>
  <c r="F86" i="103"/>
  <c r="F44" i="103"/>
  <c r="D23" i="103"/>
  <c r="F54" i="103"/>
  <c r="F48" i="103"/>
  <c r="F36" i="103"/>
  <c r="F32" i="103"/>
  <c r="F28" i="103"/>
  <c r="L12" i="103"/>
  <c r="N12" i="103" s="1"/>
  <c r="F95" i="103"/>
  <c r="F69" i="103"/>
  <c r="F63" i="103"/>
  <c r="F55" i="103"/>
  <c r="F49" i="103"/>
  <c r="F41" i="103"/>
  <c r="F19" i="103"/>
  <c r="F18" i="103"/>
  <c r="F45" i="103"/>
  <c r="F37" i="103"/>
  <c r="F38" i="103"/>
  <c r="F33" i="103"/>
  <c r="F29" i="103"/>
  <c r="F88" i="103"/>
  <c r="F70" i="103"/>
  <c r="F56" i="103"/>
  <c r="F50" i="103"/>
  <c r="F42" i="103"/>
  <c r="F20" i="103"/>
  <c r="F77" i="103"/>
  <c r="F57" i="103"/>
  <c r="F51" i="103"/>
  <c r="F34" i="103"/>
  <c r="F30" i="103"/>
  <c r="F65" i="103"/>
  <c r="F82" i="103"/>
  <c r="F73" i="103"/>
  <c r="F71" i="103"/>
  <c r="F52" i="103"/>
  <c r="F35" i="103"/>
  <c r="F31" i="103"/>
  <c r="F27" i="103"/>
  <c r="F26" i="103"/>
  <c r="F92" i="103"/>
  <c r="F81" i="103"/>
  <c r="F61" i="103"/>
  <c r="F21" i="103"/>
  <c r="F46" i="103"/>
  <c r="F60" i="103"/>
  <c r="F64" i="103"/>
  <c r="R93" i="95"/>
  <c r="R92" i="95"/>
  <c r="R85" i="95"/>
  <c r="R84" i="95"/>
  <c r="R100" i="95"/>
  <c r="R82" i="95"/>
  <c r="R83" i="95"/>
  <c r="R47" i="95"/>
  <c r="R46" i="95"/>
  <c r="R42" i="95"/>
  <c r="R38" i="95"/>
  <c r="R73" i="95"/>
  <c r="R58" i="95"/>
  <c r="R57" i="95"/>
  <c r="R33" i="95"/>
  <c r="R29" i="95"/>
  <c r="R88" i="95"/>
  <c r="R87" i="95"/>
  <c r="R80" i="95"/>
  <c r="R69" i="95"/>
  <c r="R68" i="95"/>
  <c r="R49" i="95"/>
  <c r="R48" i="95"/>
  <c r="R20" i="95"/>
  <c r="R60" i="95"/>
  <c r="R59" i="95"/>
  <c r="R43" i="95"/>
  <c r="R39" i="95"/>
  <c r="R75" i="95"/>
  <c r="R74" i="95"/>
  <c r="R70" i="95"/>
  <c r="R51" i="95"/>
  <c r="R50" i="95"/>
  <c r="R34" i="95"/>
  <c r="R30" i="95"/>
  <c r="R89" i="95"/>
  <c r="R81" i="95"/>
  <c r="R62" i="95"/>
  <c r="R61" i="95"/>
  <c r="R26" i="95"/>
  <c r="R21" i="95"/>
  <c r="R77" i="95"/>
  <c r="R76" i="95"/>
  <c r="R53" i="95"/>
  <c r="R52" i="95"/>
  <c r="R44" i="95"/>
  <c r="R40" i="95"/>
  <c r="R25" i="95"/>
  <c r="R23" i="95"/>
  <c r="R90" i="95"/>
  <c r="R71" i="95"/>
  <c r="R64" i="95"/>
  <c r="R63" i="95"/>
  <c r="R36" i="95"/>
  <c r="R35" i="95"/>
  <c r="R31" i="95"/>
  <c r="R27" i="95"/>
  <c r="P23" i="95"/>
  <c r="R94" i="95"/>
  <c r="R78" i="95"/>
  <c r="R54" i="95"/>
  <c r="R96" i="95"/>
  <c r="R91" i="95"/>
  <c r="R72" i="95"/>
  <c r="R32" i="95"/>
  <c r="R28" i="95"/>
  <c r="X12" i="95"/>
  <c r="Z12" i="95" s="1"/>
  <c r="R86" i="95"/>
  <c r="R79" i="95"/>
  <c r="R67" i="95"/>
  <c r="R56" i="95"/>
  <c r="R55" i="95"/>
  <c r="R19" i="95"/>
  <c r="R65" i="95"/>
  <c r="R45" i="95"/>
  <c r="R37" i="95"/>
  <c r="R66" i="95"/>
  <c r="R41" i="95"/>
  <c r="R18" i="95"/>
  <c r="X20" i="85"/>
  <c r="Z20" i="85" s="1"/>
  <c r="P28" i="85"/>
  <c r="L21" i="83"/>
  <c r="D90" i="83"/>
  <c r="H101" i="76"/>
  <c r="J46" i="76"/>
  <c r="P65" i="69"/>
  <c r="X18" i="69"/>
  <c r="Z18" i="69" s="1"/>
  <c r="T69" i="69"/>
  <c r="T107" i="63"/>
  <c r="J27" i="36"/>
  <c r="R109" i="27"/>
  <c r="R108" i="27"/>
  <c r="R98" i="27"/>
  <c r="R97" i="27"/>
  <c r="R99" i="27"/>
  <c r="R110" i="27"/>
  <c r="R77" i="27"/>
  <c r="R76" i="27"/>
  <c r="R72" i="27"/>
  <c r="R68" i="27"/>
  <c r="R115" i="27"/>
  <c r="R95" i="27"/>
  <c r="R88" i="27"/>
  <c r="R87" i="27"/>
  <c r="R63" i="27"/>
  <c r="R59" i="27"/>
  <c r="R106" i="27"/>
  <c r="R103" i="27"/>
  <c r="R100" i="27"/>
  <c r="R79" i="27"/>
  <c r="R78" i="27"/>
  <c r="R55" i="27"/>
  <c r="R50" i="27"/>
  <c r="R46" i="27"/>
  <c r="R42" i="27"/>
  <c r="R38" i="27"/>
  <c r="R111" i="27"/>
  <c r="R96" i="27"/>
  <c r="R89" i="27"/>
  <c r="R73" i="27"/>
  <c r="R69" i="27"/>
  <c r="R54" i="27"/>
  <c r="R81" i="27"/>
  <c r="R80" i="27"/>
  <c r="R64" i="27"/>
  <c r="R60" i="27"/>
  <c r="R56" i="27"/>
  <c r="P52" i="27"/>
  <c r="R52" i="27" s="1"/>
  <c r="R47" i="27"/>
  <c r="R43" i="27"/>
  <c r="R39" i="27"/>
  <c r="R91" i="27"/>
  <c r="R90" i="27"/>
  <c r="R83" i="27"/>
  <c r="R82" i="27"/>
  <c r="R74" i="27"/>
  <c r="R70" i="27"/>
  <c r="R35" i="27"/>
  <c r="X12" i="27"/>
  <c r="Z12" i="27" s="1"/>
  <c r="R101" i="27"/>
  <c r="R66" i="27"/>
  <c r="R65" i="27"/>
  <c r="R61" i="27"/>
  <c r="R57" i="27"/>
  <c r="R104" i="27"/>
  <c r="R93" i="27"/>
  <c r="R92" i="27"/>
  <c r="R85" i="27"/>
  <c r="R84" i="27"/>
  <c r="R48" i="27"/>
  <c r="R44" i="27"/>
  <c r="R40" i="27"/>
  <c r="R36" i="27"/>
  <c r="R102" i="27"/>
  <c r="R94" i="27"/>
  <c r="R86" i="27"/>
  <c r="R62" i="27"/>
  <c r="R58" i="27"/>
  <c r="R67" i="27"/>
  <c r="R71" i="27"/>
  <c r="R75" i="27"/>
  <c r="R49" i="27"/>
  <c r="R45" i="27"/>
  <c r="R105" i="27"/>
  <c r="R37" i="27"/>
  <c r="R41" i="27"/>
  <c r="R102" i="21"/>
  <c r="R86" i="21"/>
  <c r="R85" i="21"/>
  <c r="R97" i="21"/>
  <c r="R96" i="21"/>
  <c r="R99" i="21"/>
  <c r="R98" i="21"/>
  <c r="R108" i="21"/>
  <c r="R72" i="21"/>
  <c r="R61" i="21"/>
  <c r="R60" i="21"/>
  <c r="R84" i="21"/>
  <c r="R83" i="21"/>
  <c r="R52" i="21"/>
  <c r="R51" i="21"/>
  <c r="R35" i="21"/>
  <c r="R31" i="21"/>
  <c r="R92" i="21"/>
  <c r="R89" i="21"/>
  <c r="R79" i="21"/>
  <c r="R78" i="21"/>
  <c r="R63" i="21"/>
  <c r="R62" i="21"/>
  <c r="R27" i="21"/>
  <c r="R22" i="21"/>
  <c r="X12" i="21"/>
  <c r="Z12" i="21" s="1"/>
  <c r="R104" i="21"/>
  <c r="R73" i="21"/>
  <c r="R54" i="21"/>
  <c r="R53" i="21"/>
  <c r="R45" i="21"/>
  <c r="R41" i="21"/>
  <c r="R26" i="21"/>
  <c r="R24" i="21"/>
  <c r="R80" i="21"/>
  <c r="R65" i="21"/>
  <c r="R64" i="21"/>
  <c r="R37" i="21"/>
  <c r="R36" i="21"/>
  <c r="R32" i="21"/>
  <c r="R28" i="21"/>
  <c r="P24" i="21"/>
  <c r="R93" i="21"/>
  <c r="R74" i="21"/>
  <c r="R67" i="21"/>
  <c r="R66" i="21"/>
  <c r="R100" i="21"/>
  <c r="R90" i="21"/>
  <c r="R87" i="21"/>
  <c r="R81" i="21"/>
  <c r="R33" i="21"/>
  <c r="R29" i="21"/>
  <c r="R101" i="21"/>
  <c r="R94" i="21"/>
  <c r="R69" i="21"/>
  <c r="R68" i="21"/>
  <c r="R57" i="21"/>
  <c r="R56" i="21"/>
  <c r="R20" i="21"/>
  <c r="R91" i="21"/>
  <c r="R88" i="21"/>
  <c r="R82" i="21"/>
  <c r="R71" i="21"/>
  <c r="R70" i="21"/>
  <c r="R59" i="21"/>
  <c r="R58" i="21"/>
  <c r="R34" i="21"/>
  <c r="R30" i="21"/>
  <c r="R46" i="21"/>
  <c r="R39" i="21"/>
  <c r="R44" i="21"/>
  <c r="R55" i="21"/>
  <c r="R95" i="21"/>
  <c r="R77" i="21"/>
  <c r="R50" i="21"/>
  <c r="R47" i="21"/>
  <c r="R42" i="21"/>
  <c r="R21" i="21"/>
  <c r="R19" i="21"/>
  <c r="R40" i="21"/>
  <c r="R48" i="21"/>
  <c r="R38" i="21"/>
  <c r="R75" i="21"/>
  <c r="R43" i="21"/>
  <c r="R49" i="21"/>
  <c r="R76" i="21"/>
  <c r="H225" i="12"/>
  <c r="F237" i="18"/>
  <c r="F235" i="18"/>
  <c r="F206" i="18"/>
  <c r="F205" i="18"/>
  <c r="F194" i="18"/>
  <c r="F193" i="18"/>
  <c r="F238" i="18"/>
  <c r="F229" i="18"/>
  <c r="F228" i="18"/>
  <c r="F239" i="18"/>
  <c r="F212" i="18"/>
  <c r="F196" i="18"/>
  <c r="F195" i="18"/>
  <c r="F156" i="18"/>
  <c r="F152" i="18"/>
  <c r="F240" i="18"/>
  <c r="F207" i="18"/>
  <c r="F179" i="18"/>
  <c r="F178" i="18"/>
  <c r="F171" i="18"/>
  <c r="F170" i="18"/>
  <c r="F163" i="18"/>
  <c r="F162" i="18"/>
  <c r="F244" i="18"/>
  <c r="F224" i="18"/>
  <c r="F223" i="18"/>
  <c r="F208" i="18"/>
  <c r="F188" i="18"/>
  <c r="F187" i="18"/>
  <c r="F172" i="18"/>
  <c r="F164" i="18"/>
  <c r="F148" i="18"/>
  <c r="F231" i="18"/>
  <c r="F219" i="18"/>
  <c r="F215" i="18"/>
  <c r="F203" i="18"/>
  <c r="F233" i="18"/>
  <c r="F232" i="18"/>
  <c r="F225" i="18"/>
  <c r="F209" i="18"/>
  <c r="F221" i="18"/>
  <c r="F214" i="18"/>
  <c r="F204" i="18"/>
  <c r="F197" i="18"/>
  <c r="F192" i="18"/>
  <c r="F168" i="18"/>
  <c r="F157" i="18"/>
  <c r="F200" i="18"/>
  <c r="F189" i="18"/>
  <c r="F176" i="18"/>
  <c r="F173" i="18"/>
  <c r="F165" i="18"/>
  <c r="F160" i="18"/>
  <c r="F155" i="18"/>
  <c r="F150" i="18"/>
  <c r="F146" i="18"/>
  <c r="F142" i="18"/>
  <c r="F226" i="18"/>
  <c r="F216" i="18"/>
  <c r="F182" i="18"/>
  <c r="F133" i="18"/>
  <c r="F129" i="18"/>
  <c r="F125" i="18"/>
  <c r="F121" i="18"/>
  <c r="F117" i="18"/>
  <c r="F113" i="18"/>
  <c r="F109" i="18"/>
  <c r="F105" i="18"/>
  <c r="F101" i="18"/>
  <c r="F97" i="18"/>
  <c r="F93" i="18"/>
  <c r="F218" i="18"/>
  <c r="F236" i="18"/>
  <c r="F201" i="18"/>
  <c r="F198" i="18"/>
  <c r="F190" i="18"/>
  <c r="F185" i="18"/>
  <c r="F177" i="18"/>
  <c r="F174" i="18"/>
  <c r="F166" i="18"/>
  <c r="F161" i="18"/>
  <c r="F158" i="18"/>
  <c r="F153" i="18"/>
  <c r="F143" i="18"/>
  <c r="F139" i="18"/>
  <c r="F138" i="18"/>
  <c r="F220" i="18"/>
  <c r="F169" i="18"/>
  <c r="F147" i="18"/>
  <c r="F137" i="18"/>
  <c r="F130" i="18"/>
  <c r="F126" i="18"/>
  <c r="F122" i="18"/>
  <c r="F118" i="18"/>
  <c r="F114" i="18"/>
  <c r="F110" i="18"/>
  <c r="F106" i="18"/>
  <c r="F102" i="18"/>
  <c r="F98" i="18"/>
  <c r="F94" i="18"/>
  <c r="F222" i="18"/>
  <c r="F183" i="18"/>
  <c r="F180" i="18"/>
  <c r="F151" i="18"/>
  <c r="D135" i="18"/>
  <c r="F227" i="18"/>
  <c r="F210" i="18"/>
  <c r="F144" i="18"/>
  <c r="F140" i="18"/>
  <c r="L12" i="18"/>
  <c r="N12" i="18" s="1"/>
  <c r="F213" i="18"/>
  <c r="F191" i="18"/>
  <c r="F167" i="18"/>
  <c r="F154" i="18"/>
  <c r="F131" i="18"/>
  <c r="F127" i="18"/>
  <c r="F123" i="18"/>
  <c r="F119" i="18"/>
  <c r="F115" i="18"/>
  <c r="F111" i="18"/>
  <c r="F107" i="18"/>
  <c r="F103" i="18"/>
  <c r="F99" i="18"/>
  <c r="F95" i="18"/>
  <c r="F91" i="18"/>
  <c r="F90" i="18"/>
  <c r="F202" i="18"/>
  <c r="F186" i="18"/>
  <c r="F184" i="18"/>
  <c r="F181" i="18"/>
  <c r="F145" i="18"/>
  <c r="F141" i="18"/>
  <c r="F149" i="18"/>
  <c r="F96" i="18"/>
  <c r="F128" i="18"/>
  <c r="F104" i="18"/>
  <c r="F159" i="18"/>
  <c r="F120" i="18"/>
  <c r="F217" i="18"/>
  <c r="F132" i="18"/>
  <c r="F108" i="18"/>
  <c r="F230" i="18"/>
  <c r="F199" i="18"/>
  <c r="F112" i="18"/>
  <c r="F211" i="18"/>
  <c r="F175" i="18"/>
  <c r="F116" i="18"/>
  <c r="F92" i="18"/>
  <c r="F124" i="18"/>
  <c r="F100" i="18"/>
  <c r="X18" i="110"/>
  <c r="P27" i="110"/>
  <c r="H27" i="38"/>
  <c r="N18" i="38"/>
  <c r="H27" i="35"/>
  <c r="N18" i="35"/>
  <c r="P27" i="32"/>
  <c r="X18" i="32"/>
  <c r="T27" i="28"/>
  <c r="Z18" i="28"/>
  <c r="T27" i="22"/>
  <c r="Z18" i="22"/>
  <c r="T27" i="23"/>
  <c r="Z18" i="23"/>
  <c r="H27" i="28"/>
  <c r="N18" i="28"/>
  <c r="T27" i="17"/>
  <c r="Z18" i="17"/>
  <c r="T27" i="4"/>
  <c r="Z18" i="4"/>
  <c r="T27" i="5"/>
  <c r="Z18" i="5"/>
  <c r="L18" i="5"/>
  <c r="D27" i="5"/>
  <c r="V71" i="109"/>
  <c r="T24" i="108"/>
  <c r="Z16" i="108"/>
  <c r="R84" i="103"/>
  <c r="R69" i="103"/>
  <c r="R68" i="103"/>
  <c r="R86" i="103"/>
  <c r="R79" i="103"/>
  <c r="R75" i="103"/>
  <c r="R60" i="103"/>
  <c r="R59" i="103"/>
  <c r="R90" i="103"/>
  <c r="R80" i="103"/>
  <c r="R76" i="103"/>
  <c r="R71" i="103"/>
  <c r="R64" i="103"/>
  <c r="R63" i="103"/>
  <c r="R52" i="103"/>
  <c r="R51" i="103"/>
  <c r="R72" i="103"/>
  <c r="R55" i="103"/>
  <c r="R45" i="103"/>
  <c r="R56" i="103"/>
  <c r="R50" i="103"/>
  <c r="R38" i="103"/>
  <c r="R33" i="103"/>
  <c r="R29" i="103"/>
  <c r="R67" i="103"/>
  <c r="R42" i="103"/>
  <c r="R20" i="103"/>
  <c r="R70" i="103"/>
  <c r="R46" i="103"/>
  <c r="R81" i="103"/>
  <c r="R34" i="103"/>
  <c r="R30" i="103"/>
  <c r="R77" i="103"/>
  <c r="R61" i="103"/>
  <c r="R57" i="103"/>
  <c r="R39" i="103"/>
  <c r="R26" i="103"/>
  <c r="R21" i="103"/>
  <c r="R43" i="103"/>
  <c r="R25" i="103"/>
  <c r="R82" i="103"/>
  <c r="R73" i="103"/>
  <c r="R66" i="103"/>
  <c r="R54" i="103"/>
  <c r="R53" i="103"/>
  <c r="R40" i="103"/>
  <c r="R37" i="103"/>
  <c r="R36" i="103"/>
  <c r="R32" i="103"/>
  <c r="R28" i="103"/>
  <c r="X12" i="103"/>
  <c r="Z12" i="103" s="1"/>
  <c r="R83" i="103"/>
  <c r="R74" i="103"/>
  <c r="R49" i="103"/>
  <c r="R41" i="103"/>
  <c r="R19" i="103"/>
  <c r="R35" i="103"/>
  <c r="R48" i="103"/>
  <c r="R44" i="103"/>
  <c r="R78" i="103"/>
  <c r="R65" i="103"/>
  <c r="R18" i="103"/>
  <c r="R58" i="103"/>
  <c r="R27" i="103"/>
  <c r="R47" i="103"/>
  <c r="P23" i="103"/>
  <c r="R23" i="103" s="1"/>
  <c r="R31" i="103"/>
  <c r="R62" i="103"/>
  <c r="R23" i="98"/>
  <c r="X12" i="98"/>
  <c r="R27" i="98"/>
  <c r="R19" i="98"/>
  <c r="R15" i="98"/>
  <c r="R21" i="98"/>
  <c r="P17" i="98"/>
  <c r="R17" i="98" s="1"/>
  <c r="R20" i="98"/>
  <c r="X16" i="101"/>
  <c r="P39" i="101"/>
  <c r="L19" i="93"/>
  <c r="D79" i="93"/>
  <c r="X16" i="88"/>
  <c r="P32" i="88"/>
  <c r="H84" i="91"/>
  <c r="L84" i="91" s="1"/>
  <c r="N16" i="91"/>
  <c r="J21" i="79"/>
  <c r="H78" i="79"/>
  <c r="J76" i="74"/>
  <c r="D101" i="76"/>
  <c r="L46" i="76"/>
  <c r="N46" i="76" s="1"/>
  <c r="F46" i="76"/>
  <c r="F82" i="75"/>
  <c r="F70" i="75"/>
  <c r="F38" i="75"/>
  <c r="F34" i="75"/>
  <c r="F30" i="75"/>
  <c r="F29" i="75"/>
  <c r="F65" i="75"/>
  <c r="F64" i="75"/>
  <c r="F57" i="75"/>
  <c r="F56" i="75"/>
  <c r="F28" i="75"/>
  <c r="F26" i="75"/>
  <c r="F24" i="75"/>
  <c r="F48" i="75"/>
  <c r="F44" i="75"/>
  <c r="F40" i="75"/>
  <c r="F39" i="75"/>
  <c r="D26" i="75"/>
  <c r="F71" i="75"/>
  <c r="F67" i="75"/>
  <c r="F66" i="75"/>
  <c r="F59" i="75"/>
  <c r="F58" i="75"/>
  <c r="F35" i="75"/>
  <c r="F31" i="75"/>
  <c r="F73" i="75"/>
  <c r="F72" i="75"/>
  <c r="F49" i="75"/>
  <c r="F45" i="75"/>
  <c r="F41" i="75"/>
  <c r="F68" i="75"/>
  <c r="F60" i="75"/>
  <c r="F36" i="75"/>
  <c r="F32" i="75"/>
  <c r="L12" i="75"/>
  <c r="N12" i="75" s="1"/>
  <c r="F75" i="75"/>
  <c r="F74" i="75"/>
  <c r="F51" i="75"/>
  <c r="F50" i="75"/>
  <c r="F62" i="75"/>
  <c r="F61" i="75"/>
  <c r="F46" i="75"/>
  <c r="F42" i="75"/>
  <c r="F77" i="75"/>
  <c r="F43" i="75"/>
  <c r="F55" i="75"/>
  <c r="F53" i="75"/>
  <c r="F69" i="75"/>
  <c r="F47" i="75"/>
  <c r="F63" i="75"/>
  <c r="F33" i="75"/>
  <c r="F78" i="75"/>
  <c r="F37" i="75"/>
  <c r="F52" i="75"/>
  <c r="F54" i="75"/>
  <c r="H72" i="69"/>
  <c r="N72" i="69" s="1"/>
  <c r="N69" i="69"/>
  <c r="T64" i="61"/>
  <c r="L17" i="56"/>
  <c r="D78" i="56"/>
  <c r="X17" i="56"/>
  <c r="P78" i="56"/>
  <c r="H77" i="57"/>
  <c r="H85" i="56"/>
  <c r="L28" i="39"/>
  <c r="N28" i="39" s="1"/>
  <c r="D124" i="39"/>
  <c r="T80" i="33"/>
  <c r="F106" i="27"/>
  <c r="F105" i="27"/>
  <c r="F101" i="27"/>
  <c r="F115" i="27"/>
  <c r="F103" i="27"/>
  <c r="F102" i="27"/>
  <c r="F98" i="27"/>
  <c r="F92" i="27"/>
  <c r="F91" i="27"/>
  <c r="F84" i="27"/>
  <c r="F83" i="27"/>
  <c r="F48" i="27"/>
  <c r="F44" i="27"/>
  <c r="F40" i="27"/>
  <c r="F36" i="27"/>
  <c r="F35" i="27"/>
  <c r="F109" i="27"/>
  <c r="F75" i="27"/>
  <c r="F71" i="27"/>
  <c r="F67" i="27"/>
  <c r="F66" i="27"/>
  <c r="F99" i="27"/>
  <c r="F94" i="27"/>
  <c r="F93" i="27"/>
  <c r="F86" i="27"/>
  <c r="F85" i="27"/>
  <c r="F62" i="27"/>
  <c r="F58" i="27"/>
  <c r="F49" i="27"/>
  <c r="F45" i="27"/>
  <c r="F41" i="27"/>
  <c r="F37" i="27"/>
  <c r="F76" i="27"/>
  <c r="F72" i="27"/>
  <c r="F68" i="27"/>
  <c r="F110" i="27"/>
  <c r="F95" i="27"/>
  <c r="F87" i="27"/>
  <c r="F63" i="27"/>
  <c r="F59" i="27"/>
  <c r="F100" i="27"/>
  <c r="F78" i="27"/>
  <c r="F77" i="27"/>
  <c r="F50" i="27"/>
  <c r="F46" i="27"/>
  <c r="F42" i="27"/>
  <c r="F38" i="27"/>
  <c r="F96" i="27"/>
  <c r="F89" i="27"/>
  <c r="F88" i="27"/>
  <c r="F73" i="27"/>
  <c r="F69" i="27"/>
  <c r="F111" i="27"/>
  <c r="F80" i="27"/>
  <c r="F79" i="27"/>
  <c r="F64" i="27"/>
  <c r="F60" i="27"/>
  <c r="F56" i="27"/>
  <c r="F55" i="27"/>
  <c r="F108" i="27"/>
  <c r="F104" i="27"/>
  <c r="F90" i="27"/>
  <c r="F82" i="27"/>
  <c r="F81" i="27"/>
  <c r="F74" i="27"/>
  <c r="F70" i="27"/>
  <c r="D52" i="27"/>
  <c r="L12" i="27"/>
  <c r="N12" i="27" s="1"/>
  <c r="F57" i="27"/>
  <c r="F39" i="27"/>
  <c r="F61" i="27"/>
  <c r="F65" i="27"/>
  <c r="F97" i="27"/>
  <c r="F54" i="27"/>
  <c r="F52" i="27"/>
  <c r="F47" i="27"/>
  <c r="F43" i="27"/>
  <c r="H113" i="27"/>
  <c r="T225" i="12"/>
  <c r="V116" i="12"/>
  <c r="L17" i="9"/>
  <c r="D102" i="9"/>
  <c r="H106" i="9"/>
  <c r="L18" i="111"/>
  <c r="D27" i="111"/>
  <c r="H27" i="52"/>
  <c r="N18" i="52"/>
  <c r="H27" i="41"/>
  <c r="N18" i="41"/>
  <c r="H27" i="40"/>
  <c r="N18" i="40"/>
  <c r="N18" i="32"/>
  <c r="H27" i="32"/>
  <c r="H27" i="29"/>
  <c r="N18" i="29"/>
  <c r="T27" i="29"/>
  <c r="Z18" i="29"/>
  <c r="H27" i="23"/>
  <c r="N18" i="23"/>
  <c r="L18" i="22"/>
  <c r="D27" i="22"/>
  <c r="T27" i="11"/>
  <c r="Z18" i="11"/>
  <c r="L18" i="11"/>
  <c r="D27" i="11"/>
  <c r="X18" i="7"/>
  <c r="P27" i="7"/>
  <c r="X18" i="5"/>
  <c r="P27" i="5"/>
  <c r="L18" i="7"/>
  <c r="D27" i="7"/>
  <c r="H28" i="85"/>
  <c r="J20" i="85"/>
  <c r="T27" i="46"/>
  <c r="Z18" i="46"/>
  <c r="T27" i="43"/>
  <c r="Z18" i="43"/>
  <c r="F80" i="107"/>
  <c r="F90" i="107"/>
  <c r="F75" i="107"/>
  <c r="F71" i="107"/>
  <c r="F70" i="107"/>
  <c r="F63" i="107"/>
  <c r="F62" i="107"/>
  <c r="F51" i="107"/>
  <c r="F50" i="107"/>
  <c r="F93" i="107"/>
  <c r="F84" i="107"/>
  <c r="F74" i="107"/>
  <c r="F42" i="107"/>
  <c r="F38" i="107"/>
  <c r="F34" i="107"/>
  <c r="F33" i="107"/>
  <c r="F77" i="107"/>
  <c r="F56" i="107"/>
  <c r="F29" i="107"/>
  <c r="F25" i="107"/>
  <c r="F86" i="107"/>
  <c r="F72" i="107"/>
  <c r="F68" i="107"/>
  <c r="F57" i="107"/>
  <c r="L12" i="107"/>
  <c r="N12" i="107" s="1"/>
  <c r="F81" i="107"/>
  <c r="F43" i="107"/>
  <c r="F39" i="107"/>
  <c r="F35" i="107"/>
  <c r="F64" i="107"/>
  <c r="F58" i="107"/>
  <c r="F30" i="107"/>
  <c r="F26" i="107"/>
  <c r="F78" i="107"/>
  <c r="F52" i="107"/>
  <c r="F45" i="107"/>
  <c r="F44" i="107"/>
  <c r="F17" i="107"/>
  <c r="F16" i="107"/>
  <c r="F69" i="107"/>
  <c r="F65" i="107"/>
  <c r="F59" i="107"/>
  <c r="F53" i="107"/>
  <c r="F40" i="107"/>
  <c r="F36" i="107"/>
  <c r="F82" i="107"/>
  <c r="F73" i="107"/>
  <c r="F48" i="107"/>
  <c r="F32" i="107"/>
  <c r="F28" i="107"/>
  <c r="F24" i="107"/>
  <c r="F49" i="107"/>
  <c r="F55" i="107"/>
  <c r="F47" i="107"/>
  <c r="F41" i="107"/>
  <c r="F61" i="107"/>
  <c r="F19" i="107"/>
  <c r="F22" i="107"/>
  <c r="D19" i="107"/>
  <c r="F67" i="107"/>
  <c r="F46" i="107"/>
  <c r="F76" i="107"/>
  <c r="F66" i="107"/>
  <c r="F31" i="107"/>
  <c r="F27" i="107"/>
  <c r="F21" i="107"/>
  <c r="F88" i="107"/>
  <c r="F37" i="107"/>
  <c r="F23" i="107"/>
  <c r="F79" i="107"/>
  <c r="F54" i="107"/>
  <c r="F60" i="107"/>
  <c r="Z16" i="104"/>
  <c r="T24" i="104"/>
  <c r="Z16" i="100"/>
  <c r="T30" i="100"/>
  <c r="X30" i="100" s="1"/>
  <c r="N85" i="97"/>
  <c r="H89" i="97"/>
  <c r="T29" i="98"/>
  <c r="Z25" i="98"/>
  <c r="H56" i="99"/>
  <c r="N16" i="99"/>
  <c r="N19" i="93"/>
  <c r="H79" i="93"/>
  <c r="F23" i="95"/>
  <c r="T82" i="92"/>
  <c r="F84" i="87"/>
  <c r="F83" i="87"/>
  <c r="F76" i="87"/>
  <c r="F72" i="87"/>
  <c r="F48" i="87"/>
  <c r="F40" i="87"/>
  <c r="F36" i="87"/>
  <c r="F32" i="87"/>
  <c r="F31" i="87"/>
  <c r="F59" i="87"/>
  <c r="F66" i="87"/>
  <c r="F50" i="87"/>
  <c r="F49" i="87"/>
  <c r="F88" i="87"/>
  <c r="F86" i="87"/>
  <c r="F77" i="87"/>
  <c r="F73" i="87"/>
  <c r="F61" i="87"/>
  <c r="F60" i="87"/>
  <c r="F90" i="87"/>
  <c r="F68" i="87"/>
  <c r="F67" i="87"/>
  <c r="F52" i="87"/>
  <c r="F51" i="87"/>
  <c r="F28" i="87"/>
  <c r="F24" i="87"/>
  <c r="F63" i="87"/>
  <c r="F62" i="87"/>
  <c r="F43" i="87"/>
  <c r="F42" i="87"/>
  <c r="F78" i="87"/>
  <c r="F74" i="87"/>
  <c r="F70" i="87"/>
  <c r="F69" i="87"/>
  <c r="F54" i="87"/>
  <c r="F53" i="87"/>
  <c r="F38" i="87"/>
  <c r="F34" i="87"/>
  <c r="F95" i="87"/>
  <c r="F92" i="87"/>
  <c r="F80" i="87"/>
  <c r="F79" i="87"/>
  <c r="F64" i="87"/>
  <c r="F56" i="87"/>
  <c r="F55" i="87"/>
  <c r="F82" i="87"/>
  <c r="F81" i="87"/>
  <c r="F58" i="87"/>
  <c r="F57" i="87"/>
  <c r="F30" i="87"/>
  <c r="F26" i="87"/>
  <c r="F65" i="87"/>
  <c r="F17" i="87"/>
  <c r="F16" i="87"/>
  <c r="F75" i="87"/>
  <c r="F45" i="87"/>
  <c r="F21" i="87"/>
  <c r="F29" i="87"/>
  <c r="F46" i="87"/>
  <c r="F27" i="87"/>
  <c r="F22" i="87"/>
  <c r="L12" i="87"/>
  <c r="F41" i="87"/>
  <c r="F39" i="87"/>
  <c r="F37" i="87"/>
  <c r="F35" i="87"/>
  <c r="F25" i="87"/>
  <c r="F71" i="87"/>
  <c r="F47" i="87"/>
  <c r="F23" i="87"/>
  <c r="F19" i="87"/>
  <c r="F33" i="87"/>
  <c r="D19" i="87"/>
  <c r="F44" i="87"/>
  <c r="V42" i="84"/>
  <c r="H112" i="70"/>
  <c r="J51" i="70"/>
  <c r="L21" i="79"/>
  <c r="N21" i="79" s="1"/>
  <c r="D78" i="79"/>
  <c r="N16" i="61"/>
  <c r="H60" i="61"/>
  <c r="D100" i="63"/>
  <c r="L16" i="63"/>
  <c r="L16" i="55"/>
  <c r="D33" i="55"/>
  <c r="P73" i="57"/>
  <c r="X17" i="57"/>
  <c r="T37" i="55"/>
  <c r="X16" i="54"/>
  <c r="P22" i="54"/>
  <c r="F103" i="51"/>
  <c r="F81" i="51"/>
  <c r="F57" i="51"/>
  <c r="F53" i="51"/>
  <c r="F74" i="51"/>
  <c r="F73" i="51"/>
  <c r="F58" i="51"/>
  <c r="F54" i="51"/>
  <c r="F50" i="51"/>
  <c r="F49" i="51"/>
  <c r="F95" i="51"/>
  <c r="F94" i="51"/>
  <c r="F87" i="51"/>
  <c r="F86" i="51"/>
  <c r="F59" i="51"/>
  <c r="F55" i="51"/>
  <c r="F51" i="51"/>
  <c r="F90" i="51"/>
  <c r="F70" i="51"/>
  <c r="F66" i="51"/>
  <c r="F62" i="51"/>
  <c r="F72" i="51"/>
  <c r="F41" i="51"/>
  <c r="F38" i="51"/>
  <c r="F32" i="51"/>
  <c r="F97" i="51"/>
  <c r="F88" i="51"/>
  <c r="F79" i="51"/>
  <c r="F75" i="51"/>
  <c r="F52" i="51"/>
  <c r="F44" i="51"/>
  <c r="F82" i="51"/>
  <c r="F69" i="51"/>
  <c r="F33" i="51"/>
  <c r="F91" i="51"/>
  <c r="F76" i="51"/>
  <c r="F63" i="51"/>
  <c r="F60" i="51"/>
  <c r="F36" i="51"/>
  <c r="F89" i="51"/>
  <c r="F39" i="51"/>
  <c r="F83" i="51"/>
  <c r="F98" i="51"/>
  <c r="F80" i="51"/>
  <c r="F77" i="51"/>
  <c r="F64" i="51"/>
  <c r="F61" i="51"/>
  <c r="D46" i="51"/>
  <c r="L12" i="51"/>
  <c r="N12" i="51" s="1"/>
  <c r="F92" i="51"/>
  <c r="F67" i="51"/>
  <c r="F37" i="51"/>
  <c r="F34" i="51"/>
  <c r="F84" i="51"/>
  <c r="F78" i="51"/>
  <c r="F56" i="51"/>
  <c r="F48" i="51"/>
  <c r="F40" i="51"/>
  <c r="F43" i="51"/>
  <c r="F85" i="51"/>
  <c r="F71" i="51"/>
  <c r="F93" i="51"/>
  <c r="F42" i="51"/>
  <c r="F65" i="51"/>
  <c r="F46" i="51"/>
  <c r="F35" i="51"/>
  <c r="F99" i="51"/>
  <c r="F68" i="51"/>
  <c r="V26" i="33"/>
  <c r="F123" i="36"/>
  <c r="F121" i="36"/>
  <c r="F129" i="36"/>
  <c r="F124" i="36"/>
  <c r="F93" i="36"/>
  <c r="F89" i="36"/>
  <c r="F88" i="36"/>
  <c r="F73" i="36"/>
  <c r="F72" i="36"/>
  <c r="F61" i="36"/>
  <c r="F53" i="36"/>
  <c r="F52" i="36"/>
  <c r="F25" i="36"/>
  <c r="F116" i="36"/>
  <c r="F108" i="36"/>
  <c r="F104" i="36"/>
  <c r="F100" i="36"/>
  <c r="F48" i="36"/>
  <c r="F44" i="36"/>
  <c r="F95" i="36"/>
  <c r="F94" i="36"/>
  <c r="F83" i="36"/>
  <c r="F75" i="36"/>
  <c r="F74" i="36"/>
  <c r="F63" i="36"/>
  <c r="F62" i="36"/>
  <c r="F55" i="36"/>
  <c r="F54" i="36"/>
  <c r="F39" i="36"/>
  <c r="F35" i="36"/>
  <c r="F31" i="36"/>
  <c r="F30" i="36"/>
  <c r="F125" i="36"/>
  <c r="F110" i="36"/>
  <c r="F109" i="36"/>
  <c r="F90" i="36"/>
  <c r="F29" i="36"/>
  <c r="F117" i="36"/>
  <c r="F105" i="36"/>
  <c r="F101" i="36"/>
  <c r="F77" i="36"/>
  <c r="F76" i="36"/>
  <c r="F65" i="36"/>
  <c r="F64" i="36"/>
  <c r="F57" i="36"/>
  <c r="F56" i="36"/>
  <c r="F49" i="36"/>
  <c r="F45" i="36"/>
  <c r="D27" i="36"/>
  <c r="F96" i="36"/>
  <c r="F84" i="36"/>
  <c r="F40" i="36"/>
  <c r="F36" i="36"/>
  <c r="F32" i="36"/>
  <c r="F119" i="36"/>
  <c r="F118" i="36"/>
  <c r="F111" i="36"/>
  <c r="F91" i="36"/>
  <c r="F79" i="36"/>
  <c r="F78" i="36"/>
  <c r="F67" i="36"/>
  <c r="F66" i="36"/>
  <c r="F59" i="36"/>
  <c r="F58" i="36"/>
  <c r="F106" i="36"/>
  <c r="F102" i="36"/>
  <c r="F98" i="36"/>
  <c r="F97" i="36"/>
  <c r="F113" i="36"/>
  <c r="F112" i="36"/>
  <c r="F81" i="36"/>
  <c r="F80" i="36"/>
  <c r="F69" i="36"/>
  <c r="F68" i="36"/>
  <c r="F37" i="36"/>
  <c r="F33" i="36"/>
  <c r="F122" i="36"/>
  <c r="F92" i="36"/>
  <c r="F60" i="36"/>
  <c r="F24" i="36"/>
  <c r="L12" i="36"/>
  <c r="N12" i="36" s="1"/>
  <c r="F34" i="36"/>
  <c r="F103" i="36"/>
  <c r="F43" i="36"/>
  <c r="F51" i="36"/>
  <c r="F47" i="36"/>
  <c r="F41" i="36"/>
  <c r="F86" i="36"/>
  <c r="F23" i="36"/>
  <c r="F114" i="36"/>
  <c r="F107" i="36"/>
  <c r="F82" i="36"/>
  <c r="F70" i="36"/>
  <c r="F99" i="36"/>
  <c r="F42" i="36"/>
  <c r="F46" i="36"/>
  <c r="F38" i="36"/>
  <c r="F87" i="36"/>
  <c r="F22" i="36"/>
  <c r="F85" i="36"/>
  <c r="F50" i="36"/>
  <c r="F115" i="36"/>
  <c r="F71" i="36"/>
  <c r="H80" i="33"/>
  <c r="J26" i="33"/>
  <c r="N26" i="33"/>
  <c r="D165" i="30"/>
  <c r="L76" i="30"/>
  <c r="D80" i="33"/>
  <c r="L26" i="33"/>
  <c r="H27" i="111"/>
  <c r="N18" i="111"/>
  <c r="T27" i="110"/>
  <c r="Z18" i="110"/>
  <c r="L18" i="46"/>
  <c r="D27" i="46"/>
  <c r="X18" i="38"/>
  <c r="P27" i="38"/>
  <c r="X18" i="34"/>
  <c r="P27" i="34"/>
  <c r="L18" i="32"/>
  <c r="D27" i="32"/>
  <c r="X18" i="29"/>
  <c r="P27" i="29"/>
  <c r="L18" i="13"/>
  <c r="D27" i="13"/>
  <c r="P27" i="19"/>
  <c r="X18" i="19"/>
  <c r="T27" i="7"/>
  <c r="Z18" i="7"/>
  <c r="H27" i="11"/>
  <c r="N18" i="11"/>
  <c r="T27" i="10"/>
  <c r="Z18" i="10"/>
  <c r="H27" i="14"/>
  <c r="N18" i="14"/>
  <c r="Z18" i="8"/>
  <c r="T27" i="8"/>
  <c r="H27" i="4"/>
  <c r="N18" i="4"/>
  <c r="F35" i="85"/>
  <c r="F32" i="85"/>
  <c r="F17" i="85"/>
  <c r="F16" i="85"/>
  <c r="F24" i="85"/>
  <c r="F23" i="85"/>
  <c r="F22" i="85"/>
  <c r="F20" i="85"/>
  <c r="F28" i="85"/>
  <c r="F30" i="85"/>
  <c r="F18" i="85"/>
  <c r="D20" i="85"/>
  <c r="F26" i="85"/>
  <c r="L12" i="85"/>
  <c r="N12" i="85" s="1"/>
  <c r="V52" i="27"/>
  <c r="T113" i="27"/>
  <c r="P27" i="112"/>
  <c r="X18" i="112"/>
  <c r="R47" i="82"/>
  <c r="R32" i="82"/>
  <c r="R28" i="82"/>
  <c r="X12" i="82"/>
  <c r="Z12" i="82" s="1"/>
  <c r="R19" i="82"/>
  <c r="R42" i="82"/>
  <c r="R38" i="82"/>
  <c r="R51" i="82"/>
  <c r="R33" i="82"/>
  <c r="R29" i="82"/>
  <c r="R20" i="82"/>
  <c r="R43" i="82"/>
  <c r="R39" i="82"/>
  <c r="R35" i="82"/>
  <c r="R34" i="82"/>
  <c r="R30" i="82"/>
  <c r="R26" i="82"/>
  <c r="R21" i="82"/>
  <c r="R44" i="82"/>
  <c r="R40" i="82"/>
  <c r="R36" i="82"/>
  <c r="R25" i="82"/>
  <c r="R23" i="82"/>
  <c r="R45" i="82"/>
  <c r="R41" i="82"/>
  <c r="R37" i="82"/>
  <c r="R18" i="82"/>
  <c r="P23" i="82"/>
  <c r="R31" i="82"/>
  <c r="R27" i="82"/>
  <c r="H27" i="8"/>
  <c r="N18" i="8"/>
  <c r="D27" i="8"/>
  <c r="L18" i="8"/>
  <c r="D24" i="104"/>
  <c r="L16" i="104"/>
  <c r="D56" i="99"/>
  <c r="L16" i="99"/>
  <c r="H98" i="95"/>
  <c r="N23" i="95"/>
  <c r="L18" i="92"/>
  <c r="D78" i="92"/>
  <c r="R20" i="94"/>
  <c r="H88" i="87"/>
  <c r="N19" i="87"/>
  <c r="R109" i="84"/>
  <c r="R108" i="84"/>
  <c r="R81" i="84"/>
  <c r="R80" i="84"/>
  <c r="R45" i="84"/>
  <c r="R40" i="84"/>
  <c r="R36" i="84"/>
  <c r="R103" i="84"/>
  <c r="R92" i="84"/>
  <c r="R91" i="84"/>
  <c r="R72" i="84"/>
  <c r="R71" i="84"/>
  <c r="R63" i="84"/>
  <c r="R59" i="84"/>
  <c r="R44" i="84"/>
  <c r="R121" i="84"/>
  <c r="R111" i="84"/>
  <c r="R110" i="84"/>
  <c r="R99" i="84"/>
  <c r="R98" i="84"/>
  <c r="R83" i="84"/>
  <c r="R82" i="84"/>
  <c r="R55" i="84"/>
  <c r="R54" i="84"/>
  <c r="R50" i="84"/>
  <c r="R46" i="84"/>
  <c r="P42" i="84"/>
  <c r="R93" i="84"/>
  <c r="R74" i="84"/>
  <c r="R73" i="84"/>
  <c r="R112" i="84"/>
  <c r="R104" i="84"/>
  <c r="R100" i="84"/>
  <c r="R85" i="84"/>
  <c r="R84" i="84"/>
  <c r="R64" i="84"/>
  <c r="R60" i="84"/>
  <c r="R56" i="84"/>
  <c r="R76" i="84"/>
  <c r="R75" i="84"/>
  <c r="R51" i="84"/>
  <c r="R47" i="84"/>
  <c r="R94" i="84"/>
  <c r="R87" i="84"/>
  <c r="R86" i="84"/>
  <c r="R38" i="84"/>
  <c r="R114" i="84"/>
  <c r="R113" i="84"/>
  <c r="R106" i="84"/>
  <c r="R105" i="84"/>
  <c r="R101" i="84"/>
  <c r="R78" i="84"/>
  <c r="R77" i="84"/>
  <c r="R66" i="84"/>
  <c r="R65" i="84"/>
  <c r="R61" i="84"/>
  <c r="R57" i="84"/>
  <c r="R117" i="84"/>
  <c r="R102" i="84"/>
  <c r="R90" i="84"/>
  <c r="R62" i="84"/>
  <c r="R58" i="84"/>
  <c r="R35" i="84"/>
  <c r="X12" i="84"/>
  <c r="Z12" i="84" s="1"/>
  <c r="R97" i="84"/>
  <c r="R70" i="84"/>
  <c r="R69" i="84"/>
  <c r="R53" i="84"/>
  <c r="R49" i="84"/>
  <c r="R68" i="84"/>
  <c r="R48" i="84"/>
  <c r="R115" i="84"/>
  <c r="R107" i="84"/>
  <c r="R52" i="84"/>
  <c r="R88" i="84"/>
  <c r="R95" i="84"/>
  <c r="R39" i="84"/>
  <c r="R37" i="84"/>
  <c r="R79" i="84"/>
  <c r="R67" i="84"/>
  <c r="R89" i="84"/>
  <c r="R96" i="84"/>
  <c r="T116" i="70"/>
  <c r="H96" i="68"/>
  <c r="N16" i="55"/>
  <c r="H33" i="55"/>
  <c r="H26" i="54"/>
  <c r="N22" i="54"/>
  <c r="H71" i="48"/>
  <c r="V28" i="39"/>
  <c r="F87" i="45"/>
  <c r="F83" i="45"/>
  <c r="F71" i="45"/>
  <c r="F63" i="45"/>
  <c r="F62" i="45"/>
  <c r="F51" i="45"/>
  <c r="F50" i="45"/>
  <c r="F35" i="45"/>
  <c r="F31" i="45"/>
  <c r="F27" i="45"/>
  <c r="F26" i="45"/>
  <c r="F25" i="45"/>
  <c r="F93" i="45"/>
  <c r="F77" i="45"/>
  <c r="F65" i="45"/>
  <c r="F64" i="45"/>
  <c r="F53" i="45"/>
  <c r="F52" i="45"/>
  <c r="F45" i="45"/>
  <c r="F41" i="45"/>
  <c r="D23" i="45"/>
  <c r="F23" i="45" s="1"/>
  <c r="F88" i="45"/>
  <c r="F84" i="45"/>
  <c r="F72" i="45"/>
  <c r="F36" i="45"/>
  <c r="F32" i="45"/>
  <c r="F28" i="45"/>
  <c r="L12" i="45"/>
  <c r="N12" i="45" s="1"/>
  <c r="F95" i="45"/>
  <c r="F94" i="45"/>
  <c r="F79" i="45"/>
  <c r="F78" i="45"/>
  <c r="F67" i="45"/>
  <c r="F66" i="45"/>
  <c r="F55" i="45"/>
  <c r="F54" i="45"/>
  <c r="F19" i="45"/>
  <c r="F18" i="45"/>
  <c r="F74" i="45"/>
  <c r="F73" i="45"/>
  <c r="F46" i="45"/>
  <c r="F42" i="45"/>
  <c r="F38" i="45"/>
  <c r="F37" i="45"/>
  <c r="F97" i="45"/>
  <c r="F96" i="45"/>
  <c r="F89" i="45"/>
  <c r="F85" i="45"/>
  <c r="F81" i="45"/>
  <c r="F80" i="45"/>
  <c r="F69" i="45"/>
  <c r="F68" i="45"/>
  <c r="F57" i="45"/>
  <c r="F56" i="45"/>
  <c r="F20" i="45"/>
  <c r="F75" i="45"/>
  <c r="F59" i="45"/>
  <c r="F58" i="45"/>
  <c r="F47" i="45"/>
  <c r="F43" i="45"/>
  <c r="F39" i="45"/>
  <c r="F103" i="45"/>
  <c r="F61" i="45"/>
  <c r="F60" i="45"/>
  <c r="F49" i="45"/>
  <c r="F48" i="45"/>
  <c r="F21" i="45"/>
  <c r="F70" i="45"/>
  <c r="F29" i="45"/>
  <c r="F40" i="45"/>
  <c r="F33" i="45"/>
  <c r="F99" i="45"/>
  <c r="F44" i="45"/>
  <c r="F91" i="45"/>
  <c r="F86" i="45"/>
  <c r="F30" i="45"/>
  <c r="F34" i="45"/>
  <c r="F76" i="45"/>
  <c r="F82" i="45"/>
  <c r="F90" i="45"/>
  <c r="F92" i="45"/>
  <c r="R96" i="45"/>
  <c r="R95" i="45"/>
  <c r="R80" i="45"/>
  <c r="R79" i="45"/>
  <c r="R68" i="45"/>
  <c r="R67" i="45"/>
  <c r="R56" i="45"/>
  <c r="R55" i="45"/>
  <c r="R19" i="45"/>
  <c r="R74" i="45"/>
  <c r="R46" i="45"/>
  <c r="R42" i="45"/>
  <c r="R38" i="45"/>
  <c r="R97" i="45"/>
  <c r="R89" i="45"/>
  <c r="R85" i="45"/>
  <c r="R81" i="45"/>
  <c r="R69" i="45"/>
  <c r="R58" i="45"/>
  <c r="R57" i="45"/>
  <c r="R33" i="45"/>
  <c r="R29" i="45"/>
  <c r="R99" i="45"/>
  <c r="R20" i="45"/>
  <c r="R75" i="45"/>
  <c r="R60" i="45"/>
  <c r="R59" i="45"/>
  <c r="R48" i="45"/>
  <c r="R47" i="45"/>
  <c r="R43" i="45"/>
  <c r="R39" i="45"/>
  <c r="R91" i="45"/>
  <c r="R90" i="45"/>
  <c r="R86" i="45"/>
  <c r="R82" i="45"/>
  <c r="R70" i="45"/>
  <c r="R34" i="45"/>
  <c r="R30" i="45"/>
  <c r="R103" i="45"/>
  <c r="R62" i="45"/>
  <c r="R61" i="45"/>
  <c r="R50" i="45"/>
  <c r="R49" i="45"/>
  <c r="R92" i="45"/>
  <c r="R76" i="45"/>
  <c r="R44" i="45"/>
  <c r="R40" i="45"/>
  <c r="R25" i="45"/>
  <c r="R87" i="45"/>
  <c r="R83" i="45"/>
  <c r="R71" i="45"/>
  <c r="R64" i="45"/>
  <c r="R63" i="45"/>
  <c r="R52" i="45"/>
  <c r="R51" i="45"/>
  <c r="R35" i="45"/>
  <c r="R31" i="45"/>
  <c r="R27" i="45"/>
  <c r="P23" i="45"/>
  <c r="R23" i="45" s="1"/>
  <c r="R94" i="45"/>
  <c r="R93" i="45"/>
  <c r="R78" i="45"/>
  <c r="R77" i="45"/>
  <c r="R66" i="45"/>
  <c r="R65" i="45"/>
  <c r="R54" i="45"/>
  <c r="R53" i="45"/>
  <c r="R45" i="45"/>
  <c r="R41" i="45"/>
  <c r="R18" i="45"/>
  <c r="R84" i="45"/>
  <c r="R72" i="45"/>
  <c r="R26" i="45"/>
  <c r="R37" i="45"/>
  <c r="R28" i="45"/>
  <c r="X12" i="45"/>
  <c r="Z12" i="45" s="1"/>
  <c r="R88" i="45"/>
  <c r="R32" i="45"/>
  <c r="R73" i="45"/>
  <c r="R21" i="45"/>
  <c r="R36" i="45"/>
  <c r="R27" i="36"/>
  <c r="H106" i="21"/>
  <c r="T102" i="9"/>
  <c r="Z17" i="9"/>
  <c r="R257" i="3"/>
  <c r="R214" i="3"/>
  <c r="R213" i="3"/>
  <c r="R190" i="3"/>
  <c r="R189" i="3"/>
  <c r="R181" i="3"/>
  <c r="R174" i="3"/>
  <c r="R173" i="3"/>
  <c r="R158" i="3"/>
  <c r="R157" i="3"/>
  <c r="R153" i="3"/>
  <c r="R149" i="3"/>
  <c r="R202" i="3"/>
  <c r="R170" i="3"/>
  <c r="R147" i="3"/>
  <c r="R138" i="3"/>
  <c r="R134" i="3"/>
  <c r="R126" i="3"/>
  <c r="R118" i="3"/>
  <c r="R114" i="3"/>
  <c r="R258" i="3"/>
  <c r="R225" i="3"/>
  <c r="R224" i="3"/>
  <c r="R220" i="3"/>
  <c r="R209" i="3"/>
  <c r="R208" i="3"/>
  <c r="R197" i="3"/>
  <c r="R196" i="3"/>
  <c r="R140" i="3"/>
  <c r="R136" i="3"/>
  <c r="R132" i="3"/>
  <c r="R128" i="3"/>
  <c r="R124" i="3"/>
  <c r="R120" i="3"/>
  <c r="R116" i="3"/>
  <c r="R112" i="3"/>
  <c r="R108" i="3"/>
  <c r="R104" i="3"/>
  <c r="R100" i="3"/>
  <c r="R222" i="3"/>
  <c r="R178" i="3"/>
  <c r="R171" i="3"/>
  <c r="R259" i="3"/>
  <c r="R247" i="3"/>
  <c r="R240" i="3"/>
  <c r="R239" i="3"/>
  <c r="R235" i="3"/>
  <c r="R231" i="3"/>
  <c r="R215" i="3"/>
  <c r="R191" i="3"/>
  <c r="R176" i="3"/>
  <c r="R175" i="3"/>
  <c r="R167" i="3"/>
  <c r="R163" i="3"/>
  <c r="R159" i="3"/>
  <c r="R268" i="3"/>
  <c r="R242" i="3"/>
  <c r="R203" i="3"/>
  <c r="R226" i="3"/>
  <c r="R210" i="3"/>
  <c r="R199" i="3"/>
  <c r="R198" i="3"/>
  <c r="R183" i="3"/>
  <c r="R182" i="3"/>
  <c r="R154" i="3"/>
  <c r="R150" i="3"/>
  <c r="R241" i="3"/>
  <c r="R221" i="3"/>
  <c r="R177" i="3"/>
  <c r="R141" i="3"/>
  <c r="R137" i="3"/>
  <c r="R133" i="3"/>
  <c r="R129" i="3"/>
  <c r="R125" i="3"/>
  <c r="R121" i="3"/>
  <c r="R117" i="3"/>
  <c r="R113" i="3"/>
  <c r="R109" i="3"/>
  <c r="R105" i="3"/>
  <c r="R101" i="3"/>
  <c r="R250" i="3"/>
  <c r="R243" i="3"/>
  <c r="R130" i="3"/>
  <c r="R122" i="3"/>
  <c r="R110" i="3"/>
  <c r="R98" i="3"/>
  <c r="X12" i="3"/>
  <c r="Z12" i="3" s="1"/>
  <c r="R249" i="3"/>
  <c r="R248" i="3"/>
  <c r="R236" i="3"/>
  <c r="R232" i="3"/>
  <c r="R216" i="3"/>
  <c r="R201" i="3"/>
  <c r="R200" i="3"/>
  <c r="R193" i="3"/>
  <c r="R192" i="3"/>
  <c r="R184" i="3"/>
  <c r="R169" i="3"/>
  <c r="R168" i="3"/>
  <c r="R164" i="3"/>
  <c r="R160" i="3"/>
  <c r="R97" i="3"/>
  <c r="R267" i="3"/>
  <c r="R142" i="3"/>
  <c r="R106" i="3"/>
  <c r="R102" i="3"/>
  <c r="R263" i="3"/>
  <c r="R228" i="3"/>
  <c r="R227" i="3"/>
  <c r="R211" i="3"/>
  <c r="R155" i="3"/>
  <c r="R151" i="3"/>
  <c r="R194" i="3"/>
  <c r="R253" i="3"/>
  <c r="R252" i="3"/>
  <c r="R237" i="3"/>
  <c r="R233" i="3"/>
  <c r="R229" i="3"/>
  <c r="R217" i="3"/>
  <c r="R186" i="3"/>
  <c r="R185" i="3"/>
  <c r="R165" i="3"/>
  <c r="R161" i="3"/>
  <c r="R146" i="3"/>
  <c r="R144" i="3"/>
  <c r="R255" i="3"/>
  <c r="R223" i="3"/>
  <c r="R195" i="3"/>
  <c r="R188" i="3"/>
  <c r="R187" i="3"/>
  <c r="R180" i="3"/>
  <c r="R179" i="3"/>
  <c r="R139" i="3"/>
  <c r="R135" i="3"/>
  <c r="R131" i="3"/>
  <c r="R127" i="3"/>
  <c r="R123" i="3"/>
  <c r="R119" i="3"/>
  <c r="R115" i="3"/>
  <c r="R111" i="3"/>
  <c r="R107" i="3"/>
  <c r="R103" i="3"/>
  <c r="R99" i="3"/>
  <c r="R245" i="3"/>
  <c r="R205" i="3"/>
  <c r="R206" i="3"/>
  <c r="R148" i="3"/>
  <c r="R238" i="3"/>
  <c r="R204" i="3"/>
  <c r="R162" i="3"/>
  <c r="R254" i="3"/>
  <c r="R230" i="3"/>
  <c r="R219" i="3"/>
  <c r="R212" i="3"/>
  <c r="R256" i="3"/>
  <c r="R246" i="3"/>
  <c r="P144" i="3"/>
  <c r="R244" i="3"/>
  <c r="R207" i="3"/>
  <c r="R166" i="3"/>
  <c r="R152" i="3"/>
  <c r="R234" i="3"/>
  <c r="R218" i="3"/>
  <c r="R172" i="3"/>
  <c r="R156" i="3"/>
  <c r="X18" i="111"/>
  <c r="P27" i="111"/>
  <c r="L18" i="47"/>
  <c r="D27" i="47"/>
  <c r="D27" i="37"/>
  <c r="L18" i="37"/>
  <c r="L18" i="44"/>
  <c r="D27" i="44"/>
  <c r="L18" i="31"/>
  <c r="D27" i="31"/>
  <c r="H27" i="34"/>
  <c r="N18" i="34"/>
  <c r="L18" i="26"/>
  <c r="D27" i="26"/>
  <c r="X18" i="23"/>
  <c r="P27" i="23"/>
  <c r="H27" i="17"/>
  <c r="N18" i="17"/>
  <c r="L18" i="16"/>
  <c r="D27" i="16"/>
  <c r="H27" i="7"/>
  <c r="N18" i="7"/>
  <c r="H27" i="10"/>
  <c r="N18" i="10"/>
  <c r="T106" i="9" l="1"/>
  <c r="L27" i="13"/>
  <c r="D31" i="13"/>
  <c r="T40" i="55"/>
  <c r="N27" i="47"/>
  <c r="H31" i="47"/>
  <c r="D96" i="105"/>
  <c r="L23" i="105"/>
  <c r="N23" i="105" s="1"/>
  <c r="N26" i="54"/>
  <c r="H31" i="54"/>
  <c r="D31" i="46"/>
  <c r="L27" i="46"/>
  <c r="H84" i="33"/>
  <c r="J80" i="33"/>
  <c r="P26" i="54"/>
  <c r="X22" i="54"/>
  <c r="H31" i="23"/>
  <c r="N27" i="23"/>
  <c r="N27" i="52"/>
  <c r="H31" i="52"/>
  <c r="H31" i="28"/>
  <c r="N27" i="28"/>
  <c r="H31" i="38"/>
  <c r="N27" i="38"/>
  <c r="D242" i="18"/>
  <c r="L135" i="18"/>
  <c r="N135" i="18" s="1"/>
  <c r="P106" i="21"/>
  <c r="X24" i="21"/>
  <c r="Z24" i="21" s="1"/>
  <c r="Z27" i="34"/>
  <c r="T31" i="34"/>
  <c r="X27" i="20"/>
  <c r="P31" i="20"/>
  <c r="X27" i="46"/>
  <c r="P31" i="46"/>
  <c r="P89" i="97"/>
  <c r="X85" i="97"/>
  <c r="Z85" i="97" s="1"/>
  <c r="H90" i="107"/>
  <c r="J86" i="107"/>
  <c r="H31" i="49"/>
  <c r="N27" i="49"/>
  <c r="T153" i="74"/>
  <c r="V149" i="74"/>
  <c r="L98" i="95"/>
  <c r="D102" i="95"/>
  <c r="F98" i="95"/>
  <c r="X27" i="50"/>
  <c r="P31" i="50"/>
  <c r="T82" i="56"/>
  <c r="X27" i="10"/>
  <c r="P31" i="10"/>
  <c r="L27" i="52"/>
  <c r="D31" i="52"/>
  <c r="D31" i="10"/>
  <c r="L27" i="10"/>
  <c r="P88" i="91"/>
  <c r="X84" i="91"/>
  <c r="Z84" i="91" s="1"/>
  <c r="P96" i="105"/>
  <c r="X23" i="105"/>
  <c r="Z23" i="105" s="1"/>
  <c r="T92" i="103"/>
  <c r="V88" i="103"/>
  <c r="T31" i="32"/>
  <c r="Z27" i="32"/>
  <c r="X60" i="61"/>
  <c r="Z60" i="61" s="1"/>
  <c r="P64" i="61"/>
  <c r="L25" i="98"/>
  <c r="D29" i="98"/>
  <c r="F25" i="98"/>
  <c r="X27" i="16"/>
  <c r="P31" i="16"/>
  <c r="L71" i="109"/>
  <c r="N71" i="109" s="1"/>
  <c r="D75" i="109"/>
  <c r="F71" i="109"/>
  <c r="H31" i="29"/>
  <c r="N27" i="29"/>
  <c r="X27" i="111"/>
  <c r="P31" i="111"/>
  <c r="H37" i="55"/>
  <c r="L27" i="8"/>
  <c r="D31" i="8"/>
  <c r="H31" i="4"/>
  <c r="N27" i="4"/>
  <c r="X27" i="19"/>
  <c r="P31" i="19"/>
  <c r="J112" i="70"/>
  <c r="H116" i="70"/>
  <c r="H60" i="99"/>
  <c r="X27" i="5"/>
  <c r="P31" i="5"/>
  <c r="L27" i="111"/>
  <c r="D31" i="111"/>
  <c r="Z24" i="108"/>
  <c r="T28" i="108"/>
  <c r="P31" i="110"/>
  <c r="X27" i="110"/>
  <c r="H229" i="12"/>
  <c r="J225" i="12"/>
  <c r="P69" i="69"/>
  <c r="X65" i="69"/>
  <c r="Z65" i="69" s="1"/>
  <c r="D88" i="103"/>
  <c r="L23" i="103"/>
  <c r="N23" i="103" s="1"/>
  <c r="H31" i="20"/>
  <c r="N27" i="20"/>
  <c r="P62" i="102"/>
  <c r="X58" i="102"/>
  <c r="Z58" i="102" s="1"/>
  <c r="Z27" i="111"/>
  <c r="T31" i="111"/>
  <c r="D64" i="61"/>
  <c r="L60" i="61"/>
  <c r="H85" i="94"/>
  <c r="H75" i="109"/>
  <c r="J71" i="109"/>
  <c r="L27" i="53"/>
  <c r="D31" i="53"/>
  <c r="P26" i="6"/>
  <c r="X22" i="6"/>
  <c r="D31" i="28"/>
  <c r="L27" i="28"/>
  <c r="X27" i="35"/>
  <c r="P31" i="35"/>
  <c r="D261" i="3"/>
  <c r="L144" i="3"/>
  <c r="N144" i="3" s="1"/>
  <c r="J131" i="39"/>
  <c r="T124" i="42"/>
  <c r="V120" i="42"/>
  <c r="P112" i="70"/>
  <c r="X51" i="70"/>
  <c r="Z51" i="70" s="1"/>
  <c r="J77" i="72"/>
  <c r="T31" i="37"/>
  <c r="Z27" i="37"/>
  <c r="X70" i="72"/>
  <c r="P74" i="72"/>
  <c r="P31" i="31"/>
  <c r="X27" i="31"/>
  <c r="H265" i="3"/>
  <c r="J261" i="3"/>
  <c r="Z71" i="59"/>
  <c r="T75" i="59"/>
  <c r="H84" i="75"/>
  <c r="J80" i="75"/>
  <c r="N25" i="98"/>
  <c r="H29" i="98"/>
  <c r="H31" i="34"/>
  <c r="N27" i="34"/>
  <c r="D31" i="23"/>
  <c r="L27" i="23"/>
  <c r="P165" i="30"/>
  <c r="X76" i="30"/>
  <c r="Z76" i="30" s="1"/>
  <c r="X75" i="48"/>
  <c r="P78" i="48"/>
  <c r="R75" i="48"/>
  <c r="T92" i="97"/>
  <c r="T105" i="76"/>
  <c r="V101" i="76"/>
  <c r="P75" i="109"/>
  <c r="X71" i="109"/>
  <c r="Z71" i="109" s="1"/>
  <c r="R71" i="109"/>
  <c r="D31" i="17"/>
  <c r="L27" i="17"/>
  <c r="D91" i="91"/>
  <c r="P31" i="11"/>
  <c r="X27" i="11"/>
  <c r="L27" i="31"/>
  <c r="D31" i="31"/>
  <c r="H99" i="68"/>
  <c r="J96" i="68"/>
  <c r="N27" i="8"/>
  <c r="H31" i="8"/>
  <c r="T31" i="110"/>
  <c r="Z27" i="110"/>
  <c r="H64" i="61"/>
  <c r="N60" i="61"/>
  <c r="Z29" i="98"/>
  <c r="T32" i="98"/>
  <c r="Z32" i="98" s="1"/>
  <c r="Z27" i="46"/>
  <c r="T31" i="46"/>
  <c r="P31" i="7"/>
  <c r="X27" i="7"/>
  <c r="H109" i="9"/>
  <c r="P36" i="88"/>
  <c r="X32" i="88"/>
  <c r="Z32" i="88" s="1"/>
  <c r="D31" i="5"/>
  <c r="L27" i="5"/>
  <c r="F135" i="18"/>
  <c r="X28" i="85"/>
  <c r="Z28" i="85" s="1"/>
  <c r="P32" i="85"/>
  <c r="R28" i="85"/>
  <c r="P98" i="95"/>
  <c r="X23" i="95"/>
  <c r="Z23" i="95" s="1"/>
  <c r="D31" i="43"/>
  <c r="L27" i="43"/>
  <c r="T131" i="36"/>
  <c r="V127" i="36"/>
  <c r="H31" i="50"/>
  <c r="N27" i="50"/>
  <c r="H107" i="63"/>
  <c r="H94" i="83"/>
  <c r="J90" i="83"/>
  <c r="N32" i="88"/>
  <c r="H36" i="88"/>
  <c r="V97" i="83"/>
  <c r="T82" i="94"/>
  <c r="T110" i="21"/>
  <c r="V106" i="21"/>
  <c r="R76" i="30"/>
  <c r="T105" i="45"/>
  <c r="V101" i="45"/>
  <c r="P74" i="80"/>
  <c r="X70" i="80"/>
  <c r="Z70" i="80" s="1"/>
  <c r="X21" i="79"/>
  <c r="Z21" i="79" s="1"/>
  <c r="P78" i="79"/>
  <c r="X27" i="13"/>
  <c r="P31" i="13"/>
  <c r="N27" i="37"/>
  <c r="H31" i="37"/>
  <c r="P80" i="33"/>
  <c r="X26" i="33"/>
  <c r="Z26" i="33" s="1"/>
  <c r="T84" i="75"/>
  <c r="V80" i="75"/>
  <c r="P31" i="4"/>
  <c r="X27" i="4"/>
  <c r="Z27" i="40"/>
  <c r="T31" i="40"/>
  <c r="T246" i="18"/>
  <c r="V242" i="18"/>
  <c r="P31" i="14"/>
  <c r="X27" i="14"/>
  <c r="P31" i="43"/>
  <c r="X27" i="43"/>
  <c r="H169" i="30"/>
  <c r="J165" i="30"/>
  <c r="X33" i="55"/>
  <c r="Z33" i="55" s="1"/>
  <c r="P37" i="55"/>
  <c r="T78" i="109"/>
  <c r="V75" i="109"/>
  <c r="D82" i="92"/>
  <c r="L78" i="92"/>
  <c r="N78" i="92" s="1"/>
  <c r="X27" i="26"/>
  <c r="P31" i="26"/>
  <c r="D31" i="50"/>
  <c r="L27" i="50"/>
  <c r="D74" i="72"/>
  <c r="L70" i="72"/>
  <c r="N70" i="72" s="1"/>
  <c r="X27" i="29"/>
  <c r="P31" i="29"/>
  <c r="H92" i="97"/>
  <c r="X78" i="56"/>
  <c r="Z78" i="56" s="1"/>
  <c r="P82" i="56"/>
  <c r="T60" i="99"/>
  <c r="P31" i="49"/>
  <c r="X27" i="49"/>
  <c r="H62" i="102"/>
  <c r="N27" i="22"/>
  <c r="H31" i="22"/>
  <c r="H31" i="112"/>
  <c r="N27" i="112"/>
  <c r="P120" i="42"/>
  <c r="X25" i="42"/>
  <c r="Z25" i="42" s="1"/>
  <c r="Z27" i="19"/>
  <c r="T31" i="19"/>
  <c r="N27" i="53"/>
  <c r="H31" i="53"/>
  <c r="P104" i="63"/>
  <c r="X100" i="63"/>
  <c r="Z100" i="63" s="1"/>
  <c r="Z27" i="49"/>
  <c r="T31" i="49"/>
  <c r="L27" i="19"/>
  <c r="D31" i="19"/>
  <c r="D31" i="34"/>
  <c r="L27" i="34"/>
  <c r="P124" i="39"/>
  <c r="X28" i="39"/>
  <c r="Z28" i="39" s="1"/>
  <c r="D37" i="100"/>
  <c r="L34" i="100"/>
  <c r="P80" i="58"/>
  <c r="X76" i="58"/>
  <c r="T36" i="88"/>
  <c r="D31" i="14"/>
  <c r="L27" i="14"/>
  <c r="D78" i="94"/>
  <c r="L20" i="94"/>
  <c r="H102" i="95"/>
  <c r="N98" i="95"/>
  <c r="J98" i="95"/>
  <c r="H31" i="14"/>
  <c r="N27" i="14"/>
  <c r="H31" i="111"/>
  <c r="N27" i="111"/>
  <c r="P77" i="57"/>
  <c r="X73" i="57"/>
  <c r="Z73" i="57" s="1"/>
  <c r="D31" i="11"/>
  <c r="L27" i="11"/>
  <c r="N27" i="32"/>
  <c r="H31" i="32"/>
  <c r="D106" i="9"/>
  <c r="L102" i="9"/>
  <c r="N102" i="9" s="1"/>
  <c r="D83" i="93"/>
  <c r="L79" i="93"/>
  <c r="T77" i="57"/>
  <c r="Z27" i="26"/>
  <c r="T31" i="26"/>
  <c r="H222" i="15"/>
  <c r="J218" i="15"/>
  <c r="P82" i="92"/>
  <c r="X78" i="92"/>
  <c r="Z78" i="92" s="1"/>
  <c r="H75" i="59"/>
  <c r="T83" i="93"/>
  <c r="H153" i="74"/>
  <c r="J149" i="74"/>
  <c r="N27" i="44"/>
  <c r="H31" i="44"/>
  <c r="Z75" i="48"/>
  <c r="T78" i="48"/>
  <c r="V75" i="48"/>
  <c r="D77" i="57"/>
  <c r="L73" i="57"/>
  <c r="N73" i="57" s="1"/>
  <c r="H31" i="26"/>
  <c r="N27" i="26"/>
  <c r="Z27" i="41"/>
  <c r="T31" i="41"/>
  <c r="T31" i="54"/>
  <c r="Z26" i="54"/>
  <c r="D49" i="82"/>
  <c r="L23" i="82"/>
  <c r="N23" i="82" s="1"/>
  <c r="Z27" i="47"/>
  <c r="T31" i="47"/>
  <c r="H131" i="36"/>
  <c r="J127" i="36"/>
  <c r="H62" i="60"/>
  <c r="N58" i="60"/>
  <c r="P28" i="104"/>
  <c r="X24" i="104"/>
  <c r="L100" i="63"/>
  <c r="N100" i="63" s="1"/>
  <c r="D104" i="63"/>
  <c r="N27" i="7"/>
  <c r="H31" i="7"/>
  <c r="D31" i="16"/>
  <c r="L27" i="16"/>
  <c r="H92" i="87"/>
  <c r="P49" i="82"/>
  <c r="X23" i="82"/>
  <c r="Z23" i="82" s="1"/>
  <c r="L27" i="32"/>
  <c r="D31" i="32"/>
  <c r="D37" i="55"/>
  <c r="L33" i="55"/>
  <c r="N33" i="55" s="1"/>
  <c r="D88" i="87"/>
  <c r="L19" i="87"/>
  <c r="T34" i="100"/>
  <c r="Z30" i="100"/>
  <c r="D82" i="56"/>
  <c r="L78" i="56"/>
  <c r="N78" i="56" s="1"/>
  <c r="L101" i="76"/>
  <c r="D105" i="76"/>
  <c r="F101" i="76"/>
  <c r="Z27" i="5"/>
  <c r="T31" i="5"/>
  <c r="Z27" i="28"/>
  <c r="T31" i="28"/>
  <c r="X27" i="53"/>
  <c r="P31" i="53"/>
  <c r="D31" i="35"/>
  <c r="L27" i="35"/>
  <c r="Z27" i="31"/>
  <c r="T31" i="31"/>
  <c r="H31" i="5"/>
  <c r="N27" i="5"/>
  <c r="H31" i="25"/>
  <c r="N27" i="25"/>
  <c r="Z27" i="112"/>
  <c r="T31" i="112"/>
  <c r="H123" i="84"/>
  <c r="J119" i="84"/>
  <c r="X27" i="25"/>
  <c r="P31" i="25"/>
  <c r="L27" i="110"/>
  <c r="D31" i="110"/>
  <c r="P101" i="51"/>
  <c r="X46" i="51"/>
  <c r="Z46" i="51" s="1"/>
  <c r="P37" i="100"/>
  <c r="X34" i="100"/>
  <c r="P86" i="107"/>
  <c r="X19" i="107"/>
  <c r="Z19" i="107" s="1"/>
  <c r="P106" i="9"/>
  <c r="X102" i="9"/>
  <c r="Z102" i="9" s="1"/>
  <c r="P31" i="44"/>
  <c r="X27" i="44"/>
  <c r="L69" i="69"/>
  <c r="D72" i="69"/>
  <c r="L72" i="69" s="1"/>
  <c r="P31" i="22"/>
  <c r="X27" i="22"/>
  <c r="Z70" i="72"/>
  <c r="T74" i="72"/>
  <c r="V70" i="72"/>
  <c r="T53" i="82"/>
  <c r="V49" i="82"/>
  <c r="Z27" i="14"/>
  <c r="T31" i="14"/>
  <c r="Z27" i="52"/>
  <c r="T31" i="52"/>
  <c r="L71" i="59"/>
  <c r="N71" i="59" s="1"/>
  <c r="T102" i="95"/>
  <c r="V98" i="95"/>
  <c r="L27" i="38"/>
  <c r="D31" i="38"/>
  <c r="P31" i="112"/>
  <c r="X27" i="112"/>
  <c r="T91" i="91"/>
  <c r="L27" i="44"/>
  <c r="D31" i="44"/>
  <c r="D60" i="99"/>
  <c r="L56" i="99"/>
  <c r="N56" i="99" s="1"/>
  <c r="T31" i="10"/>
  <c r="Z27" i="10"/>
  <c r="D84" i="33"/>
  <c r="L80" i="33"/>
  <c r="N80" i="33" s="1"/>
  <c r="F80" i="33"/>
  <c r="T85" i="92"/>
  <c r="P43" i="101"/>
  <c r="X39" i="101"/>
  <c r="H96" i="24"/>
  <c r="J92" i="24"/>
  <c r="Z27" i="50"/>
  <c r="T31" i="50"/>
  <c r="H246" i="18"/>
  <c r="J242" i="18"/>
  <c r="P31" i="8"/>
  <c r="X27" i="8"/>
  <c r="H124" i="42"/>
  <c r="J120" i="42"/>
  <c r="L51" i="70"/>
  <c r="N51" i="70" s="1"/>
  <c r="D112" i="70"/>
  <c r="P31" i="28"/>
  <c r="X27" i="28"/>
  <c r="L22" i="54"/>
  <c r="D26" i="54"/>
  <c r="Z27" i="16"/>
  <c r="T31" i="16"/>
  <c r="T31" i="38"/>
  <c r="Z27" i="38"/>
  <c r="R28" i="39"/>
  <c r="L17" i="48"/>
  <c r="N17" i="48" s="1"/>
  <c r="D71" i="48"/>
  <c r="X35" i="68"/>
  <c r="Z35" i="68" s="1"/>
  <c r="P92" i="68"/>
  <c r="H46" i="101"/>
  <c r="N27" i="43"/>
  <c r="H31" i="43"/>
  <c r="P218" i="15"/>
  <c r="X112" i="15"/>
  <c r="Z112" i="15" s="1"/>
  <c r="T105" i="51"/>
  <c r="V101" i="51"/>
  <c r="L75" i="59"/>
  <c r="D78" i="59"/>
  <c r="D149" i="74"/>
  <c r="L76" i="74"/>
  <c r="N76" i="74" s="1"/>
  <c r="H110" i="21"/>
  <c r="J106" i="21"/>
  <c r="X27" i="34"/>
  <c r="P31" i="34"/>
  <c r="D127" i="36"/>
  <c r="L27" i="36"/>
  <c r="N27" i="36" s="1"/>
  <c r="T28" i="104"/>
  <c r="Z24" i="104"/>
  <c r="T31" i="11"/>
  <c r="Z27" i="11"/>
  <c r="H31" i="40"/>
  <c r="N27" i="40"/>
  <c r="T67" i="61"/>
  <c r="D80" i="75"/>
  <c r="L26" i="75"/>
  <c r="N26" i="75" s="1"/>
  <c r="T31" i="4"/>
  <c r="Z27" i="4"/>
  <c r="P31" i="32"/>
  <c r="X27" i="32"/>
  <c r="D31" i="41"/>
  <c r="L27" i="41"/>
  <c r="P82" i="94"/>
  <c r="X78" i="94"/>
  <c r="Z78" i="94" s="1"/>
  <c r="R78" i="94"/>
  <c r="T100" i="105"/>
  <c r="V96" i="105"/>
  <c r="T31" i="44"/>
  <c r="Z27" i="44"/>
  <c r="N27" i="31"/>
  <c r="H31" i="31"/>
  <c r="N27" i="110"/>
  <c r="H31" i="110"/>
  <c r="T96" i="24"/>
  <c r="V92" i="24"/>
  <c r="L70" i="80"/>
  <c r="N70" i="80" s="1"/>
  <c r="D74" i="80"/>
  <c r="P95" i="87"/>
  <c r="X92" i="87"/>
  <c r="J95" i="103"/>
  <c r="L112" i="15"/>
  <c r="N112" i="15" s="1"/>
  <c r="D218" i="15"/>
  <c r="X80" i="75"/>
  <c r="Z80" i="75" s="1"/>
  <c r="P84" i="75"/>
  <c r="R80" i="75"/>
  <c r="N24" i="104"/>
  <c r="H28" i="104"/>
  <c r="P101" i="76"/>
  <c r="X46" i="76"/>
  <c r="Z46" i="76" s="1"/>
  <c r="X27" i="40"/>
  <c r="P31" i="40"/>
  <c r="D31" i="49"/>
  <c r="L27" i="49"/>
  <c r="X79" i="93"/>
  <c r="Z79" i="93" s="1"/>
  <c r="P83" i="93"/>
  <c r="Z22" i="6"/>
  <c r="T26" i="6"/>
  <c r="T169" i="30"/>
  <c r="V165" i="30"/>
  <c r="T31" i="20"/>
  <c r="Z27" i="20"/>
  <c r="H100" i="105"/>
  <c r="J96" i="105"/>
  <c r="H31" i="10"/>
  <c r="N27" i="10"/>
  <c r="H88" i="91"/>
  <c r="N84" i="91"/>
  <c r="X75" i="59"/>
  <c r="P78" i="59"/>
  <c r="D106" i="21"/>
  <c r="L24" i="21"/>
  <c r="N24" i="21" s="1"/>
  <c r="T31" i="22"/>
  <c r="Z27" i="22"/>
  <c r="L116" i="12"/>
  <c r="N116" i="12" s="1"/>
  <c r="D225" i="12"/>
  <c r="H31" i="13"/>
  <c r="N27" i="13"/>
  <c r="D31" i="37"/>
  <c r="L27" i="37"/>
  <c r="D101" i="45"/>
  <c r="L23" i="45"/>
  <c r="N23" i="45" s="1"/>
  <c r="P31" i="23"/>
  <c r="X27" i="23"/>
  <c r="D31" i="47"/>
  <c r="L27" i="47"/>
  <c r="P261" i="3"/>
  <c r="X144" i="3"/>
  <c r="Z144" i="3" s="1"/>
  <c r="X42" i="84"/>
  <c r="Z42" i="84" s="1"/>
  <c r="P119" i="84"/>
  <c r="R42" i="84"/>
  <c r="L24" i="104"/>
  <c r="D28" i="104"/>
  <c r="N27" i="11"/>
  <c r="H31" i="11"/>
  <c r="D169" i="30"/>
  <c r="L165" i="30"/>
  <c r="N165" i="30" s="1"/>
  <c r="F165" i="30"/>
  <c r="F27" i="36"/>
  <c r="D101" i="51"/>
  <c r="L46" i="51"/>
  <c r="N46" i="51" s="1"/>
  <c r="D82" i="79"/>
  <c r="L78" i="79"/>
  <c r="H32" i="85"/>
  <c r="J28" i="85"/>
  <c r="D31" i="22"/>
  <c r="L27" i="22"/>
  <c r="T229" i="12"/>
  <c r="V225" i="12"/>
  <c r="T84" i="33"/>
  <c r="V80" i="33"/>
  <c r="L90" i="83"/>
  <c r="N90" i="83" s="1"/>
  <c r="D94" i="83"/>
  <c r="H77" i="80"/>
  <c r="N27" i="16"/>
  <c r="H31" i="16"/>
  <c r="T31" i="53"/>
  <c r="Z27" i="53"/>
  <c r="D62" i="60"/>
  <c r="L58" i="60"/>
  <c r="T32" i="85"/>
  <c r="V28" i="85"/>
  <c r="X27" i="17"/>
  <c r="P31" i="17"/>
  <c r="T80" i="58"/>
  <c r="Z76" i="58"/>
  <c r="X35" i="24"/>
  <c r="Z35" i="24" s="1"/>
  <c r="P92" i="24"/>
  <c r="Z27" i="35"/>
  <c r="T31" i="35"/>
  <c r="P149" i="74"/>
  <c r="X76" i="74"/>
  <c r="Z76" i="74" s="1"/>
  <c r="N27" i="19"/>
  <c r="H31" i="19"/>
  <c r="X58" i="60"/>
  <c r="Z58" i="60" s="1"/>
  <c r="P62" i="60"/>
  <c r="R51" i="70"/>
  <c r="D36" i="88"/>
  <c r="L32" i="88"/>
  <c r="P60" i="99"/>
  <c r="X56" i="99"/>
  <c r="Z56" i="99" s="1"/>
  <c r="Z27" i="25"/>
  <c r="T31" i="25"/>
  <c r="F23" i="82"/>
  <c r="T43" i="101"/>
  <c r="Z39" i="101"/>
  <c r="L27" i="25"/>
  <c r="D31" i="25"/>
  <c r="J101" i="51"/>
  <c r="H105" i="51"/>
  <c r="N34" i="100"/>
  <c r="H37" i="100"/>
  <c r="T128" i="39"/>
  <c r="V124" i="39"/>
  <c r="Z27" i="8"/>
  <c r="T31" i="8"/>
  <c r="H80" i="57"/>
  <c r="T31" i="23"/>
  <c r="Z27" i="23"/>
  <c r="T117" i="27"/>
  <c r="V113" i="27"/>
  <c r="N101" i="76"/>
  <c r="H105" i="76"/>
  <c r="J101" i="76"/>
  <c r="N27" i="17"/>
  <c r="H31" i="17"/>
  <c r="H75" i="48"/>
  <c r="J71" i="48"/>
  <c r="T119" i="70"/>
  <c r="V116" i="70"/>
  <c r="D28" i="85"/>
  <c r="L20" i="85"/>
  <c r="N20" i="85" s="1"/>
  <c r="P31" i="38"/>
  <c r="X27" i="38"/>
  <c r="H83" i="93"/>
  <c r="N79" i="93"/>
  <c r="H31" i="41"/>
  <c r="N27" i="41"/>
  <c r="D128" i="39"/>
  <c r="L124" i="39"/>
  <c r="N124" i="39" s="1"/>
  <c r="F124" i="39"/>
  <c r="H82" i="79"/>
  <c r="N78" i="79"/>
  <c r="J78" i="79"/>
  <c r="X17" i="98"/>
  <c r="P25" i="98"/>
  <c r="Z27" i="17"/>
  <c r="T31" i="17"/>
  <c r="H31" i="35"/>
  <c r="N27" i="35"/>
  <c r="D31" i="40"/>
  <c r="L27" i="40"/>
  <c r="H82" i="92"/>
  <c r="T62" i="102"/>
  <c r="D83" i="58"/>
  <c r="L80" i="58"/>
  <c r="P242" i="18"/>
  <c r="X135" i="18"/>
  <c r="Z135" i="18" s="1"/>
  <c r="H31" i="46"/>
  <c r="N27" i="46"/>
  <c r="L35" i="24"/>
  <c r="N35" i="24" s="1"/>
  <c r="D92" i="24"/>
  <c r="T65" i="60"/>
  <c r="T82" i="79"/>
  <c r="V78" i="79"/>
  <c r="P28" i="108"/>
  <c r="X24" i="108"/>
  <c r="D31" i="29"/>
  <c r="L27" i="29"/>
  <c r="X27" i="41"/>
  <c r="P31" i="41"/>
  <c r="D31" i="112"/>
  <c r="L27" i="112"/>
  <c r="L120" i="42"/>
  <c r="N120" i="42" s="1"/>
  <c r="D124" i="42"/>
  <c r="F120" i="42"/>
  <c r="P90" i="83"/>
  <c r="X21" i="83"/>
  <c r="Z21" i="83" s="1"/>
  <c r="T96" i="68"/>
  <c r="V92" i="68"/>
  <c r="L39" i="101"/>
  <c r="N39" i="101" s="1"/>
  <c r="D43" i="101"/>
  <c r="N76" i="58"/>
  <c r="H80" i="58"/>
  <c r="T95" i="87"/>
  <c r="Z92" i="87"/>
  <c r="L89" i="97"/>
  <c r="N89" i="97" s="1"/>
  <c r="D92" i="97"/>
  <c r="L92" i="97" s="1"/>
  <c r="Z27" i="29"/>
  <c r="T31" i="29"/>
  <c r="H105" i="45"/>
  <c r="J101" i="45"/>
  <c r="P101" i="45"/>
  <c r="X23" i="45"/>
  <c r="Z23" i="45" s="1"/>
  <c r="D31" i="26"/>
  <c r="L27" i="26"/>
  <c r="T31" i="7"/>
  <c r="Z27" i="7"/>
  <c r="D86" i="107"/>
  <c r="L19" i="107"/>
  <c r="N19" i="107" s="1"/>
  <c r="T31" i="43"/>
  <c r="Z27" i="43"/>
  <c r="L27" i="7"/>
  <c r="D31" i="7"/>
  <c r="H117" i="27"/>
  <c r="J113" i="27"/>
  <c r="D113" i="27"/>
  <c r="L52" i="27"/>
  <c r="N52" i="27" s="1"/>
  <c r="X23" i="103"/>
  <c r="Z23" i="103" s="1"/>
  <c r="P88" i="103"/>
  <c r="P113" i="27"/>
  <c r="X52" i="27"/>
  <c r="Z52" i="27" s="1"/>
  <c r="T72" i="69"/>
  <c r="V69" i="69"/>
  <c r="F23" i="105"/>
  <c r="T31" i="13"/>
  <c r="Z27" i="13"/>
  <c r="D26" i="6"/>
  <c r="L22" i="6"/>
  <c r="T222" i="15"/>
  <c r="V218" i="15"/>
  <c r="X27" i="52"/>
  <c r="P31" i="52"/>
  <c r="L27" i="20"/>
  <c r="D31" i="20"/>
  <c r="P131" i="36"/>
  <c r="X127" i="36"/>
  <c r="Z127" i="36" s="1"/>
  <c r="R127" i="36"/>
  <c r="T90" i="107"/>
  <c r="V86" i="107"/>
  <c r="F112" i="15"/>
  <c r="D31" i="4"/>
  <c r="L27" i="4"/>
  <c r="X27" i="47"/>
  <c r="P31" i="47"/>
  <c r="L42" i="84"/>
  <c r="N42" i="84" s="1"/>
  <c r="D119" i="84"/>
  <c r="X27" i="37"/>
  <c r="P31" i="37"/>
  <c r="H26" i="6"/>
  <c r="N22" i="6"/>
  <c r="D92" i="68"/>
  <c r="L35" i="68"/>
  <c r="N35" i="68" s="1"/>
  <c r="D62" i="102"/>
  <c r="L58" i="102"/>
  <c r="N58" i="102" s="1"/>
  <c r="X116" i="12"/>
  <c r="Z116" i="12" s="1"/>
  <c r="P225" i="12"/>
  <c r="T123" i="84"/>
  <c r="V119" i="84"/>
  <c r="H31" i="108"/>
  <c r="N28" i="108"/>
  <c r="L28" i="108"/>
  <c r="T99" i="68" l="1"/>
  <c r="V96" i="68"/>
  <c r="D31" i="6"/>
  <c r="L26" i="6"/>
  <c r="X31" i="52"/>
  <c r="P36" i="52"/>
  <c r="D36" i="112"/>
  <c r="L31" i="112"/>
  <c r="X31" i="41"/>
  <c r="P36" i="41"/>
  <c r="X31" i="37"/>
  <c r="P36" i="37"/>
  <c r="X88" i="103"/>
  <c r="Z88" i="103" s="1"/>
  <c r="P92" i="103"/>
  <c r="R88" i="103"/>
  <c r="T36" i="43"/>
  <c r="Z36" i="43" s="1"/>
  <c r="Z31" i="43"/>
  <c r="N82" i="92"/>
  <c r="H85" i="92"/>
  <c r="H108" i="76"/>
  <c r="J105" i="76"/>
  <c r="N31" i="16"/>
  <c r="H36" i="16"/>
  <c r="N36" i="16" s="1"/>
  <c r="D229" i="12"/>
  <c r="L225" i="12"/>
  <c r="N225" i="12" s="1"/>
  <c r="F225" i="12"/>
  <c r="X84" i="75"/>
  <c r="P87" i="75"/>
  <c r="R84" i="75"/>
  <c r="P85" i="94"/>
  <c r="X82" i="94"/>
  <c r="R82" i="94"/>
  <c r="D63" i="99"/>
  <c r="L60" i="99"/>
  <c r="X86" i="107"/>
  <c r="Z86" i="107" s="1"/>
  <c r="P90" i="107"/>
  <c r="Z31" i="112"/>
  <c r="T36" i="112"/>
  <c r="Z36" i="112" s="1"/>
  <c r="Z31" i="54"/>
  <c r="H225" i="15"/>
  <c r="J222" i="15"/>
  <c r="N31" i="32"/>
  <c r="H36" i="32"/>
  <c r="N36" i="32" s="1"/>
  <c r="Z36" i="88"/>
  <c r="T39" i="88"/>
  <c r="V78" i="109"/>
  <c r="H97" i="83"/>
  <c r="J94" i="83"/>
  <c r="N31" i="8"/>
  <c r="H36" i="8"/>
  <c r="N36" i="8" s="1"/>
  <c r="D36" i="17"/>
  <c r="L31" i="17"/>
  <c r="N29" i="98"/>
  <c r="H32" i="98"/>
  <c r="N32" i="98" s="1"/>
  <c r="X74" i="72"/>
  <c r="P77" i="72"/>
  <c r="H232" i="12"/>
  <c r="J229" i="12"/>
  <c r="H63" i="99"/>
  <c r="N60" i="99"/>
  <c r="T85" i="56"/>
  <c r="H36" i="23"/>
  <c r="N36" i="23" s="1"/>
  <c r="N31" i="23"/>
  <c r="N31" i="54"/>
  <c r="T126" i="84"/>
  <c r="V123" i="84"/>
  <c r="T46" i="101"/>
  <c r="Z43" i="101"/>
  <c r="X80" i="58"/>
  <c r="P83" i="58"/>
  <c r="Z31" i="40"/>
  <c r="T36" i="40"/>
  <c r="Z36" i="40" s="1"/>
  <c r="N31" i="11"/>
  <c r="H36" i="11"/>
  <c r="N36" i="11" s="1"/>
  <c r="T105" i="95"/>
  <c r="V102" i="95"/>
  <c r="X64" i="61"/>
  <c r="Z64" i="61" s="1"/>
  <c r="P67" i="61"/>
  <c r="X67" i="61" s="1"/>
  <c r="Z67" i="61" s="1"/>
  <c r="L31" i="7"/>
  <c r="D36" i="7"/>
  <c r="Z31" i="8"/>
  <c r="T36" i="8"/>
  <c r="Z36" i="8" s="1"/>
  <c r="D46" i="101"/>
  <c r="L46" i="101" s="1"/>
  <c r="L43" i="101"/>
  <c r="N43" i="101" s="1"/>
  <c r="T225" i="15"/>
  <c r="V222" i="15"/>
  <c r="H108" i="45"/>
  <c r="J105" i="45"/>
  <c r="D36" i="29"/>
  <c r="L31" i="29"/>
  <c r="D96" i="24"/>
  <c r="L92" i="24"/>
  <c r="N92" i="24" s="1"/>
  <c r="H85" i="79"/>
  <c r="J82" i="79"/>
  <c r="T131" i="39"/>
  <c r="V128" i="39"/>
  <c r="N31" i="19"/>
  <c r="H36" i="19"/>
  <c r="N36" i="19" s="1"/>
  <c r="L31" i="22"/>
  <c r="D36" i="22"/>
  <c r="X261" i="3"/>
  <c r="Z261" i="3" s="1"/>
  <c r="P265" i="3"/>
  <c r="R261" i="3"/>
  <c r="X83" i="93"/>
  <c r="Z83" i="93" s="1"/>
  <c r="P86" i="93"/>
  <c r="N31" i="110"/>
  <c r="H36" i="110"/>
  <c r="N36" i="110" s="1"/>
  <c r="D131" i="36"/>
  <c r="L127" i="36"/>
  <c r="N127" i="36" s="1"/>
  <c r="F127" i="36"/>
  <c r="L26" i="54"/>
  <c r="D31" i="54"/>
  <c r="L31" i="54" s="1"/>
  <c r="P36" i="8"/>
  <c r="X31" i="8"/>
  <c r="P46" i="101"/>
  <c r="X43" i="101"/>
  <c r="Z74" i="72"/>
  <c r="T77" i="72"/>
  <c r="V74" i="72"/>
  <c r="X31" i="53"/>
  <c r="P36" i="53"/>
  <c r="D85" i="56"/>
  <c r="L85" i="56" s="1"/>
  <c r="N85" i="56" s="1"/>
  <c r="L82" i="56"/>
  <c r="N82" i="56" s="1"/>
  <c r="P53" i="82"/>
  <c r="X49" i="82"/>
  <c r="Z49" i="82" s="1"/>
  <c r="R49" i="82"/>
  <c r="P31" i="104"/>
  <c r="X28" i="104"/>
  <c r="Z31" i="41"/>
  <c r="T36" i="41"/>
  <c r="Z36" i="41" s="1"/>
  <c r="H156" i="74"/>
  <c r="J153" i="74"/>
  <c r="X31" i="29"/>
  <c r="P36" i="29"/>
  <c r="T249" i="18"/>
  <c r="V246" i="18"/>
  <c r="X31" i="13"/>
  <c r="P36" i="13"/>
  <c r="X32" i="85"/>
  <c r="P35" i="85"/>
  <c r="R32" i="85"/>
  <c r="P36" i="7"/>
  <c r="X31" i="7"/>
  <c r="N75" i="109"/>
  <c r="H78" i="109"/>
  <c r="J75" i="109"/>
  <c r="L29" i="98"/>
  <c r="D32" i="98"/>
  <c r="F29" i="98"/>
  <c r="P91" i="91"/>
  <c r="X91" i="91" s="1"/>
  <c r="X88" i="91"/>
  <c r="Z88" i="91" s="1"/>
  <c r="Z80" i="58"/>
  <c r="T83" i="58"/>
  <c r="H103" i="105"/>
  <c r="J100" i="105"/>
  <c r="P40" i="55"/>
  <c r="X40" i="55" s="1"/>
  <c r="Z40" i="55" s="1"/>
  <c r="X37" i="55"/>
  <c r="Z37" i="55" s="1"/>
  <c r="H40" i="55"/>
  <c r="X225" i="12"/>
  <c r="Z225" i="12" s="1"/>
  <c r="P229" i="12"/>
  <c r="R225" i="12"/>
  <c r="N77" i="80"/>
  <c r="H65" i="60"/>
  <c r="D36" i="11"/>
  <c r="L31" i="11"/>
  <c r="N31" i="53"/>
  <c r="H36" i="53"/>
  <c r="N36" i="53" s="1"/>
  <c r="P169" i="30"/>
  <c r="X165" i="30"/>
  <c r="Z165" i="30" s="1"/>
  <c r="R165" i="30"/>
  <c r="Z31" i="37"/>
  <c r="T36" i="37"/>
  <c r="Z36" i="37" s="1"/>
  <c r="X31" i="35"/>
  <c r="P36" i="35"/>
  <c r="Z28" i="108"/>
  <c r="T31" i="108"/>
  <c r="Z31" i="108" s="1"/>
  <c r="L119" i="84"/>
  <c r="N119" i="84" s="1"/>
  <c r="D123" i="84"/>
  <c r="F119" i="84"/>
  <c r="T36" i="7"/>
  <c r="Z36" i="7" s="1"/>
  <c r="Z31" i="7"/>
  <c r="X90" i="83"/>
  <c r="Z90" i="83" s="1"/>
  <c r="P94" i="83"/>
  <c r="H36" i="46"/>
  <c r="N36" i="46" s="1"/>
  <c r="N31" i="46"/>
  <c r="H36" i="35"/>
  <c r="N36" i="35" s="1"/>
  <c r="N31" i="35"/>
  <c r="D131" i="39"/>
  <c r="L128" i="39"/>
  <c r="N128" i="39" s="1"/>
  <c r="F128" i="39"/>
  <c r="V119" i="70"/>
  <c r="Z31" i="25"/>
  <c r="T36" i="25"/>
  <c r="Z36" i="25" s="1"/>
  <c r="P153" i="74"/>
  <c r="X149" i="74"/>
  <c r="Z149" i="74" s="1"/>
  <c r="R149" i="74"/>
  <c r="D97" i="83"/>
  <c r="L97" i="83" s="1"/>
  <c r="L94" i="83"/>
  <c r="N94" i="83" s="1"/>
  <c r="H35" i="85"/>
  <c r="J32" i="85"/>
  <c r="D36" i="49"/>
  <c r="L31" i="49"/>
  <c r="P96" i="68"/>
  <c r="X92" i="68"/>
  <c r="Z92" i="68" s="1"/>
  <c r="R92" i="68"/>
  <c r="X31" i="28"/>
  <c r="P36" i="28"/>
  <c r="P36" i="22"/>
  <c r="X31" i="22"/>
  <c r="P105" i="51"/>
  <c r="X101" i="51"/>
  <c r="Z101" i="51" s="1"/>
  <c r="R101" i="51"/>
  <c r="H36" i="26"/>
  <c r="N36" i="26" s="1"/>
  <c r="N31" i="26"/>
  <c r="L37" i="100"/>
  <c r="N37" i="100" s="1"/>
  <c r="D77" i="72"/>
  <c r="L77" i="72" s="1"/>
  <c r="N77" i="72" s="1"/>
  <c r="L74" i="72"/>
  <c r="N74" i="72" s="1"/>
  <c r="Z82" i="94"/>
  <c r="T85" i="94"/>
  <c r="H36" i="50"/>
  <c r="N36" i="50" s="1"/>
  <c r="N31" i="50"/>
  <c r="J99" i="68"/>
  <c r="H87" i="75"/>
  <c r="J84" i="75"/>
  <c r="X89" i="97"/>
  <c r="Z89" i="97" s="1"/>
  <c r="P92" i="97"/>
  <c r="X92" i="97" s="1"/>
  <c r="Z92" i="97" s="1"/>
  <c r="L242" i="18"/>
  <c r="N242" i="18" s="1"/>
  <c r="D246" i="18"/>
  <c r="F242" i="18"/>
  <c r="P31" i="54"/>
  <c r="X31" i="54" s="1"/>
  <c r="X26" i="54"/>
  <c r="N31" i="47"/>
  <c r="H36" i="47"/>
  <c r="N36" i="47" s="1"/>
  <c r="T93" i="107"/>
  <c r="V90" i="107"/>
  <c r="L28" i="85"/>
  <c r="N28" i="85" s="1"/>
  <c r="D32" i="85"/>
  <c r="N62" i="102"/>
  <c r="H65" i="102"/>
  <c r="X31" i="50"/>
  <c r="P36" i="50"/>
  <c r="X31" i="17"/>
  <c r="P36" i="17"/>
  <c r="T86" i="93"/>
  <c r="P78" i="109"/>
  <c r="X75" i="109"/>
  <c r="Z75" i="109" s="1"/>
  <c r="R75" i="109"/>
  <c r="L96" i="105"/>
  <c r="N96" i="105" s="1"/>
  <c r="D100" i="105"/>
  <c r="F96" i="105"/>
  <c r="T36" i="13"/>
  <c r="Z36" i="13" s="1"/>
  <c r="Z31" i="13"/>
  <c r="D117" i="27"/>
  <c r="L113" i="27"/>
  <c r="N113" i="27" s="1"/>
  <c r="F113" i="27"/>
  <c r="P31" i="108"/>
  <c r="X28" i="108"/>
  <c r="Z31" i="17"/>
  <c r="T36" i="17"/>
  <c r="Z36" i="17" s="1"/>
  <c r="Z31" i="35"/>
  <c r="T36" i="35"/>
  <c r="Z36" i="35" s="1"/>
  <c r="L28" i="104"/>
  <c r="D31" i="104"/>
  <c r="P36" i="23"/>
  <c r="X31" i="23"/>
  <c r="D110" i="21"/>
  <c r="L106" i="21"/>
  <c r="N106" i="21" s="1"/>
  <c r="X31" i="40"/>
  <c r="P36" i="40"/>
  <c r="T108" i="51"/>
  <c r="V105" i="51"/>
  <c r="D116" i="70"/>
  <c r="L112" i="70"/>
  <c r="N112" i="70" s="1"/>
  <c r="F112" i="70"/>
  <c r="T36" i="50"/>
  <c r="Z36" i="50" s="1"/>
  <c r="Z31" i="50"/>
  <c r="L31" i="44"/>
  <c r="D36" i="44"/>
  <c r="Z31" i="52"/>
  <c r="T36" i="52"/>
  <c r="Z36" i="52" s="1"/>
  <c r="L31" i="110"/>
  <c r="D36" i="110"/>
  <c r="H36" i="5"/>
  <c r="N36" i="5" s="1"/>
  <c r="N31" i="5"/>
  <c r="Z31" i="28"/>
  <c r="T36" i="28"/>
  <c r="Z36" i="28" s="1"/>
  <c r="Z34" i="100"/>
  <c r="T37" i="100"/>
  <c r="D36" i="16"/>
  <c r="L31" i="16"/>
  <c r="H134" i="36"/>
  <c r="J131" i="36"/>
  <c r="Z77" i="57"/>
  <c r="T80" i="57"/>
  <c r="Z31" i="19"/>
  <c r="T36" i="19"/>
  <c r="Z36" i="19" s="1"/>
  <c r="X31" i="4"/>
  <c r="P36" i="4"/>
  <c r="X78" i="79"/>
  <c r="Z78" i="79" s="1"/>
  <c r="P82" i="79"/>
  <c r="R78" i="79"/>
  <c r="D36" i="5"/>
  <c r="L31" i="5"/>
  <c r="L31" i="31"/>
  <c r="D36" i="31"/>
  <c r="D36" i="23"/>
  <c r="L31" i="23"/>
  <c r="Z75" i="59"/>
  <c r="T78" i="59"/>
  <c r="N31" i="20"/>
  <c r="H36" i="20"/>
  <c r="N36" i="20" s="1"/>
  <c r="X31" i="19"/>
  <c r="P36" i="19"/>
  <c r="L31" i="10"/>
  <c r="D36" i="10"/>
  <c r="L102" i="95"/>
  <c r="D105" i="95"/>
  <c r="F102" i="95"/>
  <c r="Z31" i="29"/>
  <c r="T36" i="29"/>
  <c r="Z36" i="29" s="1"/>
  <c r="Z31" i="26"/>
  <c r="T36" i="26"/>
  <c r="Z36" i="26" s="1"/>
  <c r="H119" i="70"/>
  <c r="J116" i="70"/>
  <c r="H249" i="18"/>
  <c r="J246" i="18"/>
  <c r="L62" i="102"/>
  <c r="D65" i="102"/>
  <c r="L65" i="102" s="1"/>
  <c r="P36" i="47"/>
  <c r="X31" i="47"/>
  <c r="P134" i="36"/>
  <c r="X131" i="36"/>
  <c r="R131" i="36"/>
  <c r="L124" i="42"/>
  <c r="D127" i="42"/>
  <c r="F124" i="42"/>
  <c r="X242" i="18"/>
  <c r="Z242" i="18" s="1"/>
  <c r="P246" i="18"/>
  <c r="R242" i="18"/>
  <c r="H36" i="41"/>
  <c r="N36" i="41" s="1"/>
  <c r="N31" i="41"/>
  <c r="T36" i="23"/>
  <c r="Z36" i="23" s="1"/>
  <c r="Z31" i="23"/>
  <c r="D85" i="79"/>
  <c r="L85" i="79" s="1"/>
  <c r="L82" i="79"/>
  <c r="N82" i="79" s="1"/>
  <c r="X78" i="59"/>
  <c r="T36" i="20"/>
  <c r="Z36" i="20" s="1"/>
  <c r="Z31" i="20"/>
  <c r="T36" i="44"/>
  <c r="Z36" i="44" s="1"/>
  <c r="Z31" i="44"/>
  <c r="D36" i="41"/>
  <c r="L31" i="41"/>
  <c r="J110" i="21"/>
  <c r="H113" i="21"/>
  <c r="D75" i="48"/>
  <c r="L71" i="48"/>
  <c r="N71" i="48" s="1"/>
  <c r="F71" i="48"/>
  <c r="Z31" i="31"/>
  <c r="T36" i="31"/>
  <c r="Z36" i="31" s="1"/>
  <c r="D80" i="57"/>
  <c r="L80" i="57" s="1"/>
  <c r="L77" i="57"/>
  <c r="N77" i="57" s="1"/>
  <c r="N75" i="59"/>
  <c r="H78" i="59"/>
  <c r="X124" i="39"/>
  <c r="Z124" i="39" s="1"/>
  <c r="P128" i="39"/>
  <c r="R124" i="39"/>
  <c r="P36" i="49"/>
  <c r="X31" i="49"/>
  <c r="L31" i="50"/>
  <c r="D36" i="50"/>
  <c r="N169" i="30"/>
  <c r="H172" i="30"/>
  <c r="J169" i="30"/>
  <c r="T108" i="76"/>
  <c r="V105" i="76"/>
  <c r="D36" i="28"/>
  <c r="L31" i="28"/>
  <c r="L31" i="111"/>
  <c r="D36" i="111"/>
  <c r="H36" i="29"/>
  <c r="N36" i="29" s="1"/>
  <c r="N31" i="29"/>
  <c r="T36" i="32"/>
  <c r="Z36" i="32" s="1"/>
  <c r="Z31" i="32"/>
  <c r="L31" i="52"/>
  <c r="D36" i="52"/>
  <c r="H36" i="38"/>
  <c r="N36" i="38" s="1"/>
  <c r="N31" i="38"/>
  <c r="D90" i="107"/>
  <c r="L86" i="107"/>
  <c r="N86" i="107" s="1"/>
  <c r="P36" i="110"/>
  <c r="X31" i="110"/>
  <c r="L31" i="47"/>
  <c r="D36" i="47"/>
  <c r="L31" i="20"/>
  <c r="D36" i="20"/>
  <c r="T35" i="85"/>
  <c r="Z32" i="85"/>
  <c r="V32" i="85"/>
  <c r="X95" i="87"/>
  <c r="H36" i="40"/>
  <c r="N36" i="40" s="1"/>
  <c r="N31" i="40"/>
  <c r="Z91" i="91"/>
  <c r="Z31" i="14"/>
  <c r="T36" i="14"/>
  <c r="Z36" i="14" s="1"/>
  <c r="X31" i="25"/>
  <c r="P36" i="25"/>
  <c r="Z31" i="5"/>
  <c r="T36" i="5"/>
  <c r="Z36" i="5" s="1"/>
  <c r="L88" i="87"/>
  <c r="N88" i="87" s="1"/>
  <c r="D92" i="87"/>
  <c r="T36" i="47"/>
  <c r="Z36" i="47" s="1"/>
  <c r="Z31" i="47"/>
  <c r="X77" i="57"/>
  <c r="P80" i="57"/>
  <c r="X31" i="26"/>
  <c r="P36" i="26"/>
  <c r="Z84" i="75"/>
  <c r="V84" i="75"/>
  <c r="T87" i="75"/>
  <c r="Z131" i="36"/>
  <c r="T134" i="36"/>
  <c r="V131" i="36"/>
  <c r="X36" i="88"/>
  <c r="P39" i="88"/>
  <c r="X39" i="88" s="1"/>
  <c r="P116" i="70"/>
  <c r="X112" i="70"/>
  <c r="Z112" i="70" s="1"/>
  <c r="R112" i="70"/>
  <c r="D92" i="103"/>
  <c r="L88" i="103"/>
  <c r="N88" i="103" s="1"/>
  <c r="X31" i="46"/>
  <c r="P36" i="46"/>
  <c r="H87" i="33"/>
  <c r="J84" i="33"/>
  <c r="H105" i="95"/>
  <c r="N102" i="95"/>
  <c r="J102" i="95"/>
  <c r="Z31" i="46"/>
  <c r="T36" i="46"/>
  <c r="Z36" i="46" s="1"/>
  <c r="H95" i="87"/>
  <c r="Z95" i="87"/>
  <c r="T85" i="79"/>
  <c r="V82" i="79"/>
  <c r="X60" i="99"/>
  <c r="P63" i="99"/>
  <c r="X63" i="99" s="1"/>
  <c r="X92" i="24"/>
  <c r="Z92" i="24" s="1"/>
  <c r="P96" i="24"/>
  <c r="R92" i="24"/>
  <c r="T87" i="33"/>
  <c r="V84" i="33"/>
  <c r="D105" i="45"/>
  <c r="L101" i="45"/>
  <c r="N101" i="45" s="1"/>
  <c r="F101" i="45"/>
  <c r="D96" i="68"/>
  <c r="L92" i="68"/>
  <c r="N92" i="68" s="1"/>
  <c r="Z72" i="69"/>
  <c r="V72" i="69"/>
  <c r="H120" i="27"/>
  <c r="J117" i="27"/>
  <c r="D36" i="26"/>
  <c r="L31" i="26"/>
  <c r="N80" i="58"/>
  <c r="H83" i="58"/>
  <c r="L83" i="58" s="1"/>
  <c r="H86" i="93"/>
  <c r="N83" i="93"/>
  <c r="H78" i="48"/>
  <c r="J75" i="48"/>
  <c r="N80" i="57"/>
  <c r="H108" i="51"/>
  <c r="J105" i="51"/>
  <c r="T172" i="30"/>
  <c r="V169" i="30"/>
  <c r="P105" i="76"/>
  <c r="X101" i="76"/>
  <c r="Z101" i="76" s="1"/>
  <c r="R101" i="76"/>
  <c r="L74" i="80"/>
  <c r="N74" i="80" s="1"/>
  <c r="D77" i="80"/>
  <c r="L77" i="80" s="1"/>
  <c r="P222" i="15"/>
  <c r="X218" i="15"/>
  <c r="Z218" i="15" s="1"/>
  <c r="R218" i="15"/>
  <c r="D87" i="33"/>
  <c r="L84" i="33"/>
  <c r="N84" i="33" s="1"/>
  <c r="F84" i="33"/>
  <c r="P36" i="44"/>
  <c r="X31" i="44"/>
  <c r="N31" i="7"/>
  <c r="H36" i="7"/>
  <c r="N36" i="7" s="1"/>
  <c r="V78" i="48"/>
  <c r="P85" i="92"/>
  <c r="X85" i="92" s="1"/>
  <c r="Z85" i="92" s="1"/>
  <c r="X82" i="92"/>
  <c r="Z82" i="92" s="1"/>
  <c r="D82" i="94"/>
  <c r="L78" i="94"/>
  <c r="N78" i="94" s="1"/>
  <c r="D36" i="34"/>
  <c r="L31" i="34"/>
  <c r="P124" i="42"/>
  <c r="X120" i="42"/>
  <c r="Z120" i="42" s="1"/>
  <c r="R120" i="42"/>
  <c r="Z60" i="99"/>
  <c r="T63" i="99"/>
  <c r="P36" i="43"/>
  <c r="X31" i="43"/>
  <c r="X74" i="80"/>
  <c r="Z74" i="80" s="1"/>
  <c r="P77" i="80"/>
  <c r="X77" i="80" s="1"/>
  <c r="Z77" i="80" s="1"/>
  <c r="N36" i="88"/>
  <c r="H39" i="88"/>
  <c r="X31" i="11"/>
  <c r="P36" i="11"/>
  <c r="P31" i="6"/>
  <c r="X31" i="6" s="1"/>
  <c r="X26" i="6"/>
  <c r="X31" i="5"/>
  <c r="P36" i="5"/>
  <c r="H36" i="4"/>
  <c r="N36" i="4" s="1"/>
  <c r="N31" i="4"/>
  <c r="L75" i="109"/>
  <c r="D78" i="109"/>
  <c r="F75" i="109"/>
  <c r="X31" i="10"/>
  <c r="P36" i="10"/>
  <c r="H36" i="28"/>
  <c r="N36" i="28" s="1"/>
  <c r="N31" i="28"/>
  <c r="L31" i="13"/>
  <c r="D36" i="13"/>
  <c r="D36" i="40"/>
  <c r="L31" i="40"/>
  <c r="L169" i="30"/>
  <c r="D172" i="30"/>
  <c r="F169" i="30"/>
  <c r="X31" i="34"/>
  <c r="P36" i="34"/>
  <c r="T113" i="21"/>
  <c r="V110" i="21"/>
  <c r="P110" i="21"/>
  <c r="X106" i="21"/>
  <c r="Z106" i="21" s="1"/>
  <c r="R106" i="21"/>
  <c r="D84" i="75"/>
  <c r="L80" i="75"/>
  <c r="N80" i="75" s="1"/>
  <c r="F80" i="75"/>
  <c r="P29" i="98"/>
  <c r="X25" i="98"/>
  <c r="R25" i="98"/>
  <c r="N31" i="17"/>
  <c r="H36" i="17"/>
  <c r="N36" i="17" s="1"/>
  <c r="D39" i="88"/>
  <c r="L36" i="88"/>
  <c r="D65" i="60"/>
  <c r="L65" i="60" s="1"/>
  <c r="L62" i="60"/>
  <c r="N62" i="60" s="1"/>
  <c r="L31" i="37"/>
  <c r="D36" i="37"/>
  <c r="N88" i="91"/>
  <c r="H91" i="91"/>
  <c r="N28" i="104"/>
  <c r="H31" i="104"/>
  <c r="N31" i="104" s="1"/>
  <c r="T103" i="105"/>
  <c r="V100" i="105"/>
  <c r="X31" i="32"/>
  <c r="P36" i="32"/>
  <c r="T36" i="11"/>
  <c r="Z36" i="11" s="1"/>
  <c r="Z31" i="11"/>
  <c r="N31" i="43"/>
  <c r="H36" i="43"/>
  <c r="N36" i="43" s="1"/>
  <c r="H99" i="24"/>
  <c r="J96" i="24"/>
  <c r="D40" i="55"/>
  <c r="L40" i="55" s="1"/>
  <c r="L37" i="55"/>
  <c r="N37" i="55" s="1"/>
  <c r="D86" i="93"/>
  <c r="L83" i="93"/>
  <c r="H36" i="111"/>
  <c r="N36" i="111" s="1"/>
  <c r="N31" i="111"/>
  <c r="L31" i="19"/>
  <c r="D36" i="19"/>
  <c r="X82" i="56"/>
  <c r="Z82" i="56" s="1"/>
  <c r="P85" i="56"/>
  <c r="X85" i="56" s="1"/>
  <c r="L31" i="43"/>
  <c r="D36" i="43"/>
  <c r="H67" i="61"/>
  <c r="H270" i="3"/>
  <c r="J265" i="3"/>
  <c r="L31" i="53"/>
  <c r="D36" i="53"/>
  <c r="L64" i="61"/>
  <c r="N64" i="61" s="1"/>
  <c r="D67" i="61"/>
  <c r="L67" i="61" s="1"/>
  <c r="X69" i="69"/>
  <c r="Z69" i="69" s="1"/>
  <c r="P72" i="69"/>
  <c r="X72" i="69" s="1"/>
  <c r="L31" i="8"/>
  <c r="D36" i="8"/>
  <c r="T95" i="103"/>
  <c r="V92" i="103"/>
  <c r="T156" i="74"/>
  <c r="V153" i="74"/>
  <c r="X31" i="20"/>
  <c r="P36" i="20"/>
  <c r="N31" i="52"/>
  <c r="H36" i="52"/>
  <c r="N36" i="52" s="1"/>
  <c r="D36" i="46"/>
  <c r="L31" i="46"/>
  <c r="D265" i="3"/>
  <c r="L261" i="3"/>
  <c r="N261" i="3" s="1"/>
  <c r="F261" i="3"/>
  <c r="H93" i="107"/>
  <c r="J90" i="107"/>
  <c r="X31" i="111"/>
  <c r="P36" i="111"/>
  <c r="D36" i="4"/>
  <c r="L31" i="4"/>
  <c r="P36" i="38"/>
  <c r="X31" i="38"/>
  <c r="T232" i="12"/>
  <c r="V229" i="12"/>
  <c r="L149" i="74"/>
  <c r="N149" i="74" s="1"/>
  <c r="D153" i="74"/>
  <c r="F149" i="74"/>
  <c r="T36" i="38"/>
  <c r="Z36" i="38" s="1"/>
  <c r="Z31" i="38"/>
  <c r="T36" i="10"/>
  <c r="Z36" i="10" s="1"/>
  <c r="Z31" i="10"/>
  <c r="P36" i="112"/>
  <c r="X31" i="112"/>
  <c r="X106" i="9"/>
  <c r="Z106" i="9" s="1"/>
  <c r="P109" i="9"/>
  <c r="H126" i="84"/>
  <c r="J123" i="84"/>
  <c r="L105" i="76"/>
  <c r="N105" i="76" s="1"/>
  <c r="D108" i="76"/>
  <c r="F105" i="76"/>
  <c r="L104" i="63"/>
  <c r="N104" i="63" s="1"/>
  <c r="D107" i="63"/>
  <c r="L107" i="63" s="1"/>
  <c r="N107" i="63" s="1"/>
  <c r="L49" i="82"/>
  <c r="N49" i="82" s="1"/>
  <c r="D53" i="82"/>
  <c r="F49" i="82"/>
  <c r="N31" i="44"/>
  <c r="H36" i="44"/>
  <c r="N36" i="44" s="1"/>
  <c r="D36" i="14"/>
  <c r="L31" i="14"/>
  <c r="H36" i="112"/>
  <c r="N36" i="112" s="1"/>
  <c r="N31" i="112"/>
  <c r="L82" i="92"/>
  <c r="D85" i="92"/>
  <c r="L85" i="92" s="1"/>
  <c r="P36" i="14"/>
  <c r="X31" i="14"/>
  <c r="X80" i="33"/>
  <c r="Z80" i="33" s="1"/>
  <c r="P84" i="33"/>
  <c r="R80" i="33"/>
  <c r="N109" i="9"/>
  <c r="L88" i="91"/>
  <c r="X78" i="48"/>
  <c r="Z78" i="48" s="1"/>
  <c r="R78" i="48"/>
  <c r="T127" i="42"/>
  <c r="V124" i="42"/>
  <c r="Z31" i="111"/>
  <c r="T36" i="111"/>
  <c r="Z36" i="111" s="1"/>
  <c r="X31" i="16"/>
  <c r="P36" i="16"/>
  <c r="D222" i="15"/>
  <c r="L218" i="15"/>
  <c r="N218" i="15" s="1"/>
  <c r="F218" i="15"/>
  <c r="X37" i="100"/>
  <c r="P107" i="63"/>
  <c r="X107" i="63" s="1"/>
  <c r="Z107" i="63" s="1"/>
  <c r="X104" i="63"/>
  <c r="Z104" i="63" s="1"/>
  <c r="T120" i="27"/>
  <c r="V117" i="27"/>
  <c r="T36" i="22"/>
  <c r="Z36" i="22" s="1"/>
  <c r="Z31" i="22"/>
  <c r="N31" i="31"/>
  <c r="H36" i="31"/>
  <c r="N36" i="31" s="1"/>
  <c r="H36" i="25"/>
  <c r="N36" i="25" s="1"/>
  <c r="N31" i="25"/>
  <c r="P65" i="102"/>
  <c r="X62" i="102"/>
  <c r="T65" i="102"/>
  <c r="Z62" i="102"/>
  <c r="X101" i="45"/>
  <c r="Z101" i="45" s="1"/>
  <c r="P105" i="45"/>
  <c r="R101" i="45"/>
  <c r="L101" i="51"/>
  <c r="N101" i="51" s="1"/>
  <c r="D105" i="51"/>
  <c r="F101" i="51"/>
  <c r="P123" i="84"/>
  <c r="X119" i="84"/>
  <c r="Z119" i="84" s="1"/>
  <c r="R119" i="84"/>
  <c r="L31" i="32"/>
  <c r="D36" i="32"/>
  <c r="N31" i="108"/>
  <c r="L31" i="108"/>
  <c r="N26" i="6"/>
  <c r="H31" i="6"/>
  <c r="X113" i="27"/>
  <c r="Z113" i="27" s="1"/>
  <c r="P117" i="27"/>
  <c r="R113" i="27"/>
  <c r="Z65" i="60"/>
  <c r="L31" i="25"/>
  <c r="D36" i="25"/>
  <c r="X62" i="60"/>
  <c r="Z62" i="60" s="1"/>
  <c r="P65" i="60"/>
  <c r="X65" i="60" s="1"/>
  <c r="Z31" i="53"/>
  <c r="T36" i="53"/>
  <c r="Z36" i="53" s="1"/>
  <c r="H36" i="13"/>
  <c r="N36" i="13" s="1"/>
  <c r="N31" i="13"/>
  <c r="N31" i="10"/>
  <c r="H36" i="10"/>
  <c r="N36" i="10" s="1"/>
  <c r="Z26" i="6"/>
  <c r="T31" i="6"/>
  <c r="T99" i="24"/>
  <c r="V96" i="24"/>
  <c r="T36" i="4"/>
  <c r="Z36" i="4" s="1"/>
  <c r="Z31" i="4"/>
  <c r="T31" i="104"/>
  <c r="Z31" i="104" s="1"/>
  <c r="Z28" i="104"/>
  <c r="N46" i="101"/>
  <c r="Z31" i="16"/>
  <c r="T36" i="16"/>
  <c r="Z36" i="16" s="1"/>
  <c r="N124" i="42"/>
  <c r="H127" i="42"/>
  <c r="J124" i="42"/>
  <c r="L31" i="38"/>
  <c r="D36" i="38"/>
  <c r="T56" i="82"/>
  <c r="V53" i="82"/>
  <c r="D36" i="35"/>
  <c r="L31" i="35"/>
  <c r="D109" i="9"/>
  <c r="L109" i="9" s="1"/>
  <c r="L106" i="9"/>
  <c r="N106" i="9" s="1"/>
  <c r="H36" i="14"/>
  <c r="N36" i="14" s="1"/>
  <c r="N31" i="14"/>
  <c r="Z31" i="49"/>
  <c r="T36" i="49"/>
  <c r="Z36" i="49" s="1"/>
  <c r="N31" i="22"/>
  <c r="H36" i="22"/>
  <c r="N36" i="22" s="1"/>
  <c r="N92" i="97"/>
  <c r="N31" i="37"/>
  <c r="H36" i="37"/>
  <c r="N36" i="37" s="1"/>
  <c r="T108" i="45"/>
  <c r="V105" i="45"/>
  <c r="X98" i="95"/>
  <c r="Z98" i="95" s="1"/>
  <c r="P102" i="95"/>
  <c r="R98" i="95"/>
  <c r="T36" i="110"/>
  <c r="Z36" i="110" s="1"/>
  <c r="Z31" i="110"/>
  <c r="H36" i="34"/>
  <c r="N36" i="34" s="1"/>
  <c r="N31" i="34"/>
  <c r="P36" i="31"/>
  <c r="X31" i="31"/>
  <c r="P100" i="105"/>
  <c r="X96" i="105"/>
  <c r="Z96" i="105" s="1"/>
  <c r="R96" i="105"/>
  <c r="H36" i="49"/>
  <c r="N36" i="49" s="1"/>
  <c r="N31" i="49"/>
  <c r="Z31" i="34"/>
  <c r="T36" i="34"/>
  <c r="Z36" i="34" s="1"/>
  <c r="T109" i="9"/>
  <c r="X36" i="14" l="1"/>
  <c r="X36" i="43"/>
  <c r="X36" i="112"/>
  <c r="L36" i="20"/>
  <c r="X36" i="25"/>
  <c r="X36" i="40"/>
  <c r="L36" i="8"/>
  <c r="L36" i="16"/>
  <c r="X36" i="31"/>
  <c r="X36" i="17"/>
  <c r="X36" i="19"/>
  <c r="X36" i="4"/>
  <c r="L36" i="35"/>
  <c r="X36" i="44"/>
  <c r="X36" i="46"/>
  <c r="X36" i="11"/>
  <c r="L36" i="11"/>
  <c r="L36" i="46"/>
  <c r="L36" i="53"/>
  <c r="X36" i="26"/>
  <c r="X36" i="7"/>
  <c r="X36" i="110"/>
  <c r="X36" i="28"/>
  <c r="L36" i="34"/>
  <c r="X36" i="52"/>
  <c r="L36" i="32"/>
  <c r="L36" i="4"/>
  <c r="X36" i="20"/>
  <c r="L36" i="37"/>
  <c r="L36" i="26"/>
  <c r="X36" i="5"/>
  <c r="X36" i="32"/>
  <c r="L36" i="13"/>
  <c r="L36" i="49"/>
  <c r="X36" i="37"/>
  <c r="L36" i="111"/>
  <c r="L36" i="23"/>
  <c r="L36" i="110"/>
  <c r="X36" i="8"/>
  <c r="D270" i="3"/>
  <c r="L265" i="3"/>
  <c r="N265" i="3" s="1"/>
  <c r="F265" i="3"/>
  <c r="V93" i="107"/>
  <c r="L87" i="33"/>
  <c r="F87" i="33"/>
  <c r="L153" i="74"/>
  <c r="N153" i="74" s="1"/>
  <c r="D156" i="74"/>
  <c r="F153" i="74"/>
  <c r="X36" i="16"/>
  <c r="X84" i="33"/>
  <c r="Z84" i="33" s="1"/>
  <c r="P87" i="33"/>
  <c r="R84" i="33"/>
  <c r="X36" i="10"/>
  <c r="P127" i="42"/>
  <c r="X124" i="42"/>
  <c r="Z124" i="42" s="1"/>
  <c r="R124" i="42"/>
  <c r="L90" i="107"/>
  <c r="N90" i="107" s="1"/>
  <c r="D93" i="107"/>
  <c r="L93" i="107" s="1"/>
  <c r="N93" i="107" s="1"/>
  <c r="X36" i="49"/>
  <c r="X246" i="18"/>
  <c r="Z246" i="18" s="1"/>
  <c r="P249" i="18"/>
  <c r="R246" i="18"/>
  <c r="X36" i="23"/>
  <c r="D120" i="27"/>
  <c r="L117" i="27"/>
  <c r="N117" i="27" s="1"/>
  <c r="F117" i="27"/>
  <c r="X36" i="22"/>
  <c r="X36" i="53"/>
  <c r="L36" i="22"/>
  <c r="L36" i="7"/>
  <c r="J225" i="15"/>
  <c r="X35" i="85"/>
  <c r="R35" i="85"/>
  <c r="V172" i="30"/>
  <c r="V56" i="82"/>
  <c r="L39" i="88"/>
  <c r="N39" i="88" s="1"/>
  <c r="L92" i="87"/>
  <c r="N92" i="87" s="1"/>
  <c r="D95" i="87"/>
  <c r="L95" i="87" s="1"/>
  <c r="P105" i="95"/>
  <c r="X102" i="95"/>
  <c r="Z102" i="95" s="1"/>
  <c r="R102" i="95"/>
  <c r="J127" i="42"/>
  <c r="Z31" i="6"/>
  <c r="V120" i="27"/>
  <c r="L53" i="82"/>
  <c r="N53" i="82" s="1"/>
  <c r="D56" i="82"/>
  <c r="F53" i="82"/>
  <c r="V232" i="12"/>
  <c r="V95" i="103"/>
  <c r="J270" i="3"/>
  <c r="L36" i="19"/>
  <c r="J99" i="24"/>
  <c r="X36" i="34"/>
  <c r="X105" i="76"/>
  <c r="Z105" i="76" s="1"/>
  <c r="P108" i="76"/>
  <c r="R105" i="76"/>
  <c r="J78" i="48"/>
  <c r="J120" i="27"/>
  <c r="X96" i="24"/>
  <c r="Z96" i="24" s="1"/>
  <c r="P99" i="24"/>
  <c r="R96" i="24"/>
  <c r="D95" i="103"/>
  <c r="L95" i="103" s="1"/>
  <c r="N95" i="103" s="1"/>
  <c r="L92" i="103"/>
  <c r="N92" i="103" s="1"/>
  <c r="Z87" i="75"/>
  <c r="V87" i="75"/>
  <c r="L36" i="28"/>
  <c r="L31" i="104"/>
  <c r="J35" i="85"/>
  <c r="L123" i="84"/>
  <c r="N123" i="84" s="1"/>
  <c r="D126" i="84"/>
  <c r="F123" i="84"/>
  <c r="N40" i="55"/>
  <c r="J156" i="74"/>
  <c r="L36" i="29"/>
  <c r="X85" i="94"/>
  <c r="R85" i="94"/>
  <c r="N85" i="92"/>
  <c r="L36" i="112"/>
  <c r="X128" i="39"/>
  <c r="Z128" i="39" s="1"/>
  <c r="P131" i="39"/>
  <c r="R128" i="39"/>
  <c r="L105" i="95"/>
  <c r="F105" i="95"/>
  <c r="D119" i="70"/>
  <c r="L116" i="70"/>
  <c r="N116" i="70" s="1"/>
  <c r="F116" i="70"/>
  <c r="L131" i="39"/>
  <c r="N131" i="39" s="1"/>
  <c r="F131" i="39"/>
  <c r="V77" i="72"/>
  <c r="V108" i="45"/>
  <c r="X123" i="84"/>
  <c r="Z123" i="84" s="1"/>
  <c r="P126" i="84"/>
  <c r="R123" i="84"/>
  <c r="X36" i="38"/>
  <c r="L91" i="91"/>
  <c r="N91" i="91" s="1"/>
  <c r="L172" i="30"/>
  <c r="N172" i="30" s="1"/>
  <c r="F172" i="30"/>
  <c r="L82" i="94"/>
  <c r="N82" i="94" s="1"/>
  <c r="D85" i="94"/>
  <c r="L85" i="94" s="1"/>
  <c r="N85" i="94" s="1"/>
  <c r="X116" i="70"/>
  <c r="Z116" i="70" s="1"/>
  <c r="P119" i="70"/>
  <c r="R116" i="70"/>
  <c r="V35" i="85"/>
  <c r="Z35" i="85"/>
  <c r="L36" i="52"/>
  <c r="V108" i="76"/>
  <c r="D78" i="48"/>
  <c r="L75" i="48"/>
  <c r="N75" i="48" s="1"/>
  <c r="F75" i="48"/>
  <c r="J119" i="70"/>
  <c r="D103" i="105"/>
  <c r="L100" i="105"/>
  <c r="N100" i="105" s="1"/>
  <c r="F100" i="105"/>
  <c r="X36" i="50"/>
  <c r="J87" i="75"/>
  <c r="J108" i="45"/>
  <c r="L131" i="36"/>
  <c r="N131" i="36" s="1"/>
  <c r="D134" i="36"/>
  <c r="F131" i="36"/>
  <c r="L127" i="42"/>
  <c r="N127" i="42" s="1"/>
  <c r="F127" i="42"/>
  <c r="L36" i="31"/>
  <c r="N97" i="83"/>
  <c r="J97" i="83"/>
  <c r="X87" i="75"/>
  <c r="R87" i="75"/>
  <c r="X100" i="105"/>
  <c r="Z100" i="105" s="1"/>
  <c r="P103" i="105"/>
  <c r="R100" i="105"/>
  <c r="X117" i="27"/>
  <c r="Z117" i="27" s="1"/>
  <c r="P120" i="27"/>
  <c r="R117" i="27"/>
  <c r="X65" i="102"/>
  <c r="Z65" i="102" s="1"/>
  <c r="N67" i="61"/>
  <c r="D99" i="68"/>
  <c r="L99" i="68" s="1"/>
  <c r="N99" i="68" s="1"/>
  <c r="L96" i="68"/>
  <c r="N96" i="68" s="1"/>
  <c r="N105" i="95"/>
  <c r="J105" i="95"/>
  <c r="J113" i="21"/>
  <c r="L36" i="10"/>
  <c r="P99" i="68"/>
  <c r="X96" i="68"/>
  <c r="Z96" i="68" s="1"/>
  <c r="R96" i="68"/>
  <c r="X36" i="35"/>
  <c r="N65" i="60"/>
  <c r="X36" i="13"/>
  <c r="V131" i="39"/>
  <c r="J232" i="12"/>
  <c r="X90" i="107"/>
  <c r="Z90" i="107" s="1"/>
  <c r="P93" i="107"/>
  <c r="X93" i="107" s="1"/>
  <c r="Z93" i="107" s="1"/>
  <c r="L105" i="51"/>
  <c r="N105" i="51" s="1"/>
  <c r="D108" i="51"/>
  <c r="F105" i="51"/>
  <c r="V127" i="42"/>
  <c r="L108" i="76"/>
  <c r="N108" i="76" s="1"/>
  <c r="F108" i="76"/>
  <c r="L86" i="93"/>
  <c r="N86" i="93" s="1"/>
  <c r="L84" i="75"/>
  <c r="N84" i="75" s="1"/>
  <c r="D87" i="75"/>
  <c r="F84" i="75"/>
  <c r="V85" i="79"/>
  <c r="X80" i="57"/>
  <c r="Z80" i="57" s="1"/>
  <c r="N78" i="59"/>
  <c r="L36" i="5"/>
  <c r="J134" i="36"/>
  <c r="V108" i="51"/>
  <c r="N65" i="102"/>
  <c r="X153" i="74"/>
  <c r="Z153" i="74" s="1"/>
  <c r="P156" i="74"/>
  <c r="R153" i="74"/>
  <c r="X31" i="104"/>
  <c r="X46" i="101"/>
  <c r="Z46" i="101" s="1"/>
  <c r="V225" i="15"/>
  <c r="V105" i="95"/>
  <c r="V126" i="84"/>
  <c r="X77" i="72"/>
  <c r="Z77" i="72" s="1"/>
  <c r="X92" i="103"/>
  <c r="Z92" i="103" s="1"/>
  <c r="P95" i="103"/>
  <c r="R92" i="103"/>
  <c r="L78" i="109"/>
  <c r="F78" i="109"/>
  <c r="X36" i="111"/>
  <c r="L36" i="40"/>
  <c r="N83" i="58"/>
  <c r="L36" i="47"/>
  <c r="J172" i="30"/>
  <c r="X134" i="36"/>
  <c r="R134" i="36"/>
  <c r="L36" i="44"/>
  <c r="J103" i="105"/>
  <c r="N78" i="109"/>
  <c r="J78" i="109"/>
  <c r="X86" i="93"/>
  <c r="Z86" i="93" s="1"/>
  <c r="Z39" i="88"/>
  <c r="D232" i="12"/>
  <c r="L229" i="12"/>
  <c r="N229" i="12" s="1"/>
  <c r="F229" i="12"/>
  <c r="Z63" i="99"/>
  <c r="X222" i="15"/>
  <c r="Z222" i="15" s="1"/>
  <c r="P225" i="15"/>
  <c r="R222" i="15"/>
  <c r="X31" i="108"/>
  <c r="L246" i="18"/>
  <c r="N246" i="18" s="1"/>
  <c r="D249" i="18"/>
  <c r="F246" i="18"/>
  <c r="X94" i="83"/>
  <c r="Z94" i="83" s="1"/>
  <c r="P97" i="83"/>
  <c r="X97" i="83" s="1"/>
  <c r="Z97" i="83" s="1"/>
  <c r="L63" i="99"/>
  <c r="L31" i="6"/>
  <c r="L32" i="98"/>
  <c r="F32" i="98"/>
  <c r="N31" i="6"/>
  <c r="J108" i="51"/>
  <c r="D108" i="45"/>
  <c r="L105" i="45"/>
  <c r="N105" i="45" s="1"/>
  <c r="F105" i="45"/>
  <c r="X82" i="79"/>
  <c r="Z82" i="79" s="1"/>
  <c r="P85" i="79"/>
  <c r="R82" i="79"/>
  <c r="L36" i="14"/>
  <c r="J126" i="84"/>
  <c r="L36" i="43"/>
  <c r="V103" i="105"/>
  <c r="P113" i="21"/>
  <c r="X110" i="21"/>
  <c r="Z110" i="21" s="1"/>
  <c r="R110" i="21"/>
  <c r="N95" i="87"/>
  <c r="N87" i="33"/>
  <c r="J87" i="33"/>
  <c r="L36" i="50"/>
  <c r="L36" i="41"/>
  <c r="X36" i="47"/>
  <c r="Z37" i="100"/>
  <c r="X78" i="109"/>
  <c r="Z78" i="109" s="1"/>
  <c r="R78" i="109"/>
  <c r="Z85" i="94"/>
  <c r="V249" i="18"/>
  <c r="X53" i="82"/>
  <c r="Z53" i="82" s="1"/>
  <c r="P56" i="82"/>
  <c r="R53" i="82"/>
  <c r="N85" i="79"/>
  <c r="J85" i="79"/>
  <c r="P32" i="98"/>
  <c r="X29" i="98"/>
  <c r="R29" i="98"/>
  <c r="V87" i="33"/>
  <c r="X105" i="51"/>
  <c r="Z105" i="51" s="1"/>
  <c r="P108" i="51"/>
  <c r="R105" i="51"/>
  <c r="P232" i="12"/>
  <c r="X229" i="12"/>
  <c r="Z229" i="12" s="1"/>
  <c r="R229" i="12"/>
  <c r="X36" i="29"/>
  <c r="X265" i="3"/>
  <c r="Z265" i="3" s="1"/>
  <c r="P270" i="3"/>
  <c r="R265" i="3"/>
  <c r="X36" i="41"/>
  <c r="V99" i="68"/>
  <c r="J249" i="18"/>
  <c r="N63" i="99"/>
  <c r="L36" i="38"/>
  <c r="D113" i="21"/>
  <c r="L113" i="21" s="1"/>
  <c r="N113" i="21" s="1"/>
  <c r="L110" i="21"/>
  <c r="N110" i="21" s="1"/>
  <c r="D35" i="85"/>
  <c r="L35" i="85" s="1"/>
  <c r="N35" i="85" s="1"/>
  <c r="L32" i="85"/>
  <c r="N32" i="85" s="1"/>
  <c r="V99" i="24"/>
  <c r="L36" i="25"/>
  <c r="X105" i="45"/>
  <c r="Z105" i="45" s="1"/>
  <c r="P108" i="45"/>
  <c r="R105" i="45"/>
  <c r="D225" i="15"/>
  <c r="L222" i="15"/>
  <c r="N222" i="15" s="1"/>
  <c r="F222" i="15"/>
  <c r="X109" i="9"/>
  <c r="Z109" i="9" s="1"/>
  <c r="J93" i="107"/>
  <c r="V156" i="74"/>
  <c r="V113" i="21"/>
  <c r="Z134" i="36"/>
  <c r="V134" i="36"/>
  <c r="Z78" i="59"/>
  <c r="P172" i="30"/>
  <c r="X169" i="30"/>
  <c r="Z169" i="30" s="1"/>
  <c r="R169" i="30"/>
  <c r="L78" i="59"/>
  <c r="D99" i="24"/>
  <c r="L99" i="24" s="1"/>
  <c r="N99" i="24" s="1"/>
  <c r="L96" i="24"/>
  <c r="N96" i="24" s="1"/>
  <c r="X83" i="58"/>
  <c r="Z83" i="58" s="1"/>
  <c r="Z85" i="56"/>
  <c r="L36" i="17"/>
  <c r="J108" i="76"/>
  <c r="L108" i="45" l="1"/>
  <c r="N108" i="45" s="1"/>
  <c r="F108" i="45"/>
  <c r="X105" i="95"/>
  <c r="Z105" i="95" s="1"/>
  <c r="R105" i="95"/>
  <c r="X113" i="21"/>
  <c r="Z113" i="21" s="1"/>
  <c r="R113" i="21"/>
  <c r="X108" i="76"/>
  <c r="Z108" i="76" s="1"/>
  <c r="R108" i="76"/>
  <c r="L156" i="74"/>
  <c r="N156" i="74" s="1"/>
  <c r="F156" i="74"/>
  <c r="L56" i="82"/>
  <c r="N56" i="82" s="1"/>
  <c r="F56" i="82"/>
  <c r="L108" i="51"/>
  <c r="N108" i="51" s="1"/>
  <c r="F108" i="51"/>
  <c r="X126" i="84"/>
  <c r="Z126" i="84" s="1"/>
  <c r="R126" i="84"/>
  <c r="X32" i="98"/>
  <c r="R32" i="98"/>
  <c r="X99" i="68"/>
  <c r="Z99" i="68" s="1"/>
  <c r="R99" i="68"/>
  <c r="X120" i="27"/>
  <c r="Z120" i="27" s="1"/>
  <c r="R120" i="27"/>
  <c r="L249" i="18"/>
  <c r="N249" i="18" s="1"/>
  <c r="F249" i="18"/>
  <c r="X225" i="15"/>
  <c r="Z225" i="15" s="1"/>
  <c r="R225" i="15"/>
  <c r="L103" i="105"/>
  <c r="N103" i="105" s="1"/>
  <c r="F103" i="105"/>
  <c r="X99" i="24"/>
  <c r="Z99" i="24" s="1"/>
  <c r="R99" i="24"/>
  <c r="X127" i="42"/>
  <c r="Z127" i="42" s="1"/>
  <c r="R127" i="42"/>
  <c r="X156" i="74"/>
  <c r="Z156" i="74" s="1"/>
  <c r="R156" i="74"/>
  <c r="L134" i="36"/>
  <c r="N134" i="36" s="1"/>
  <c r="F134" i="36"/>
  <c r="X119" i="70"/>
  <c r="Z119" i="70" s="1"/>
  <c r="R119" i="70"/>
  <c r="L126" i="84"/>
  <c r="N126" i="84" s="1"/>
  <c r="F126" i="84"/>
  <c r="L120" i="27"/>
  <c r="N120" i="27" s="1"/>
  <c r="F120" i="27"/>
  <c r="L119" i="70"/>
  <c r="N119" i="70" s="1"/>
  <c r="F119" i="70"/>
  <c r="X95" i="103"/>
  <c r="Z95" i="103" s="1"/>
  <c r="R95" i="103"/>
  <c r="X172" i="30"/>
  <c r="Z172" i="30" s="1"/>
  <c r="R172" i="30"/>
  <c r="L87" i="75"/>
  <c r="N87" i="75" s="1"/>
  <c r="F87" i="75"/>
  <c r="X103" i="105"/>
  <c r="Z103" i="105" s="1"/>
  <c r="R103" i="105"/>
  <c r="X131" i="39"/>
  <c r="Z131" i="39" s="1"/>
  <c r="R131" i="39"/>
  <c r="X270" i="3"/>
  <c r="Z270" i="3" s="1"/>
  <c r="R270" i="3"/>
  <c r="X232" i="12"/>
  <c r="Z232" i="12" s="1"/>
  <c r="R232" i="12"/>
  <c r="X87" i="33"/>
  <c r="Z87" i="33" s="1"/>
  <c r="R87" i="33"/>
  <c r="L225" i="15"/>
  <c r="N225" i="15" s="1"/>
  <c r="F225" i="15"/>
  <c r="X85" i="79"/>
  <c r="Z85" i="79" s="1"/>
  <c r="R85" i="79"/>
  <c r="X56" i="82"/>
  <c r="Z56" i="82" s="1"/>
  <c r="R56" i="82"/>
  <c r="X108" i="45"/>
  <c r="Z108" i="45" s="1"/>
  <c r="R108" i="45"/>
  <c r="X108" i="51"/>
  <c r="Z108" i="51" s="1"/>
  <c r="R108" i="51"/>
  <c r="L232" i="12"/>
  <c r="N232" i="12" s="1"/>
  <c r="F232" i="12"/>
  <c r="L78" i="48"/>
  <c r="N78" i="48" s="1"/>
  <c r="F78" i="48"/>
  <c r="X249" i="18"/>
  <c r="Z249" i="18" s="1"/>
  <c r="R249" i="18"/>
  <c r="L270" i="3"/>
  <c r="N270" i="3" s="1"/>
  <c r="F270" i="3"/>
</calcChain>
</file>

<file path=xl/sharedStrings.xml><?xml version="1.0" encoding="utf-8"?>
<sst xmlns="http://schemas.openxmlformats.org/spreadsheetml/2006/main" count="2844" uniqueCount="315">
  <si>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</si>
  <si>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</si>
  <si>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</si>
  <si>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</si>
  <si>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</si>
  <si>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</si>
  <si>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</si>
  <si>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</si>
  <si>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</si>
  <si>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</si>
  <si>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</si>
  <si>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Budget</t>
  </si>
  <si>
    <t>Variance</t>
  </si>
  <si>
    <t xml:space="preserve">Forty Niner Shops, Inc. </t>
  </si>
  <si>
    <t>G &amp; A Allocation</t>
  </si>
  <si>
    <t>% of Sales</t>
  </si>
  <si>
    <t>% Budget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</si>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</sst>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2" fillId="2" borderId="2" xfId="3" applyNumberFormat="1" applyFont="1" applyFill="1" applyBorder="1"/>
    <xf numFmtId="164" fontId="2" fillId="0" borderId="0" xfId="1" applyNumberFormat="1" applyFont="1" applyFill="1" applyBorder="1"/>
    <xf numFmtId="168" fontId="2" fillId="2" borderId="2" xfId="2" applyNumberFormat="1" applyFont="1" applyFill="1" applyBorder="1"/>
    <xf numFmtId="167" fontId="1" fillId="0" borderId="0" xfId="3" applyNumberFormat="1" applyFont="1" applyFill="1"/>
    <xf numFmtId="0" fontId="2" fillId="0" borderId="0" xfId="0" applyFont="1"/>
    <xf numFmtId="0" fontId="1" fillId="0" borderId="0" xfId="0" applyFont="1"/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167" fontId="2" fillId="0" borderId="0" xfId="3" applyNumberFormat="1" applyFont="1" applyFill="1" applyBorder="1"/>
    <xf numFmtId="167" fontId="2" fillId="2" borderId="3" xfId="3" applyNumberFormat="1" applyFont="1" applyFill="1" applyBorder="1"/>
    <xf numFmtId="167" fontId="2" fillId="2" borderId="4" xfId="3" applyNumberFormat="1" applyFont="1" applyFill="1" applyBorder="1"/>
    <xf numFmtId="168" fontId="2" fillId="2" borderId="4" xfId="2" applyNumberFormat="1" applyFont="1" applyFill="1" applyBorder="1"/>
    <xf numFmtId="168" fontId="2" fillId="2" borderId="3" xfId="2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67" fontId="0" fillId="0" borderId="0" xfId="0" applyNumberFormat="1"/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"/>
    </xf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167" fontId="2" fillId="2" borderId="1" xfId="0" applyNumberFormat="1" applyFont="1" applyFill="1" applyBorder="1" applyAlignment="1">
      <alignment horizontal="center"/>
    </xf>
    <xf numFmtId="167" fontId="0" fillId="0" borderId="0" xfId="0" applyNumberFormat="1" applyFill="1"/>
    <xf numFmtId="0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Alignment="1">
      <alignment horizontal="left"/>
    </xf>
    <xf numFmtId="167" fontId="0" fillId="0" borderId="0" xfId="3" applyNumberFormat="1" applyFont="1"/>
    <xf numFmtId="167" fontId="2" fillId="2" borderId="1" xfId="0" applyNumberFormat="1" applyFont="1" applyFill="1" applyBorder="1" applyAlignment="1">
      <alignment horizontal="centerContinuous"/>
    </xf>
    <xf numFmtId="167" fontId="0" fillId="0" borderId="0" xfId="3" applyNumberFormat="1" applyFont="1" applyAlignment="1">
      <alignment horizontal="centerContinuous"/>
    </xf>
    <xf numFmtId="49" fontId="1" fillId="0" borderId="0" xfId="0" applyNumberFormat="1" applyFont="1" applyFill="1"/>
    <xf numFmtId="49" fontId="2" fillId="0" borderId="0" xfId="0" applyNumberFormat="1" applyFont="1" applyFill="1"/>
    <xf numFmtId="0" fontId="0" fillId="0" borderId="0" xfId="0" applyBorder="1"/>
    <xf numFmtId="165" fontId="0" fillId="0" borderId="0" xfId="0" applyNumberFormat="1"/>
    <xf numFmtId="0" fontId="0" fillId="0" borderId="0" xfId="0" applyFill="1" applyAlignment="1">
      <alignment horizontal="centerContinuous"/>
    </xf>
    <xf numFmtId="0" fontId="2" fillId="0" borderId="0" xfId="0" applyFont="1" applyAlignment="1">
      <alignment horizontal="left"/>
    </xf>
    <xf numFmtId="164" fontId="2" fillId="0" borderId="0" xfId="1" applyNumberFormat="1" applyFont="1" applyFill="1" applyAlignment="1">
      <alignment horizontal="centerContinuous"/>
    </xf>
    <xf numFmtId="0" fontId="3" fillId="0" borderId="0" xfId="0" applyFont="1"/>
    <xf numFmtId="49" fontId="2" fillId="2" borderId="1" xfId="0" applyNumberFormat="1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2" fillId="0" borderId="0" xfId="0" applyFont="1" applyFill="1" applyBorder="1"/>
    <xf numFmtId="0" fontId="5" fillId="0" borderId="0" xfId="0" applyFont="1" applyFill="1"/>
    <xf numFmtId="166" fontId="4" fillId="0" borderId="0" xfId="0" applyNumberFormat="1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244</v>
      </c>
      <c r="B3" s="41" t="s">
        <v>245</v>
      </c>
      <c r="C3" s="41" t="s">
        <v>18</v>
      </c>
      <c r="D3" s="41" t="s">
        <v>246</v>
      </c>
      <c r="E3" s="41" t="s">
        <v>247</v>
      </c>
      <c r="F3" s="41" t="s">
        <v>20</v>
      </c>
      <c r="G3" s="41" t="s">
        <v>248</v>
      </c>
      <c r="H3" s="41" t="s">
        <v>249</v>
      </c>
      <c r="I3" s="41" t="s">
        <v>250</v>
      </c>
      <c r="J3" s="41" t="s">
        <v>251</v>
      </c>
      <c r="K3" s="41" t="s">
        <v>252</v>
      </c>
      <c r="L3" s="41" t="s">
        <v>253</v>
      </c>
      <c r="M3" s="41" t="s">
        <v>254</v>
      </c>
      <c r="N3" s="41" t="s">
        <v>255</v>
      </c>
      <c r="O3" s="41" t="s">
        <v>256</v>
      </c>
      <c r="P3" s="41" t="s">
        <v>257</v>
      </c>
      <c r="Q3" s="41" t="s">
        <v>258</v>
      </c>
      <c r="R3" s="41" t="s">
        <v>259</v>
      </c>
      <c r="S3" s="41" t="s">
        <v>260</v>
      </c>
      <c r="T3" s="41" t="s">
        <v>261</v>
      </c>
      <c r="U3" s="41" t="s">
        <v>264</v>
      </c>
      <c r="V3" s="41" t="s">
        <v>265</v>
      </c>
      <c r="W3" s="41" t="s">
        <v>266</v>
      </c>
      <c r="X3" s="41" t="s">
        <v>267</v>
      </c>
      <c r="Y3" s="41" t="s">
        <v>268</v>
      </c>
      <c r="Z3" s="41" t="s">
        <v>269</v>
      </c>
      <c r="AA3" s="41" t="s">
        <v>270</v>
      </c>
      <c r="AB3" s="41" t="s">
        <v>271</v>
      </c>
      <c r="AC3" s="41" t="s">
        <v>272</v>
      </c>
      <c r="AD3" s="41" t="s">
        <v>273</v>
      </c>
      <c r="AE3" s="41" t="s">
        <v>274</v>
      </c>
      <c r="AF3" s="41" t="s">
        <v>275</v>
      </c>
      <c r="AG3" s="41" t="s">
        <v>276</v>
      </c>
      <c r="AH3" s="41" t="s">
        <v>277</v>
      </c>
      <c r="AI3" s="41" t="s">
        <v>278</v>
      </c>
      <c r="AJ3" s="41" t="s">
        <v>279</v>
      </c>
      <c r="AK3" s="41" t="s">
        <v>280</v>
      </c>
      <c r="AL3" s="41" t="s">
        <v>281</v>
      </c>
      <c r="AM3" s="41" t="s">
        <v>282</v>
      </c>
      <c r="AN3" s="41" t="s">
        <v>283</v>
      </c>
      <c r="AO3" s="41" t="s">
        <v>284</v>
      </c>
      <c r="AP3" s="41" t="s">
        <v>285</v>
      </c>
      <c r="AQ3" s="41" t="s">
        <v>286</v>
      </c>
      <c r="AR3" s="41" t="s">
        <v>287</v>
      </c>
      <c r="AS3" s="41" t="s">
        <v>288</v>
      </c>
      <c r="AT3" s="41" t="s">
        <v>289</v>
      </c>
      <c r="AU3" s="41" t="s">
        <v>290</v>
      </c>
      <c r="AV3" s="41" t="s">
        <v>262</v>
      </c>
      <c r="AW3" s="41" t="s">
        <v>263</v>
      </c>
      <c r="AX3" s="41" t="s">
        <v>291</v>
      </c>
      <c r="AY3" s="41" t="s">
        <v>292</v>
      </c>
      <c r="AZ3" s="41" t="s">
        <v>293</v>
      </c>
      <c r="BA3" s="41" t="s">
        <v>45</v>
      </c>
      <c r="BB3" s="41" t="s">
        <v>46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300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308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308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309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309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312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312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307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307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306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18</v>
      </c>
      <c r="B3" s="41" t="s">
        <v>19</v>
      </c>
      <c r="C3" s="41" t="s">
        <v>20</v>
      </c>
      <c r="D3" s="41" t="s">
        <v>21</v>
      </c>
      <c r="E3" s="41" t="s">
        <v>22</v>
      </c>
      <c r="F3" s="41" t="s">
        <v>23</v>
      </c>
      <c r="G3" s="41" t="s">
        <v>24</v>
      </c>
      <c r="H3" s="41" t="s">
        <v>25</v>
      </c>
      <c r="I3" s="41" t="s">
        <v>26</v>
      </c>
      <c r="J3" s="41" t="s">
        <v>27</v>
      </c>
      <c r="K3" s="41" t="s">
        <v>28</v>
      </c>
      <c r="L3" s="41" t="s">
        <v>29</v>
      </c>
      <c r="M3" s="41" t="s">
        <v>30</v>
      </c>
      <c r="N3" s="41" t="s">
        <v>31</v>
      </c>
      <c r="O3" s="41" t="s">
        <v>32</v>
      </c>
      <c r="P3" s="41" t="s">
        <v>33</v>
      </c>
      <c r="Q3" s="41" t="s">
        <v>34</v>
      </c>
      <c r="R3" s="41" t="s">
        <v>35</v>
      </c>
      <c r="S3" s="41" t="s">
        <v>36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48</v>
      </c>
      <c r="AB3" s="41" t="s">
        <v>49</v>
      </c>
      <c r="AC3" s="41" t="s">
        <v>50</v>
      </c>
      <c r="AD3" s="41" t="s">
        <v>51</v>
      </c>
      <c r="AE3" s="41" t="s">
        <v>52</v>
      </c>
      <c r="AF3" s="41" t="s">
        <v>53</v>
      </c>
      <c r="AG3" s="41" t="s">
        <v>54</v>
      </c>
      <c r="AH3" s="41" t="s">
        <v>55</v>
      </c>
      <c r="AI3" s="41" t="s">
        <v>56</v>
      </c>
      <c r="AJ3" s="41" t="s">
        <v>57</v>
      </c>
      <c r="AK3" s="41" t="s">
        <v>58</v>
      </c>
      <c r="AL3" s="41" t="s">
        <v>59</v>
      </c>
      <c r="AM3" s="41" t="s">
        <v>60</v>
      </c>
      <c r="AN3" s="41" t="s">
        <v>61</v>
      </c>
      <c r="AO3" s="41" t="s">
        <v>62</v>
      </c>
      <c r="AP3" s="41" t="s">
        <v>63</v>
      </c>
      <c r="AQ3" s="41" t="s">
        <v>64</v>
      </c>
      <c r="AR3" s="41" t="s">
        <v>65</v>
      </c>
      <c r="AS3" s="41" t="s">
        <v>66</v>
      </c>
      <c r="AT3" s="41" t="s">
        <v>67</v>
      </c>
      <c r="AU3" s="41" t="s">
        <v>68</v>
      </c>
      <c r="AV3" s="41" t="s">
        <v>69</v>
      </c>
      <c r="AW3" s="41" t="s">
        <v>70</v>
      </c>
      <c r="AX3" s="41" t="s">
        <v>71</v>
      </c>
      <c r="AY3" s="41" t="s">
        <v>72</v>
      </c>
      <c r="AZ3" s="41" t="s">
        <v>73</v>
      </c>
      <c r="BA3" s="41" t="s">
        <v>74</v>
      </c>
      <c r="BB3" s="41" t="s">
        <v>75</v>
      </c>
      <c r="BC3" s="41" t="s">
        <v>76</v>
      </c>
      <c r="BD3" s="41" t="s">
        <v>77</v>
      </c>
      <c r="BE3" s="41" t="s">
        <v>78</v>
      </c>
      <c r="BF3" s="41" t="s">
        <v>79</v>
      </c>
      <c r="BG3" s="41" t="s">
        <v>80</v>
      </c>
      <c r="BH3" s="41" t="s">
        <v>81</v>
      </c>
      <c r="BI3" s="41" t="s">
        <v>82</v>
      </c>
      <c r="BJ3" s="41" t="s">
        <v>83</v>
      </c>
      <c r="BK3" s="41" t="s">
        <v>84</v>
      </c>
      <c r="BL3" s="41" t="s">
        <v>85</v>
      </c>
      <c r="BM3" s="41" t="s">
        <v>86</v>
      </c>
      <c r="BN3" s="41" t="s">
        <v>87</v>
      </c>
      <c r="BO3" s="41" t="s">
        <v>88</v>
      </c>
      <c r="BP3" s="41" t="s">
        <v>89</v>
      </c>
      <c r="BQ3" s="41" t="s">
        <v>90</v>
      </c>
      <c r="BR3" s="41" t="s">
        <v>91</v>
      </c>
      <c r="BS3" s="41" t="s">
        <v>92</v>
      </c>
      <c r="BT3" s="41" t="s">
        <v>93</v>
      </c>
      <c r="BU3" s="41" t="s">
        <v>94</v>
      </c>
      <c r="BV3" s="41" t="s">
        <v>95</v>
      </c>
      <c r="BW3" s="41" t="s">
        <v>96</v>
      </c>
      <c r="BX3" s="41" t="s">
        <v>97</v>
      </c>
      <c r="BY3" s="41" t="s">
        <v>98</v>
      </c>
      <c r="BZ3" s="41" t="s">
        <v>99</v>
      </c>
      <c r="CA3" s="41" t="s">
        <v>100</v>
      </c>
      <c r="CB3" s="41" t="s">
        <v>101</v>
      </c>
      <c r="CC3" s="41" t="s">
        <v>102</v>
      </c>
      <c r="CD3" s="41" t="s">
        <v>103</v>
      </c>
      <c r="CE3" s="41" t="s">
        <v>104</v>
      </c>
      <c r="CF3" s="41" t="s">
        <v>105</v>
      </c>
      <c r="CG3" s="41" t="s">
        <v>106</v>
      </c>
      <c r="CH3" s="41" t="s">
        <v>107</v>
      </c>
      <c r="CI3" s="41" t="s">
        <v>108</v>
      </c>
      <c r="CJ3" s="41" t="s">
        <v>109</v>
      </c>
      <c r="CK3" s="41" t="s">
        <v>110</v>
      </c>
      <c r="CL3" s="41" t="s">
        <v>111</v>
      </c>
      <c r="CM3" s="41" t="s">
        <v>112</v>
      </c>
      <c r="CN3" s="41" t="s">
        <v>113</v>
      </c>
      <c r="CO3" s="41" t="s">
        <v>114</v>
      </c>
      <c r="CP3" s="41" t="s">
        <v>115</v>
      </c>
      <c r="CQ3" s="41" t="s">
        <v>116</v>
      </c>
      <c r="CR3" s="41" t="s">
        <v>117</v>
      </c>
      <c r="CS3" s="41" t="s">
        <v>118</v>
      </c>
      <c r="CT3" s="41" t="s">
        <v>119</v>
      </c>
      <c r="CU3" s="41" t="s">
        <v>120</v>
      </c>
      <c r="CV3" s="41" t="s">
        <v>121</v>
      </c>
      <c r="CW3" s="41" t="s">
        <v>122</v>
      </c>
      <c r="CX3" s="41" t="s">
        <v>123</v>
      </c>
      <c r="CY3" s="41" t="s">
        <v>124</v>
      </c>
      <c r="CZ3" s="41" t="s">
        <v>125</v>
      </c>
      <c r="DA3" s="41" t="s">
        <v>126</v>
      </c>
      <c r="DB3" s="41" t="s">
        <v>127</v>
      </c>
      <c r="DC3" s="41" t="s">
        <v>128</v>
      </c>
      <c r="DD3" s="41" t="s">
        <v>129</v>
      </c>
      <c r="DE3" s="41" t="s">
        <v>130</v>
      </c>
      <c r="DF3" s="41" t="s">
        <v>131</v>
      </c>
      <c r="DG3" s="41" t="s">
        <v>132</v>
      </c>
      <c r="DH3" s="41" t="s">
        <v>133</v>
      </c>
      <c r="DI3" s="41" t="s">
        <v>134</v>
      </c>
      <c r="DJ3" s="41" t="s">
        <v>135</v>
      </c>
      <c r="DK3" s="41" t="s">
        <v>136</v>
      </c>
      <c r="DL3" s="41" t="s">
        <v>137</v>
      </c>
      <c r="DM3" s="41" t="s">
        <v>138</v>
      </c>
      <c r="DN3" s="41" t="s">
        <v>139</v>
      </c>
      <c r="DO3" s="41" t="s">
        <v>140</v>
      </c>
      <c r="DP3" s="41" t="s">
        <v>141</v>
      </c>
      <c r="DQ3" s="41" t="s">
        <v>142</v>
      </c>
      <c r="DR3" s="41" t="s">
        <v>143</v>
      </c>
      <c r="DS3" s="41" t="s">
        <v>144</v>
      </c>
      <c r="DT3" s="41" t="s">
        <v>145</v>
      </c>
      <c r="DU3" s="41" t="s">
        <v>146</v>
      </c>
      <c r="DV3" s="41" t="s">
        <v>147</v>
      </c>
      <c r="DW3" s="41" t="s">
        <v>148</v>
      </c>
      <c r="DX3" s="41" t="s">
        <v>149</v>
      </c>
      <c r="DY3" s="41" t="s">
        <v>150</v>
      </c>
      <c r="DZ3" s="41" t="s">
        <v>151</v>
      </c>
      <c r="EA3" s="41" t="s">
        <v>152</v>
      </c>
      <c r="EB3" s="41" t="s">
        <v>153</v>
      </c>
      <c r="EC3" s="41" t="s">
        <v>154</v>
      </c>
      <c r="ED3" s="41" t="s">
        <v>155</v>
      </c>
      <c r="EE3" s="41" t="s">
        <v>156</v>
      </c>
      <c r="EF3" s="41" t="s">
        <v>157</v>
      </c>
      <c r="EG3" s="41" t="s">
        <v>158</v>
      </c>
      <c r="EH3" s="41" t="s">
        <v>159</v>
      </c>
      <c r="EI3" s="41" t="s">
        <v>160</v>
      </c>
      <c r="EJ3" s="41" t="s">
        <v>161</v>
      </c>
      <c r="EK3" s="41" t="s">
        <v>162</v>
      </c>
      <c r="EL3" s="41" t="s">
        <v>163</v>
      </c>
      <c r="EM3" s="41" t="s">
        <v>164</v>
      </c>
      <c r="EN3" s="41" t="s">
        <v>165</v>
      </c>
      <c r="EO3" s="41" t="s">
        <v>166</v>
      </c>
      <c r="EP3" s="41" t="s">
        <v>167</v>
      </c>
      <c r="EQ3" s="41" t="s">
        <v>168</v>
      </c>
      <c r="ER3" s="41" t="s">
        <v>169</v>
      </c>
      <c r="ES3" s="41" t="s">
        <v>170</v>
      </c>
      <c r="ET3" s="41" t="s">
        <v>171</v>
      </c>
      <c r="EU3" s="41" t="s">
        <v>172</v>
      </c>
      <c r="EV3" s="41" t="s">
        <v>173</v>
      </c>
      <c r="EW3" s="41" t="s">
        <v>174</v>
      </c>
      <c r="EX3" s="41" t="s">
        <v>175</v>
      </c>
      <c r="EY3" s="41" t="s">
        <v>176</v>
      </c>
      <c r="EZ3" s="41" t="s">
        <v>177</v>
      </c>
      <c r="FA3" s="41" t="s">
        <v>178</v>
      </c>
      <c r="FB3" s="41" t="s">
        <v>179</v>
      </c>
      <c r="FC3" s="41" t="s">
        <v>180</v>
      </c>
      <c r="FD3" s="41" t="s">
        <v>181</v>
      </c>
      <c r="FE3" s="41" t="s">
        <v>182</v>
      </c>
      <c r="FF3" s="41" t="s">
        <v>183</v>
      </c>
      <c r="FG3" s="41" t="s">
        <v>184</v>
      </c>
      <c r="FH3" s="41" t="s">
        <v>185</v>
      </c>
      <c r="FI3" s="41" t="s">
        <v>186</v>
      </c>
      <c r="FJ3" s="41" t="s">
        <v>187</v>
      </c>
      <c r="FK3" s="41" t="s">
        <v>188</v>
      </c>
      <c r="FL3" s="41" t="s">
        <v>189</v>
      </c>
      <c r="FM3" s="41" t="s">
        <v>190</v>
      </c>
      <c r="FN3" s="41" t="s">
        <v>191</v>
      </c>
      <c r="FO3" s="41" t="s">
        <v>192</v>
      </c>
      <c r="FP3" s="41" t="s">
        <v>193</v>
      </c>
      <c r="FQ3" s="41" t="s">
        <v>194</v>
      </c>
      <c r="FR3" s="41" t="s">
        <v>195</v>
      </c>
      <c r="FS3" s="41" t="s">
        <v>196</v>
      </c>
      <c r="FT3" s="41" t="s">
        <v>197</v>
      </c>
      <c r="FU3" s="41" t="s">
        <v>198</v>
      </c>
      <c r="FV3" s="41" t="s">
        <v>199</v>
      </c>
      <c r="FW3" s="41" t="s">
        <v>200</v>
      </c>
      <c r="FX3" s="41" t="s">
        <v>201</v>
      </c>
      <c r="FY3" s="41" t="s">
        <v>202</v>
      </c>
      <c r="FZ3" s="41" t="s">
        <v>203</v>
      </c>
      <c r="GA3" s="41" t="s">
        <v>204</v>
      </c>
      <c r="GB3" s="41" t="s">
        <v>205</v>
      </c>
      <c r="GC3" s="41" t="s">
        <v>206</v>
      </c>
      <c r="GD3" s="41" t="s">
        <v>207</v>
      </c>
      <c r="GE3" s="41" t="s">
        <v>208</v>
      </c>
      <c r="GF3" s="41" t="s">
        <v>209</v>
      </c>
      <c r="GG3" s="41" t="s">
        <v>210</v>
      </c>
      <c r="GH3" s="41" t="s">
        <v>211</v>
      </c>
      <c r="GI3" s="41" t="s">
        <v>212</v>
      </c>
      <c r="GJ3" s="41" t="s">
        <v>213</v>
      </c>
      <c r="GK3" s="41" t="s">
        <v>214</v>
      </c>
      <c r="GL3" s="41" t="s">
        <v>215</v>
      </c>
      <c r="GM3" s="41" t="s">
        <v>216</v>
      </c>
      <c r="GN3" s="41" t="s">
        <v>217</v>
      </c>
      <c r="GO3" s="41" t="s">
        <v>218</v>
      </c>
      <c r="GP3" s="41" t="s">
        <v>219</v>
      </c>
      <c r="GQ3" s="41" t="s">
        <v>220</v>
      </c>
      <c r="GR3" s="41" t="s">
        <v>221</v>
      </c>
      <c r="GS3" s="41" t="s">
        <v>222</v>
      </c>
      <c r="GT3" s="41" t="s">
        <v>223</v>
      </c>
      <c r="GU3" s="41" t="s">
        <v>224</v>
      </c>
      <c r="GV3" s="41" t="s">
        <v>225</v>
      </c>
      <c r="GW3" s="41" t="s">
        <v>226</v>
      </c>
      <c r="GX3" s="41" t="s">
        <v>227</v>
      </c>
      <c r="GY3" s="41" t="s">
        <v>228</v>
      </c>
      <c r="GZ3" s="41" t="s">
        <v>229</v>
      </c>
      <c r="HA3" s="41" t="s">
        <v>230</v>
      </c>
      <c r="HB3" s="41" t="s">
        <v>231</v>
      </c>
      <c r="HC3" s="41" t="s">
        <v>232</v>
      </c>
      <c r="HD3" s="41" t="s">
        <v>233</v>
      </c>
      <c r="HE3" s="41" t="s">
        <v>234</v>
      </c>
      <c r="HF3" s="41" t="s">
        <v>235</v>
      </c>
      <c r="HG3" s="41" t="s">
        <v>236</v>
      </c>
      <c r="HH3" s="41" t="s">
        <v>237</v>
      </c>
      <c r="HI3" s="41" t="s">
        <v>242</v>
      </c>
      <c r="HJ3" s="41" t="s">
        <v>243</v>
      </c>
      <c r="HK3" s="41"/>
      <c r="HL3" s="41" t="s">
        <v>44</v>
      </c>
      <c r="HM3" s="67"/>
      <c r="HN3" s="41" t="s">
        <v>45</v>
      </c>
      <c r="HO3" s="41" t="s">
        <v>46</v>
      </c>
      <c r="HP3" t="s">
        <v>47</v>
      </c>
      <c r="JK3" s="41" t="s">
        <v>238</v>
      </c>
      <c r="JL3" s="41" t="s">
        <v>239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240</v>
      </c>
      <c r="JL10002" s="41" t="s">
        <v>241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306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303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303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304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304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305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305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310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310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313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275"/>
  <sheetViews>
    <sheetView tabSelected="1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297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483547.2900000001</v>
      </c>
      <c r="E12" s="4"/>
      <c r="F12" s="12"/>
      <c r="G12" s="4"/>
      <c r="H12" s="4">
        <f>SUM(OSRRefH13x_0)</f>
        <v>813599</v>
      </c>
      <c r="I12" s="4"/>
      <c r="J12" s="12"/>
      <c r="K12" s="4"/>
      <c r="L12" s="4">
        <f t="shared" ref="L12:L95" si="0">+D12-H12</f>
        <v>-330051.7099999999</v>
      </c>
      <c r="M12" s="4"/>
      <c r="N12" s="12">
        <f t="shared" ref="N12:N95" si="1">IF(H12=0,0,L12/H12)</f>
        <v>-0.40566877540409946</v>
      </c>
      <c r="O12" s="10"/>
      <c r="P12" s="4">
        <f>SUM(OSRRefP13x_0)</f>
        <v>5142931.5100000026</v>
      </c>
      <c r="Q12" s="4"/>
      <c r="R12" s="12"/>
      <c r="S12" s="4"/>
      <c r="T12" s="4">
        <f>SUM(OSRRefT13x_0)</f>
        <v>8615447</v>
      </c>
      <c r="U12" s="4"/>
      <c r="V12" s="12"/>
      <c r="W12" s="4"/>
      <c r="X12" s="4">
        <f t="shared" ref="X12:X95" si="2">+P12-T12</f>
        <v>-3472515.4899999974</v>
      </c>
      <c r="Y12" s="4"/>
      <c r="Z12" s="12">
        <f t="shared" ref="Z12:Z95" si="3">IF(T12=0,0,X12/T12)</f>
        <v>-0.40305691509680197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-32095.1</f>
        <v>-32095.1</v>
      </c>
      <c r="E13" s="2"/>
      <c r="F13" s="22"/>
      <c r="G13" s="2"/>
      <c r="H13" s="2">
        <v>437703</v>
      </c>
      <c r="I13" s="2"/>
      <c r="J13" s="22"/>
      <c r="K13" s="2"/>
      <c r="L13" s="2">
        <f t="shared" si="0"/>
        <v>-469798.1</v>
      </c>
      <c r="M13" s="2"/>
      <c r="N13" s="22">
        <f t="shared" si="1"/>
        <v>-1.0733262052122101</v>
      </c>
      <c r="O13" s="11"/>
      <c r="P13" s="2">
        <f>-91137.86</f>
        <v>-91137.86</v>
      </c>
      <c r="Q13" s="2"/>
      <c r="R13" s="22"/>
      <c r="S13" s="2"/>
      <c r="T13" s="2">
        <v>6038538</v>
      </c>
      <c r="U13" s="2"/>
      <c r="V13" s="22"/>
      <c r="W13" s="2"/>
      <c r="X13" s="2">
        <f t="shared" si="2"/>
        <v>-6129675.8600000003</v>
      </c>
      <c r="Y13" s="2"/>
      <c r="Z13" s="22">
        <f t="shared" si="3"/>
        <v>-1.01509270290259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--11522</f>
        <v>11522</v>
      </c>
      <c r="E14" s="2"/>
      <c r="F14" s="22"/>
      <c r="G14" s="2"/>
      <c r="H14" s="2"/>
      <c r="I14" s="2"/>
      <c r="J14" s="22"/>
      <c r="K14" s="2"/>
      <c r="L14" s="2">
        <f t="shared" si="0"/>
        <v>11522</v>
      </c>
      <c r="M14" s="2"/>
      <c r="N14" s="22">
        <f t="shared" si="1"/>
        <v>0</v>
      </c>
      <c r="O14" s="11"/>
      <c r="P14" s="2">
        <f>--730666.02</f>
        <v>730666.02</v>
      </c>
      <c r="Q14" s="2"/>
      <c r="R14" s="22"/>
      <c r="S14" s="2"/>
      <c r="T14" s="2"/>
      <c r="U14" s="2"/>
      <c r="V14" s="22"/>
      <c r="W14" s="2"/>
      <c r="X14" s="2">
        <f t="shared" si="2"/>
        <v>730666.02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--2822.44</f>
        <v>2822.44</v>
      </c>
      <c r="E15" s="2"/>
      <c r="F15" s="22"/>
      <c r="G15" s="2"/>
      <c r="H15" s="2"/>
      <c r="I15" s="2"/>
      <c r="J15" s="22"/>
      <c r="K15" s="2"/>
      <c r="L15" s="2">
        <f t="shared" si="0"/>
        <v>2822.44</v>
      </c>
      <c r="M15" s="2"/>
      <c r="N15" s="22">
        <f t="shared" si="1"/>
        <v>0</v>
      </c>
      <c r="O15" s="11"/>
      <c r="P15" s="2">
        <f>--323454.06</f>
        <v>323454.06</v>
      </c>
      <c r="Q15" s="2"/>
      <c r="R15" s="22"/>
      <c r="S15" s="2"/>
      <c r="T15" s="2"/>
      <c r="U15" s="2"/>
      <c r="V15" s="22"/>
      <c r="W15" s="2"/>
      <c r="X15" s="2">
        <f t="shared" si="2"/>
        <v>323454.06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7" si="4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--10665.63</f>
        <v>10665.63</v>
      </c>
      <c r="Q16" s="2"/>
      <c r="R16" s="22"/>
      <c r="S16" s="2"/>
      <c r="T16" s="2"/>
      <c r="U16" s="2"/>
      <c r="V16" s="22"/>
      <c r="W16" s="2"/>
      <c r="X16" s="2">
        <f t="shared" si="2"/>
        <v>10665.63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--2459.56</f>
        <v>2459.56</v>
      </c>
      <c r="Q17" s="2"/>
      <c r="R17" s="22"/>
      <c r="S17" s="2"/>
      <c r="T17" s="2"/>
      <c r="U17" s="2"/>
      <c r="V17" s="22"/>
      <c r="W17" s="2"/>
      <c r="X17" s="2">
        <f t="shared" si="2"/>
        <v>2459.56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--78.85</f>
        <v>78.849999999999994</v>
      </c>
      <c r="E18" s="2"/>
      <c r="F18" s="22"/>
      <c r="G18" s="2"/>
      <c r="H18" s="2"/>
      <c r="I18" s="2"/>
      <c r="J18" s="22"/>
      <c r="K18" s="2"/>
      <c r="L18" s="2">
        <f t="shared" si="0"/>
        <v>78.849999999999994</v>
      </c>
      <c r="M18" s="2"/>
      <c r="N18" s="22">
        <f t="shared" si="1"/>
        <v>0</v>
      </c>
      <c r="O18" s="11"/>
      <c r="P18" s="2">
        <f>--583.97</f>
        <v>583.97</v>
      </c>
      <c r="Q18" s="2"/>
      <c r="R18" s="22"/>
      <c r="S18" s="2"/>
      <c r="T18" s="2"/>
      <c r="U18" s="2"/>
      <c r="V18" s="22"/>
      <c r="W18" s="2"/>
      <c r="X18" s="2">
        <f t="shared" si="2"/>
        <v>583.97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--35.82</f>
        <v>35.82</v>
      </c>
      <c r="E19" s="2"/>
      <c r="F19" s="22"/>
      <c r="G19" s="2"/>
      <c r="H19" s="2"/>
      <c r="I19" s="2"/>
      <c r="J19" s="22"/>
      <c r="K19" s="2"/>
      <c r="L19" s="2">
        <f t="shared" si="0"/>
        <v>35.82</v>
      </c>
      <c r="M19" s="2"/>
      <c r="N19" s="22">
        <f t="shared" si="1"/>
        <v>0</v>
      </c>
      <c r="O19" s="11"/>
      <c r="P19" s="2">
        <f>--376.06</f>
        <v>376.06</v>
      </c>
      <c r="Q19" s="2"/>
      <c r="R19" s="22"/>
      <c r="S19" s="2"/>
      <c r="T19" s="2"/>
      <c r="U19" s="2"/>
      <c r="V19" s="22"/>
      <c r="W19" s="2"/>
      <c r="X19" s="2">
        <f t="shared" si="2"/>
        <v>376.06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--6.95</f>
        <v>6.95</v>
      </c>
      <c r="E20" s="2"/>
      <c r="F20" s="22"/>
      <c r="G20" s="2"/>
      <c r="H20" s="2"/>
      <c r="I20" s="2"/>
      <c r="J20" s="22"/>
      <c r="K20" s="2"/>
      <c r="L20" s="2">
        <f t="shared" si="0"/>
        <v>6.95</v>
      </c>
      <c r="M20" s="2"/>
      <c r="N20" s="22">
        <f t="shared" si="1"/>
        <v>0</v>
      </c>
      <c r="O20" s="11"/>
      <c r="P20" s="2">
        <f>--190.84</f>
        <v>190.84</v>
      </c>
      <c r="Q20" s="2"/>
      <c r="R20" s="22"/>
      <c r="S20" s="2"/>
      <c r="T20" s="2"/>
      <c r="U20" s="2"/>
      <c r="V20" s="22"/>
      <c r="W20" s="2"/>
      <c r="X20" s="2">
        <f t="shared" si="2"/>
        <v>190.84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--75.18</f>
        <v>75.180000000000007</v>
      </c>
      <c r="E21" s="2"/>
      <c r="F21" s="22"/>
      <c r="G21" s="2"/>
      <c r="H21" s="2"/>
      <c r="I21" s="2"/>
      <c r="J21" s="22"/>
      <c r="K21" s="2"/>
      <c r="L21" s="2">
        <f t="shared" si="0"/>
        <v>75.180000000000007</v>
      </c>
      <c r="M21" s="2"/>
      <c r="N21" s="22">
        <f t="shared" si="1"/>
        <v>0</v>
      </c>
      <c r="O21" s="11"/>
      <c r="P21" s="2">
        <f>--372.38</f>
        <v>372.38</v>
      </c>
      <c r="Q21" s="2"/>
      <c r="R21" s="22"/>
      <c r="S21" s="2"/>
      <c r="T21" s="2"/>
      <c r="U21" s="2"/>
      <c r="V21" s="22"/>
      <c r="W21" s="2"/>
      <c r="X21" s="2">
        <f t="shared" si="2"/>
        <v>372.38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--3253.96</f>
        <v>3253.96</v>
      </c>
      <c r="E22" s="2"/>
      <c r="F22" s="22"/>
      <c r="G22" s="2"/>
      <c r="H22" s="2"/>
      <c r="I22" s="2"/>
      <c r="J22" s="22"/>
      <c r="K22" s="2"/>
      <c r="L22" s="2">
        <f t="shared" si="0"/>
        <v>3253.96</v>
      </c>
      <c r="M22" s="2"/>
      <c r="N22" s="22">
        <f t="shared" si="1"/>
        <v>0</v>
      </c>
      <c r="O22" s="11"/>
      <c r="P22" s="2">
        <f>--39974.43</f>
        <v>39974.43</v>
      </c>
      <c r="Q22" s="2"/>
      <c r="R22" s="22"/>
      <c r="S22" s="2"/>
      <c r="T22" s="2"/>
      <c r="U22" s="2"/>
      <c r="V22" s="22"/>
      <c r="W22" s="2"/>
      <c r="X22" s="2">
        <f t="shared" si="2"/>
        <v>39974.43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--1179.23</f>
        <v>1179.23</v>
      </c>
      <c r="E23" s="2"/>
      <c r="F23" s="22"/>
      <c r="G23" s="2"/>
      <c r="H23" s="2"/>
      <c r="I23" s="2"/>
      <c r="J23" s="22"/>
      <c r="K23" s="2"/>
      <c r="L23" s="2">
        <f t="shared" si="0"/>
        <v>1179.23</v>
      </c>
      <c r="M23" s="2"/>
      <c r="N23" s="22">
        <f t="shared" si="1"/>
        <v>0</v>
      </c>
      <c r="O23" s="11"/>
      <c r="P23" s="2">
        <f>--17178.81</f>
        <v>17178.810000000001</v>
      </c>
      <c r="Q23" s="2"/>
      <c r="R23" s="22"/>
      <c r="S23" s="2"/>
      <c r="T23" s="2"/>
      <c r="U23" s="2"/>
      <c r="V23" s="22"/>
      <c r="W23" s="2"/>
      <c r="X23" s="2">
        <f t="shared" si="2"/>
        <v>17178.810000000001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--247.04</f>
        <v>247.04</v>
      </c>
      <c r="E24" s="2"/>
      <c r="F24" s="22"/>
      <c r="G24" s="2"/>
      <c r="H24" s="2"/>
      <c r="I24" s="2"/>
      <c r="J24" s="22"/>
      <c r="K24" s="2"/>
      <c r="L24" s="2">
        <f t="shared" si="0"/>
        <v>247.04</v>
      </c>
      <c r="M24" s="2"/>
      <c r="N24" s="22">
        <f t="shared" si="1"/>
        <v>0</v>
      </c>
      <c r="O24" s="11"/>
      <c r="P24" s="2">
        <f>--2109.65</f>
        <v>2109.65</v>
      </c>
      <c r="Q24" s="2"/>
      <c r="R24" s="22"/>
      <c r="S24" s="2"/>
      <c r="T24" s="2"/>
      <c r="U24" s="2"/>
      <c r="V24" s="22"/>
      <c r="W24" s="2"/>
      <c r="X24" s="2">
        <f t="shared" si="2"/>
        <v>2109.65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"4032", " - ", "TAXABLE SALES-JUICE")</f>
        <v xml:space="preserve">          4032 - TAXABLE SALES-JUICE</v>
      </c>
      <c r="C25" s="11"/>
      <c r="D25" s="2">
        <f t="shared" ref="D25:D26" si="5"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--444.59</f>
        <v>444.59</v>
      </c>
      <c r="Q25" s="2"/>
      <c r="R25" s="22"/>
      <c r="S25" s="2"/>
      <c r="T25" s="2"/>
      <c r="U25" s="2"/>
      <c r="V25" s="22"/>
      <c r="W25" s="2"/>
      <c r="X25" s="2">
        <f t="shared" si="2"/>
        <v>444.59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"4034", " - ", "TAXABLE SALES-SODA")</f>
        <v xml:space="preserve">          4034 - TAXABLE SALES-SODA</v>
      </c>
      <c r="C26" s="11"/>
      <c r="D26" s="2">
        <f t="shared" si="5"/>
        <v>0</v>
      </c>
      <c r="E26" s="2"/>
      <c r="F26" s="22"/>
      <c r="G26" s="2"/>
      <c r="H26" s="2"/>
      <c r="I26" s="2"/>
      <c r="J26" s="22"/>
      <c r="K26" s="2"/>
      <c r="L26" s="2">
        <f t="shared" si="0"/>
        <v>0</v>
      </c>
      <c r="M26" s="2"/>
      <c r="N26" s="22">
        <f t="shared" si="1"/>
        <v>0</v>
      </c>
      <c r="O26" s="11"/>
      <c r="P26" s="2">
        <f>--6.78</f>
        <v>6.78</v>
      </c>
      <c r="Q26" s="2"/>
      <c r="R26" s="22"/>
      <c r="S26" s="2"/>
      <c r="T26" s="2"/>
      <c r="U26" s="2"/>
      <c r="V26" s="22"/>
      <c r="W26" s="2"/>
      <c r="X26" s="2">
        <f t="shared" si="2"/>
        <v>6.78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"4040", " - ", "TAXABLE SALES-LOGO CLOTHING")</f>
        <v xml:space="preserve">          4040 - TAXABLE SALES-LOGO CLOTHING</v>
      </c>
      <c r="C27" s="11"/>
      <c r="D27" s="2">
        <f>--84378.29</f>
        <v>84378.29</v>
      </c>
      <c r="E27" s="2"/>
      <c r="F27" s="22"/>
      <c r="G27" s="2"/>
      <c r="H27" s="2"/>
      <c r="I27" s="2"/>
      <c r="J27" s="22"/>
      <c r="K27" s="2"/>
      <c r="L27" s="2">
        <f t="shared" si="0"/>
        <v>84378.29</v>
      </c>
      <c r="M27" s="2"/>
      <c r="N27" s="22">
        <f t="shared" si="1"/>
        <v>0</v>
      </c>
      <c r="O27" s="11"/>
      <c r="P27" s="2">
        <f>--508110.99</f>
        <v>508110.99</v>
      </c>
      <c r="Q27" s="2"/>
      <c r="R27" s="22"/>
      <c r="S27" s="2"/>
      <c r="T27" s="2"/>
      <c r="U27" s="2"/>
      <c r="V27" s="22"/>
      <c r="W27" s="2"/>
      <c r="X27" s="2">
        <f t="shared" si="2"/>
        <v>508110.99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"4041", " - ", "TAXABLE SALES-LOGO GIFTS")</f>
        <v xml:space="preserve">          4041 - TAXABLE SALES-LOGO GIFTS</v>
      </c>
      <c r="C28" s="11"/>
      <c r="D28" s="2">
        <f>--32217.83</f>
        <v>32217.83</v>
      </c>
      <c r="E28" s="2"/>
      <c r="F28" s="22"/>
      <c r="G28" s="2"/>
      <c r="H28" s="2"/>
      <c r="I28" s="2"/>
      <c r="J28" s="22"/>
      <c r="K28" s="2"/>
      <c r="L28" s="2">
        <f t="shared" si="0"/>
        <v>32217.83</v>
      </c>
      <c r="M28" s="2"/>
      <c r="N28" s="22">
        <f t="shared" si="1"/>
        <v>0</v>
      </c>
      <c r="O28" s="11"/>
      <c r="P28" s="2">
        <f>--197618.32</f>
        <v>197618.32</v>
      </c>
      <c r="Q28" s="2"/>
      <c r="R28" s="22"/>
      <c r="S28" s="2"/>
      <c r="T28" s="2"/>
      <c r="U28" s="2"/>
      <c r="V28" s="22"/>
      <c r="W28" s="2"/>
      <c r="X28" s="2">
        <f t="shared" si="2"/>
        <v>197618.32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"4042", " - ", "TAXABLE SALES-EVERYDAY GIFTS")</f>
        <v xml:space="preserve">          4042 - TAXABLE SALES-EVERYDAY GIFTS</v>
      </c>
      <c r="C29" s="11"/>
      <c r="D29" s="2">
        <f>--8018.58</f>
        <v>8018.58</v>
      </c>
      <c r="E29" s="2"/>
      <c r="F29" s="22"/>
      <c r="G29" s="2"/>
      <c r="H29" s="2"/>
      <c r="I29" s="2"/>
      <c r="J29" s="22"/>
      <c r="K29" s="2"/>
      <c r="L29" s="2">
        <f t="shared" si="0"/>
        <v>8018.58</v>
      </c>
      <c r="M29" s="2"/>
      <c r="N29" s="22">
        <f t="shared" si="1"/>
        <v>0</v>
      </c>
      <c r="O29" s="11"/>
      <c r="P29" s="2">
        <f>--64897.7</f>
        <v>64897.7</v>
      </c>
      <c r="Q29" s="2"/>
      <c r="R29" s="22"/>
      <c r="S29" s="2"/>
      <c r="T29" s="2"/>
      <c r="U29" s="2"/>
      <c r="V29" s="22"/>
      <c r="W29" s="2"/>
      <c r="X29" s="2">
        <f t="shared" si="2"/>
        <v>64897.7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"4043", " - ", "TAXABLE SALES-CARDS")</f>
        <v xml:space="preserve">          4043 - TAXABLE SALES-CARDS</v>
      </c>
      <c r="C30" s="11"/>
      <c r="D30" s="2">
        <f>--35930.93</f>
        <v>35930.93</v>
      </c>
      <c r="E30" s="2"/>
      <c r="F30" s="22"/>
      <c r="G30" s="2"/>
      <c r="H30" s="2"/>
      <c r="I30" s="2"/>
      <c r="J30" s="22"/>
      <c r="K30" s="2"/>
      <c r="L30" s="2">
        <f t="shared" si="0"/>
        <v>35930.93</v>
      </c>
      <c r="M30" s="2"/>
      <c r="N30" s="22">
        <f t="shared" si="1"/>
        <v>0</v>
      </c>
      <c r="O30" s="11"/>
      <c r="P30" s="2">
        <f>--93109.15</f>
        <v>93109.15</v>
      </c>
      <c r="Q30" s="2"/>
      <c r="R30" s="22"/>
      <c r="S30" s="2"/>
      <c r="T30" s="2"/>
      <c r="U30" s="2"/>
      <c r="V30" s="22"/>
      <c r="W30" s="2"/>
      <c r="X30" s="2">
        <f t="shared" si="2"/>
        <v>93109.15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"4044", " - ", "TAXABLE SALES-ACCESSORIES")</f>
        <v xml:space="preserve">          4044 - TAXABLE SALES-ACCESSORIES</v>
      </c>
      <c r="C31" s="11"/>
      <c r="D31" s="2">
        <f>--11267.16</f>
        <v>11267.16</v>
      </c>
      <c r="E31" s="2"/>
      <c r="F31" s="22"/>
      <c r="G31" s="2"/>
      <c r="H31" s="2"/>
      <c r="I31" s="2"/>
      <c r="J31" s="22"/>
      <c r="K31" s="2"/>
      <c r="L31" s="2">
        <f t="shared" si="0"/>
        <v>11267.16</v>
      </c>
      <c r="M31" s="2"/>
      <c r="N31" s="22">
        <f t="shared" si="1"/>
        <v>0</v>
      </c>
      <c r="O31" s="11"/>
      <c r="P31" s="2">
        <f>--26273.67</f>
        <v>26273.67</v>
      </c>
      <c r="Q31" s="2"/>
      <c r="R31" s="22"/>
      <c r="S31" s="2"/>
      <c r="T31" s="2"/>
      <c r="U31" s="2"/>
      <c r="V31" s="22"/>
      <c r="W31" s="2"/>
      <c r="X31" s="2">
        <f t="shared" si="2"/>
        <v>26273.67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"4045", " - ", "TAXABLE SALES-SPECIAL ORDERS")</f>
        <v xml:space="preserve">          4045 - TAXABLE SALES-SPECIAL ORDERS</v>
      </c>
      <c r="C32" s="11"/>
      <c r="D32" s="2">
        <f>--13848.98</f>
        <v>13848.98</v>
      </c>
      <c r="E32" s="2"/>
      <c r="F32" s="22"/>
      <c r="G32" s="2"/>
      <c r="H32" s="2"/>
      <c r="I32" s="2"/>
      <c r="J32" s="22"/>
      <c r="K32" s="2"/>
      <c r="L32" s="2">
        <f t="shared" si="0"/>
        <v>13848.98</v>
      </c>
      <c r="M32" s="2"/>
      <c r="N32" s="22">
        <f t="shared" si="1"/>
        <v>0</v>
      </c>
      <c r="O32" s="11"/>
      <c r="P32" s="2">
        <f>--122061.15</f>
        <v>122061.15</v>
      </c>
      <c r="Q32" s="2"/>
      <c r="R32" s="22"/>
      <c r="S32" s="2"/>
      <c r="T32" s="2"/>
      <c r="U32" s="2"/>
      <c r="V32" s="22"/>
      <c r="W32" s="2"/>
      <c r="X32" s="2">
        <f t="shared" si="2"/>
        <v>122061.15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"4051", " - ", "TAXABLE SALES-FOOD")</f>
        <v xml:space="preserve">          4051 - TAXABLE SALES-FOOD</v>
      </c>
      <c r="C33" s="11"/>
      <c r="D33" s="2">
        <f>--5713.27</f>
        <v>5713.27</v>
      </c>
      <c r="E33" s="2"/>
      <c r="F33" s="22"/>
      <c r="G33" s="2"/>
      <c r="H33" s="2"/>
      <c r="I33" s="2"/>
      <c r="J33" s="22"/>
      <c r="K33" s="2"/>
      <c r="L33" s="2">
        <f t="shared" si="0"/>
        <v>5713.27</v>
      </c>
      <c r="M33" s="2"/>
      <c r="N33" s="22">
        <f t="shared" si="1"/>
        <v>0</v>
      </c>
      <c r="O33" s="11"/>
      <c r="P33" s="2">
        <f>--22964.48</f>
        <v>22964.48</v>
      </c>
      <c r="Q33" s="2"/>
      <c r="R33" s="22"/>
      <c r="S33" s="2"/>
      <c r="T33" s="2"/>
      <c r="U33" s="2"/>
      <c r="V33" s="22"/>
      <c r="W33" s="2"/>
      <c r="X33" s="2">
        <f t="shared" si="2"/>
        <v>22964.48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"4052", " - ", "TAXABLE SALES-FOOD")</f>
        <v xml:space="preserve">          4052 - TAXABLE SALES-FOOD</v>
      </c>
      <c r="C34" s="11"/>
      <c r="D34" s="2">
        <f>--62378.23</f>
        <v>62378.23</v>
      </c>
      <c r="E34" s="2"/>
      <c r="F34" s="22"/>
      <c r="G34" s="2"/>
      <c r="H34" s="2"/>
      <c r="I34" s="2"/>
      <c r="J34" s="22"/>
      <c r="K34" s="2"/>
      <c r="L34" s="2">
        <f t="shared" si="0"/>
        <v>62378.23</v>
      </c>
      <c r="M34" s="2"/>
      <c r="N34" s="22">
        <f t="shared" si="1"/>
        <v>0</v>
      </c>
      <c r="O34" s="11"/>
      <c r="P34" s="2">
        <f>--148103.39</f>
        <v>148103.39000000001</v>
      </c>
      <c r="Q34" s="2"/>
      <c r="R34" s="22"/>
      <c r="S34" s="2"/>
      <c r="T34" s="2"/>
      <c r="U34" s="2"/>
      <c r="V34" s="22"/>
      <c r="W34" s="2"/>
      <c r="X34" s="2">
        <f t="shared" si="2"/>
        <v>148103.39000000001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"4053", " - ", "TAXABLE SALES-FOOD")</f>
        <v xml:space="preserve">          4053 - TAXABLE SALES-FOOD</v>
      </c>
      <c r="C35" s="11"/>
      <c r="D35" s="2">
        <f>--38.05</f>
        <v>38.049999999999997</v>
      </c>
      <c r="E35" s="2"/>
      <c r="F35" s="22"/>
      <c r="G35" s="2"/>
      <c r="H35" s="2"/>
      <c r="I35" s="2"/>
      <c r="J35" s="22"/>
      <c r="K35" s="2"/>
      <c r="L35" s="2">
        <f t="shared" si="0"/>
        <v>38.049999999999997</v>
      </c>
      <c r="M35" s="2"/>
      <c r="N35" s="22">
        <f t="shared" si="1"/>
        <v>0</v>
      </c>
      <c r="O35" s="11"/>
      <c r="P35" s="2">
        <f>--533.08</f>
        <v>533.08000000000004</v>
      </c>
      <c r="Q35" s="2"/>
      <c r="R35" s="22"/>
      <c r="S35" s="2"/>
      <c r="T35" s="2"/>
      <c r="U35" s="2"/>
      <c r="V35" s="22"/>
      <c r="W35" s="2"/>
      <c r="X35" s="2">
        <f t="shared" si="2"/>
        <v>533.08000000000004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"4058", " - ", "TAXABLE SALES-FOOD")</f>
        <v xml:space="preserve">          4058 - TAXABLE SALES-FOOD</v>
      </c>
      <c r="C36" s="11"/>
      <c r="D36" s="2">
        <f>0</f>
        <v>0</v>
      </c>
      <c r="E36" s="2"/>
      <c r="F36" s="22"/>
      <c r="G36" s="2"/>
      <c r="H36" s="2"/>
      <c r="I36" s="2"/>
      <c r="J36" s="22"/>
      <c r="K36" s="2"/>
      <c r="L36" s="2">
        <f t="shared" si="0"/>
        <v>0</v>
      </c>
      <c r="M36" s="2"/>
      <c r="N36" s="22">
        <f t="shared" si="1"/>
        <v>0</v>
      </c>
      <c r="O36" s="11"/>
      <c r="P36" s="2">
        <f>--974.91</f>
        <v>974.91</v>
      </c>
      <c r="Q36" s="2"/>
      <c r="R36" s="22"/>
      <c r="S36" s="2"/>
      <c r="T36" s="2"/>
      <c r="U36" s="2"/>
      <c r="V36" s="22"/>
      <c r="W36" s="2"/>
      <c r="X36" s="2">
        <f t="shared" si="2"/>
        <v>974.91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"4081", " - ", "TAXABLE SALES-ELECTRONICS")</f>
        <v xml:space="preserve">          4081 - TAXABLE SALES-ELECTRONICS</v>
      </c>
      <c r="C37" s="11"/>
      <c r="D37" s="2">
        <f>--860.25</f>
        <v>860.25</v>
      </c>
      <c r="E37" s="2"/>
      <c r="F37" s="22"/>
      <c r="G37" s="2"/>
      <c r="H37" s="2"/>
      <c r="I37" s="2"/>
      <c r="J37" s="22"/>
      <c r="K37" s="2"/>
      <c r="L37" s="2">
        <f t="shared" si="0"/>
        <v>860.25</v>
      </c>
      <c r="M37" s="2"/>
      <c r="N37" s="22">
        <f t="shared" si="1"/>
        <v>0</v>
      </c>
      <c r="O37" s="11"/>
      <c r="P37" s="2">
        <f>--56951.47</f>
        <v>56951.47</v>
      </c>
      <c r="Q37" s="2"/>
      <c r="R37" s="22"/>
      <c r="S37" s="2"/>
      <c r="T37" s="2"/>
      <c r="U37" s="2"/>
      <c r="V37" s="22"/>
      <c r="W37" s="2"/>
      <c r="X37" s="2">
        <f t="shared" si="2"/>
        <v>56951.47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"4082", " - ", "TAXABLE SALES-COMPUTER HARDWAR")</f>
        <v xml:space="preserve">          4082 - TAXABLE SALES-COMPUTER HARDWAR</v>
      </c>
      <c r="C38" s="11"/>
      <c r="D38" s="2">
        <f>--43662</f>
        <v>43662</v>
      </c>
      <c r="E38" s="2"/>
      <c r="F38" s="22"/>
      <c r="G38" s="2"/>
      <c r="H38" s="2"/>
      <c r="I38" s="2"/>
      <c r="J38" s="22"/>
      <c r="K38" s="2"/>
      <c r="L38" s="2">
        <f t="shared" si="0"/>
        <v>43662</v>
      </c>
      <c r="M38" s="2"/>
      <c r="N38" s="22">
        <f t="shared" si="1"/>
        <v>0</v>
      </c>
      <c r="O38" s="11"/>
      <c r="P38" s="2">
        <f>--993256.89</f>
        <v>993256.89</v>
      </c>
      <c r="Q38" s="2"/>
      <c r="R38" s="22"/>
      <c r="S38" s="2"/>
      <c r="T38" s="2"/>
      <c r="U38" s="2"/>
      <c r="V38" s="22"/>
      <c r="W38" s="2"/>
      <c r="X38" s="2">
        <f t="shared" si="2"/>
        <v>993256.89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"4083", " - ", "TAXABLE SALES-COMPUTER EQUIPME")</f>
        <v xml:space="preserve">          4083 - TAXABLE SALES-COMPUTER EQUIPME</v>
      </c>
      <c r="C39" s="11"/>
      <c r="D39" s="2">
        <f>--7787.03</f>
        <v>7787.03</v>
      </c>
      <c r="E39" s="2"/>
      <c r="F39" s="22"/>
      <c r="G39" s="2"/>
      <c r="H39" s="2"/>
      <c r="I39" s="2"/>
      <c r="J39" s="22"/>
      <c r="K39" s="2"/>
      <c r="L39" s="2">
        <f t="shared" si="0"/>
        <v>7787.03</v>
      </c>
      <c r="M39" s="2"/>
      <c r="N39" s="22">
        <f t="shared" si="1"/>
        <v>0</v>
      </c>
      <c r="O39" s="11"/>
      <c r="P39" s="2">
        <f>--84647.97</f>
        <v>84647.97</v>
      </c>
      <c r="Q39" s="2"/>
      <c r="R39" s="22"/>
      <c r="S39" s="2"/>
      <c r="T39" s="2"/>
      <c r="U39" s="2"/>
      <c r="V39" s="22"/>
      <c r="W39" s="2"/>
      <c r="X39" s="2">
        <f t="shared" si="2"/>
        <v>84647.97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"4085", " - ", "TAXABLE SALES-SOFTWARE")</f>
        <v xml:space="preserve">          4085 - TAXABLE SALES-SOFTWARE</v>
      </c>
      <c r="C40" s="11"/>
      <c r="D40" s="2">
        <f>--1228.99</f>
        <v>1228.99</v>
      </c>
      <c r="E40" s="2"/>
      <c r="F40" s="22"/>
      <c r="G40" s="2"/>
      <c r="H40" s="2"/>
      <c r="I40" s="2"/>
      <c r="J40" s="22"/>
      <c r="K40" s="2"/>
      <c r="L40" s="2">
        <f t="shared" si="0"/>
        <v>1228.99</v>
      </c>
      <c r="M40" s="2"/>
      <c r="N40" s="22">
        <f t="shared" si="1"/>
        <v>0</v>
      </c>
      <c r="O40" s="11"/>
      <c r="P40" s="2">
        <f>--2728.94</f>
        <v>2728.94</v>
      </c>
      <c r="Q40" s="2"/>
      <c r="R40" s="22"/>
      <c r="S40" s="2"/>
      <c r="T40" s="2"/>
      <c r="U40" s="2"/>
      <c r="V40" s="22"/>
      <c r="W40" s="2"/>
      <c r="X40" s="2">
        <f t="shared" si="2"/>
        <v>2728.94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"4086", " - ", "TAXABLE SALES-COMPUTER SUPPLIE")</f>
        <v xml:space="preserve">          4086 - TAXABLE SALES-COMPUTER SUPPLIE</v>
      </c>
      <c r="C41" s="11"/>
      <c r="D41" s="2">
        <f>--27507.98</f>
        <v>27507.98</v>
      </c>
      <c r="E41" s="2"/>
      <c r="F41" s="22"/>
      <c r="G41" s="2"/>
      <c r="H41" s="2"/>
      <c r="I41" s="2"/>
      <c r="J41" s="22"/>
      <c r="K41" s="2"/>
      <c r="L41" s="2">
        <f t="shared" si="0"/>
        <v>27507.98</v>
      </c>
      <c r="M41" s="2"/>
      <c r="N41" s="22">
        <f t="shared" si="1"/>
        <v>0</v>
      </c>
      <c r="O41" s="11"/>
      <c r="P41" s="2">
        <f>--57135.58</f>
        <v>57135.58</v>
      </c>
      <c r="Q41" s="2"/>
      <c r="R41" s="22"/>
      <c r="S41" s="2"/>
      <c r="T41" s="2"/>
      <c r="U41" s="2"/>
      <c r="V41" s="22"/>
      <c r="W41" s="2"/>
      <c r="X41" s="2">
        <f t="shared" si="2"/>
        <v>57135.58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"4100", " - ", "NON-TAXABLE SALES")</f>
        <v xml:space="preserve">          4100 - NON-TAXABLE SALES</v>
      </c>
      <c r="C42" s="11"/>
      <c r="D42" s="2">
        <f>--12999.25</f>
        <v>12999.25</v>
      </c>
      <c r="E42" s="2"/>
      <c r="F42" s="22"/>
      <c r="G42" s="2"/>
      <c r="H42" s="2">
        <v>375896</v>
      </c>
      <c r="I42" s="2"/>
      <c r="J42" s="22"/>
      <c r="K42" s="2"/>
      <c r="L42" s="2">
        <f t="shared" si="0"/>
        <v>-362896.75</v>
      </c>
      <c r="M42" s="2"/>
      <c r="N42" s="22">
        <f t="shared" si="1"/>
        <v>-0.96541796135101199</v>
      </c>
      <c r="O42" s="11"/>
      <c r="P42" s="2">
        <f>--501259.67</f>
        <v>501259.67</v>
      </c>
      <c r="Q42" s="2"/>
      <c r="R42" s="22"/>
      <c r="S42" s="2"/>
      <c r="T42" s="2">
        <v>2576909</v>
      </c>
      <c r="U42" s="2"/>
      <c r="V42" s="22"/>
      <c r="W42" s="2"/>
      <c r="X42" s="2">
        <f t="shared" si="2"/>
        <v>-2075649.33</v>
      </c>
      <c r="Y42" s="2"/>
      <c r="Z42" s="22">
        <f t="shared" si="3"/>
        <v>-0.80548025948917878</v>
      </c>
    </row>
    <row r="43" spans="1:26" s="24" customFormat="1" hidden="1" outlineLevel="1" x14ac:dyDescent="0.25">
      <c r="A43" s="51"/>
      <c r="B43" s="11" t="str">
        <f>CONCATENATE("          ", "4101", " - ", "NON-TAXABLE SALES-NEW TEXT")</f>
        <v xml:space="preserve">          4101 - NON-TAXABLE SALES-NEW TEXT</v>
      </c>
      <c r="C43" s="11"/>
      <c r="D43" s="2">
        <f>--3205.21</f>
        <v>3205.21</v>
      </c>
      <c r="E43" s="2"/>
      <c r="F43" s="22"/>
      <c r="G43" s="2"/>
      <c r="H43" s="2"/>
      <c r="I43" s="2"/>
      <c r="J43" s="22"/>
      <c r="K43" s="2"/>
      <c r="L43" s="2">
        <f t="shared" si="0"/>
        <v>3205.21</v>
      </c>
      <c r="M43" s="2"/>
      <c r="N43" s="22">
        <f t="shared" si="1"/>
        <v>0</v>
      </c>
      <c r="O43" s="11"/>
      <c r="P43" s="2">
        <f>--82140.93</f>
        <v>82140.929999999993</v>
      </c>
      <c r="Q43" s="2"/>
      <c r="R43" s="22"/>
      <c r="S43" s="2"/>
      <c r="T43" s="2"/>
      <c r="U43" s="2"/>
      <c r="V43" s="22"/>
      <c r="W43" s="2"/>
      <c r="X43" s="2">
        <f t="shared" si="2"/>
        <v>82140.929999999993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"4102", " - ", "NON-TAXABLE SALES-USED TEXT")</f>
        <v xml:space="preserve">          4102 - NON-TAXABLE SALES-USED TEXT</v>
      </c>
      <c r="C44" s="11"/>
      <c r="D44" s="2">
        <f>--598.12</f>
        <v>598.12</v>
      </c>
      <c r="E44" s="2"/>
      <c r="F44" s="22"/>
      <c r="G44" s="2"/>
      <c r="H44" s="2"/>
      <c r="I44" s="2"/>
      <c r="J44" s="22"/>
      <c r="K44" s="2"/>
      <c r="L44" s="2">
        <f t="shared" si="0"/>
        <v>598.12</v>
      </c>
      <c r="M44" s="2"/>
      <c r="N44" s="22">
        <f t="shared" si="1"/>
        <v>0</v>
      </c>
      <c r="O44" s="11"/>
      <c r="P44" s="2">
        <f>--33631.31</f>
        <v>33631.31</v>
      </c>
      <c r="Q44" s="2"/>
      <c r="R44" s="22"/>
      <c r="S44" s="2"/>
      <c r="T44" s="2"/>
      <c r="U44" s="2"/>
      <c r="V44" s="22"/>
      <c r="W44" s="2"/>
      <c r="X44" s="2">
        <f t="shared" si="2"/>
        <v>33631.31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"4103", " - ", "NON-TAXABLE SALES-RENTAL TEXT")</f>
        <v xml:space="preserve">          4103 - NON-TAXABLE SALES-RENTAL TEXT</v>
      </c>
      <c r="C45" s="11"/>
      <c r="D45" s="2">
        <f>0</f>
        <v>0</v>
      </c>
      <c r="E45" s="2"/>
      <c r="F45" s="22"/>
      <c r="G45" s="2"/>
      <c r="H45" s="2"/>
      <c r="I45" s="2"/>
      <c r="J45" s="22"/>
      <c r="K45" s="2"/>
      <c r="L45" s="2">
        <f t="shared" si="0"/>
        <v>0</v>
      </c>
      <c r="M45" s="2"/>
      <c r="N45" s="22">
        <f t="shared" si="1"/>
        <v>0</v>
      </c>
      <c r="O45" s="11"/>
      <c r="P45" s="2">
        <f>--284.97</f>
        <v>284.97000000000003</v>
      </c>
      <c r="Q45" s="2"/>
      <c r="R45" s="22"/>
      <c r="S45" s="2"/>
      <c r="T45" s="2"/>
      <c r="U45" s="2"/>
      <c r="V45" s="22"/>
      <c r="W45" s="2"/>
      <c r="X45" s="2">
        <f t="shared" si="2"/>
        <v>284.97000000000003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"4104", " - ", "NON-TAXABLE SALES-DIGITAL TEXT")</f>
        <v xml:space="preserve">          4104 - NON-TAXABLE SALES-DIGITAL TEXT</v>
      </c>
      <c r="C46" s="11"/>
      <c r="D46" s="2">
        <f>--1301.3</f>
        <v>1301.3</v>
      </c>
      <c r="E46" s="2"/>
      <c r="F46" s="22"/>
      <c r="G46" s="2"/>
      <c r="H46" s="2"/>
      <c r="I46" s="2"/>
      <c r="J46" s="22"/>
      <c r="K46" s="2"/>
      <c r="L46" s="2">
        <f t="shared" si="0"/>
        <v>1301.3</v>
      </c>
      <c r="M46" s="2"/>
      <c r="N46" s="22">
        <f t="shared" si="1"/>
        <v>0</v>
      </c>
      <c r="O46" s="11"/>
      <c r="P46" s="2">
        <f>--296191.01</f>
        <v>296191.01</v>
      </c>
      <c r="Q46" s="2"/>
      <c r="R46" s="22"/>
      <c r="S46" s="2"/>
      <c r="T46" s="2"/>
      <c r="U46" s="2"/>
      <c r="V46" s="22"/>
      <c r="W46" s="2"/>
      <c r="X46" s="2">
        <f t="shared" si="2"/>
        <v>296191.01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"4113", " - ", "NON-TAXABLE SALES-TRADE BOOKS")</f>
        <v xml:space="preserve">          4113 - NON-TAXABLE SALES-TRADE BOOKS</v>
      </c>
      <c r="C47" s="11"/>
      <c r="D47" s="2">
        <f>--41.55</f>
        <v>41.55</v>
      </c>
      <c r="E47" s="2"/>
      <c r="F47" s="22"/>
      <c r="G47" s="2"/>
      <c r="H47" s="2"/>
      <c r="I47" s="2"/>
      <c r="J47" s="22"/>
      <c r="K47" s="2"/>
      <c r="L47" s="2">
        <f t="shared" si="0"/>
        <v>41.55</v>
      </c>
      <c r="M47" s="2"/>
      <c r="N47" s="22">
        <f t="shared" si="1"/>
        <v>0</v>
      </c>
      <c r="O47" s="11"/>
      <c r="P47" s="2">
        <f>--2327.5</f>
        <v>2327.5</v>
      </c>
      <c r="Q47" s="2"/>
      <c r="R47" s="22"/>
      <c r="S47" s="2"/>
      <c r="T47" s="2"/>
      <c r="U47" s="2"/>
      <c r="V47" s="22"/>
      <c r="W47" s="2"/>
      <c r="X47" s="2">
        <f t="shared" si="2"/>
        <v>2327.5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"4118", " - ", "NON-TAXABLE SALES-STUDY GUIDES")</f>
        <v xml:space="preserve">          4118 - NON-TAXABLE SALES-STUDY GUIDES</v>
      </c>
      <c r="C48" s="11"/>
      <c r="D48" s="2">
        <f t="shared" ref="D48:D49" si="6">0</f>
        <v>0</v>
      </c>
      <c r="E48" s="2"/>
      <c r="F48" s="22"/>
      <c r="G48" s="2"/>
      <c r="H48" s="2"/>
      <c r="I48" s="2"/>
      <c r="J48" s="22"/>
      <c r="K48" s="2"/>
      <c r="L48" s="2">
        <f t="shared" si="0"/>
        <v>0</v>
      </c>
      <c r="M48" s="2"/>
      <c r="N48" s="22">
        <f t="shared" si="1"/>
        <v>0</v>
      </c>
      <c r="O48" s="11"/>
      <c r="P48" s="2">
        <f>--233.43</f>
        <v>233.43</v>
      </c>
      <c r="Q48" s="2"/>
      <c r="R48" s="22"/>
      <c r="S48" s="2"/>
      <c r="T48" s="2"/>
      <c r="U48" s="2"/>
      <c r="V48" s="22"/>
      <c r="W48" s="2"/>
      <c r="X48" s="2">
        <f t="shared" si="2"/>
        <v>233.43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"4126", " - ", "NON-TAXABLE SALES-WRITING INST")</f>
        <v xml:space="preserve">          4126 - NON-TAXABLE SALES-WRITING INST</v>
      </c>
      <c r="C49" s="11"/>
      <c r="D49" s="2">
        <f t="shared" si="6"/>
        <v>0</v>
      </c>
      <c r="E49" s="2"/>
      <c r="F49" s="22"/>
      <c r="G49" s="2"/>
      <c r="H49" s="2"/>
      <c r="I49" s="2"/>
      <c r="J49" s="22"/>
      <c r="K49" s="2"/>
      <c r="L49" s="2">
        <f t="shared" si="0"/>
        <v>0</v>
      </c>
      <c r="M49" s="2"/>
      <c r="N49" s="22">
        <f t="shared" si="1"/>
        <v>0</v>
      </c>
      <c r="O49" s="11"/>
      <c r="P49" s="2">
        <f>--52.68</f>
        <v>52.68</v>
      </c>
      <c r="Q49" s="2"/>
      <c r="R49" s="22"/>
      <c r="S49" s="2"/>
      <c r="T49" s="2"/>
      <c r="U49" s="2"/>
      <c r="V49" s="22"/>
      <c r="W49" s="2"/>
      <c r="X49" s="2">
        <f t="shared" si="2"/>
        <v>52.68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"4127", " - ", "NON-TAXABLE SALES-SCHOOL SUPPL")</f>
        <v xml:space="preserve">          4127 - NON-TAXABLE SALES-SCHOOL SUPPL</v>
      </c>
      <c r="C50" s="11"/>
      <c r="D50" s="2">
        <f>--259.53</f>
        <v>259.52999999999997</v>
      </c>
      <c r="E50" s="2"/>
      <c r="F50" s="22"/>
      <c r="G50" s="2"/>
      <c r="H50" s="2"/>
      <c r="I50" s="2"/>
      <c r="J50" s="22"/>
      <c r="K50" s="2"/>
      <c r="L50" s="2">
        <f t="shared" si="0"/>
        <v>259.52999999999997</v>
      </c>
      <c r="M50" s="2"/>
      <c r="N50" s="22">
        <f t="shared" si="1"/>
        <v>0</v>
      </c>
      <c r="O50" s="11"/>
      <c r="P50" s="2">
        <f>--3206.11</f>
        <v>3206.11</v>
      </c>
      <c r="Q50" s="2"/>
      <c r="R50" s="22"/>
      <c r="S50" s="2"/>
      <c r="T50" s="2"/>
      <c r="U50" s="2"/>
      <c r="V50" s="22"/>
      <c r="W50" s="2"/>
      <c r="X50" s="2">
        <f t="shared" si="2"/>
        <v>3206.11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"4128", " - ", "NON-TAXABLE SALES-ART/TECH")</f>
        <v xml:space="preserve">          4128 - NON-TAXABLE SALES-ART/TECH</v>
      </c>
      <c r="C51" s="11"/>
      <c r="D51" s="2">
        <f>0</f>
        <v>0</v>
      </c>
      <c r="E51" s="2"/>
      <c r="F51" s="22"/>
      <c r="G51" s="2"/>
      <c r="H51" s="2"/>
      <c r="I51" s="2"/>
      <c r="J51" s="22"/>
      <c r="K51" s="2"/>
      <c r="L51" s="2">
        <f t="shared" si="0"/>
        <v>0</v>
      </c>
      <c r="M51" s="2"/>
      <c r="N51" s="22">
        <f t="shared" si="1"/>
        <v>0</v>
      </c>
      <c r="O51" s="11"/>
      <c r="P51" s="2">
        <f>--24.78</f>
        <v>24.78</v>
      </c>
      <c r="Q51" s="2"/>
      <c r="R51" s="22"/>
      <c r="S51" s="2"/>
      <c r="T51" s="2"/>
      <c r="U51" s="2"/>
      <c r="V51" s="22"/>
      <c r="W51" s="2"/>
      <c r="X51" s="2">
        <f t="shared" si="2"/>
        <v>24.78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"4131", " - ", "NON-TAXABLE SALES-FOOD")</f>
        <v xml:space="preserve">          4131 - NON-TAXABLE SALES-FOOD</v>
      </c>
      <c r="C52" s="11"/>
      <c r="D52" s="2">
        <f>--1032.82</f>
        <v>1032.82</v>
      </c>
      <c r="E52" s="2"/>
      <c r="F52" s="22"/>
      <c r="G52" s="2"/>
      <c r="H52" s="2"/>
      <c r="I52" s="2"/>
      <c r="J52" s="22"/>
      <c r="K52" s="2"/>
      <c r="L52" s="2">
        <f t="shared" si="0"/>
        <v>1032.82</v>
      </c>
      <c r="M52" s="2"/>
      <c r="N52" s="22">
        <f t="shared" si="1"/>
        <v>0</v>
      </c>
      <c r="O52" s="11"/>
      <c r="P52" s="2">
        <f>--7542.15</f>
        <v>7542.15</v>
      </c>
      <c r="Q52" s="2"/>
      <c r="R52" s="22"/>
      <c r="S52" s="2"/>
      <c r="T52" s="2"/>
      <c r="U52" s="2"/>
      <c r="V52" s="22"/>
      <c r="W52" s="2"/>
      <c r="X52" s="2">
        <f t="shared" si="2"/>
        <v>7542.15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"4132", " - ", "NON-TAXABLE SALES-JUICE")</f>
        <v xml:space="preserve">          4132 - NON-TAXABLE SALES-JUICE</v>
      </c>
      <c r="C53" s="11"/>
      <c r="D53" s="2">
        <f t="shared" ref="D53:D56" si="7">0</f>
        <v>0</v>
      </c>
      <c r="E53" s="2"/>
      <c r="F53" s="22"/>
      <c r="G53" s="2"/>
      <c r="H53" s="2"/>
      <c r="I53" s="2"/>
      <c r="J53" s="22"/>
      <c r="K53" s="2"/>
      <c r="L53" s="2">
        <f t="shared" si="0"/>
        <v>0</v>
      </c>
      <c r="M53" s="2"/>
      <c r="N53" s="22">
        <f t="shared" si="1"/>
        <v>0</v>
      </c>
      <c r="O53" s="11"/>
      <c r="P53" s="2">
        <f>--2054.37</f>
        <v>2054.37</v>
      </c>
      <c r="Q53" s="2"/>
      <c r="R53" s="22"/>
      <c r="S53" s="2"/>
      <c r="T53" s="2"/>
      <c r="U53" s="2"/>
      <c r="V53" s="22"/>
      <c r="W53" s="2"/>
      <c r="X53" s="2">
        <f t="shared" si="2"/>
        <v>2054.37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"4133", " - ", "NON-TAXABLE SALES-CANDY")</f>
        <v xml:space="preserve">          4133 - NON-TAXABLE SALES-CANDY</v>
      </c>
      <c r="C54" s="11"/>
      <c r="D54" s="2">
        <f t="shared" si="7"/>
        <v>0</v>
      </c>
      <c r="E54" s="2"/>
      <c r="F54" s="22"/>
      <c r="G54" s="2"/>
      <c r="H54" s="2"/>
      <c r="I54" s="2"/>
      <c r="J54" s="22"/>
      <c r="K54" s="2"/>
      <c r="L54" s="2">
        <f t="shared" si="0"/>
        <v>0</v>
      </c>
      <c r="M54" s="2"/>
      <c r="N54" s="22">
        <f t="shared" si="1"/>
        <v>0</v>
      </c>
      <c r="O54" s="11"/>
      <c r="P54" s="2">
        <f>--80.71</f>
        <v>80.709999999999994</v>
      </c>
      <c r="Q54" s="2"/>
      <c r="R54" s="22"/>
      <c r="S54" s="2"/>
      <c r="T54" s="2"/>
      <c r="U54" s="2"/>
      <c r="V54" s="22"/>
      <c r="W54" s="2"/>
      <c r="X54" s="2">
        <f t="shared" si="2"/>
        <v>80.709999999999994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"4134", " - ", "NON-TAXABLE SALES-SODA")</f>
        <v xml:space="preserve">          4134 - NON-TAXABLE SALES-SODA</v>
      </c>
      <c r="C55" s="11"/>
      <c r="D55" s="2">
        <f t="shared" si="7"/>
        <v>0</v>
      </c>
      <c r="E55" s="2"/>
      <c r="F55" s="22"/>
      <c r="G55" s="2"/>
      <c r="H55" s="2"/>
      <c r="I55" s="2"/>
      <c r="J55" s="22"/>
      <c r="K55" s="2"/>
      <c r="L55" s="2">
        <f t="shared" si="0"/>
        <v>0</v>
      </c>
      <c r="M55" s="2"/>
      <c r="N55" s="22">
        <f t="shared" si="1"/>
        <v>0</v>
      </c>
      <c r="O55" s="11"/>
      <c r="P55" s="2">
        <f>--45.53</f>
        <v>45.53</v>
      </c>
      <c r="Q55" s="2"/>
      <c r="R55" s="22"/>
      <c r="S55" s="2"/>
      <c r="T55" s="2"/>
      <c r="U55" s="2"/>
      <c r="V55" s="22"/>
      <c r="W55" s="2"/>
      <c r="X55" s="2">
        <f t="shared" si="2"/>
        <v>45.53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"4137", " - ", "NON-TAXABLE SALES-WATER")</f>
        <v xml:space="preserve">          4137 - NON-TAXABLE SALES-WATER</v>
      </c>
      <c r="C56" s="11"/>
      <c r="D56" s="2">
        <f t="shared" si="7"/>
        <v>0</v>
      </c>
      <c r="E56" s="2"/>
      <c r="F56" s="22"/>
      <c r="G56" s="2"/>
      <c r="H56" s="2"/>
      <c r="I56" s="2"/>
      <c r="J56" s="22"/>
      <c r="K56" s="2"/>
      <c r="L56" s="2">
        <f t="shared" si="0"/>
        <v>0</v>
      </c>
      <c r="M56" s="2"/>
      <c r="N56" s="22">
        <f t="shared" si="1"/>
        <v>0</v>
      </c>
      <c r="O56" s="11"/>
      <c r="P56" s="2">
        <f>--68.25</f>
        <v>68.25</v>
      </c>
      <c r="Q56" s="2"/>
      <c r="R56" s="22"/>
      <c r="S56" s="2"/>
      <c r="T56" s="2"/>
      <c r="U56" s="2"/>
      <c r="V56" s="22"/>
      <c r="W56" s="2"/>
      <c r="X56" s="2">
        <f t="shared" si="2"/>
        <v>68.25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"4140", " - ", "NON-TAXABLE SALES-LOGO CLOTHIN")</f>
        <v xml:space="preserve">          4140 - NON-TAXABLE SALES-LOGO CLOTHIN</v>
      </c>
      <c r="C57" s="11"/>
      <c r="D57" s="2">
        <f>--53650.7</f>
        <v>53650.7</v>
      </c>
      <c r="E57" s="2"/>
      <c r="F57" s="22"/>
      <c r="G57" s="2"/>
      <c r="H57" s="2"/>
      <c r="I57" s="2"/>
      <c r="J57" s="22"/>
      <c r="K57" s="2"/>
      <c r="L57" s="2">
        <f t="shared" si="0"/>
        <v>53650.7</v>
      </c>
      <c r="M57" s="2"/>
      <c r="N57" s="22">
        <f t="shared" si="1"/>
        <v>0</v>
      </c>
      <c r="O57" s="11"/>
      <c r="P57" s="2">
        <f>--103970.97</f>
        <v>103970.97</v>
      </c>
      <c r="Q57" s="2"/>
      <c r="R57" s="22"/>
      <c r="S57" s="2"/>
      <c r="T57" s="2"/>
      <c r="U57" s="2"/>
      <c r="V57" s="22"/>
      <c r="W57" s="2"/>
      <c r="X57" s="2">
        <f t="shared" si="2"/>
        <v>103970.97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"4141", " - ", "NON-TAXABLE SALES-LOGO GIFTS")</f>
        <v xml:space="preserve">          4141 - NON-TAXABLE SALES-LOGO GIFTS</v>
      </c>
      <c r="C58" s="11"/>
      <c r="D58" s="2">
        <f>--1780.23</f>
        <v>1780.23</v>
      </c>
      <c r="E58" s="2"/>
      <c r="F58" s="22"/>
      <c r="G58" s="2"/>
      <c r="H58" s="2"/>
      <c r="I58" s="2"/>
      <c r="J58" s="22"/>
      <c r="K58" s="2"/>
      <c r="L58" s="2">
        <f t="shared" si="0"/>
        <v>1780.23</v>
      </c>
      <c r="M58" s="2"/>
      <c r="N58" s="22">
        <f t="shared" si="1"/>
        <v>0</v>
      </c>
      <c r="O58" s="11"/>
      <c r="P58" s="2">
        <f>--5969.25</f>
        <v>5969.25</v>
      </c>
      <c r="Q58" s="2"/>
      <c r="R58" s="22"/>
      <c r="S58" s="2"/>
      <c r="T58" s="2"/>
      <c r="U58" s="2"/>
      <c r="V58" s="22"/>
      <c r="W58" s="2"/>
      <c r="X58" s="2">
        <f t="shared" si="2"/>
        <v>5969.25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"4142", " - ", "NON-TAXABLE SALES-EVERYDAY GIF")</f>
        <v xml:space="preserve">          4142 - NON-TAXABLE SALES-EVERYDAY GIF</v>
      </c>
      <c r="C59" s="11"/>
      <c r="D59" s="2">
        <f>0</f>
        <v>0</v>
      </c>
      <c r="E59" s="2"/>
      <c r="F59" s="22"/>
      <c r="G59" s="2"/>
      <c r="H59" s="2"/>
      <c r="I59" s="2"/>
      <c r="J59" s="22"/>
      <c r="K59" s="2"/>
      <c r="L59" s="2">
        <f t="shared" si="0"/>
        <v>0</v>
      </c>
      <c r="M59" s="2"/>
      <c r="N59" s="22">
        <f t="shared" si="1"/>
        <v>0</v>
      </c>
      <c r="O59" s="11"/>
      <c r="P59" s="2">
        <f>--2208.19</f>
        <v>2208.19</v>
      </c>
      <c r="Q59" s="2"/>
      <c r="R59" s="22"/>
      <c r="S59" s="2"/>
      <c r="T59" s="2"/>
      <c r="U59" s="2"/>
      <c r="V59" s="22"/>
      <c r="W59" s="2"/>
      <c r="X59" s="2">
        <f t="shared" si="2"/>
        <v>2208.19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"4143", " - ", "NON-TAXABLE SALES-CARDS")</f>
        <v xml:space="preserve">          4143 - NON-TAXABLE SALES-CARDS</v>
      </c>
      <c r="C60" s="11"/>
      <c r="D60" s="2">
        <f>--1697.07</f>
        <v>1697.07</v>
      </c>
      <c r="E60" s="2"/>
      <c r="F60" s="22"/>
      <c r="G60" s="2"/>
      <c r="H60" s="2"/>
      <c r="I60" s="2"/>
      <c r="J60" s="22"/>
      <c r="K60" s="2"/>
      <c r="L60" s="2">
        <f t="shared" si="0"/>
        <v>1697.07</v>
      </c>
      <c r="M60" s="2"/>
      <c r="N60" s="22">
        <f t="shared" si="1"/>
        <v>0</v>
      </c>
      <c r="O60" s="11"/>
      <c r="P60" s="2">
        <f>--1737.03</f>
        <v>1737.03</v>
      </c>
      <c r="Q60" s="2"/>
      <c r="R60" s="22"/>
      <c r="S60" s="2"/>
      <c r="T60" s="2"/>
      <c r="U60" s="2"/>
      <c r="V60" s="22"/>
      <c r="W60" s="2"/>
      <c r="X60" s="2">
        <f t="shared" si="2"/>
        <v>1737.03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"4144", " - ", "NON-TAXABLE SALES-ACCESSORIES")</f>
        <v xml:space="preserve">          4144 - NON-TAXABLE SALES-ACCESSORIES</v>
      </c>
      <c r="C61" s="11"/>
      <c r="D61" s="2">
        <f>--99.8</f>
        <v>99.8</v>
      </c>
      <c r="E61" s="2"/>
      <c r="F61" s="22"/>
      <c r="G61" s="2"/>
      <c r="H61" s="2"/>
      <c r="I61" s="2"/>
      <c r="J61" s="22"/>
      <c r="K61" s="2"/>
      <c r="L61" s="2">
        <f t="shared" si="0"/>
        <v>99.8</v>
      </c>
      <c r="M61" s="2"/>
      <c r="N61" s="22">
        <f t="shared" si="1"/>
        <v>0</v>
      </c>
      <c r="O61" s="11"/>
      <c r="P61" s="2">
        <f>--489.5</f>
        <v>489.5</v>
      </c>
      <c r="Q61" s="2"/>
      <c r="R61" s="22"/>
      <c r="S61" s="2"/>
      <c r="T61" s="2"/>
      <c r="U61" s="2"/>
      <c r="V61" s="22"/>
      <c r="W61" s="2"/>
      <c r="X61" s="2">
        <f t="shared" si="2"/>
        <v>489.5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"4145", " - ", "NON-TAXABLE SALES-SPECIAL ORDE")</f>
        <v xml:space="preserve">          4145 - NON-TAXABLE SALES-SPECIAL ORDE</v>
      </c>
      <c r="C62" s="11"/>
      <c r="D62" s="2">
        <f>--16747.77</f>
        <v>16747.77</v>
      </c>
      <c r="E62" s="2"/>
      <c r="F62" s="22"/>
      <c r="G62" s="2"/>
      <c r="H62" s="2"/>
      <c r="I62" s="2"/>
      <c r="J62" s="22"/>
      <c r="K62" s="2"/>
      <c r="L62" s="2">
        <f t="shared" si="0"/>
        <v>16747.77</v>
      </c>
      <c r="M62" s="2"/>
      <c r="N62" s="22">
        <f t="shared" si="1"/>
        <v>0</v>
      </c>
      <c r="O62" s="11"/>
      <c r="P62" s="2">
        <f>--55393.77</f>
        <v>55393.77</v>
      </c>
      <c r="Q62" s="2"/>
      <c r="R62" s="22"/>
      <c r="S62" s="2"/>
      <c r="T62" s="2"/>
      <c r="U62" s="2"/>
      <c r="V62" s="22"/>
      <c r="W62" s="2"/>
      <c r="X62" s="2">
        <f t="shared" si="2"/>
        <v>55393.77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"4146", " - ", "NON-TAXABLE SALES-COIN OP MACH")</f>
        <v xml:space="preserve">          4146 - NON-TAXABLE SALES-COIN OP MACH</v>
      </c>
      <c r="C63" s="11"/>
      <c r="D63" s="2">
        <f>--19.9</f>
        <v>19.899999999999999</v>
      </c>
      <c r="E63" s="2"/>
      <c r="F63" s="22"/>
      <c r="G63" s="2"/>
      <c r="H63" s="2"/>
      <c r="I63" s="2"/>
      <c r="J63" s="22"/>
      <c r="K63" s="2"/>
      <c r="L63" s="2">
        <f t="shared" si="0"/>
        <v>19.899999999999999</v>
      </c>
      <c r="M63" s="2"/>
      <c r="N63" s="22">
        <f t="shared" si="1"/>
        <v>0</v>
      </c>
      <c r="O63" s="11"/>
      <c r="P63" s="2">
        <f>--127.9</f>
        <v>127.9</v>
      </c>
      <c r="Q63" s="2"/>
      <c r="R63" s="22"/>
      <c r="S63" s="2"/>
      <c r="T63" s="2"/>
      <c r="U63" s="2"/>
      <c r="V63" s="22"/>
      <c r="W63" s="2"/>
      <c r="X63" s="2">
        <f t="shared" si="2"/>
        <v>127.9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"4147", " - ", "NON-TAXABLE SALES-MISC")</f>
        <v xml:space="preserve">          4147 - NON-TAXABLE SALES-MISC</v>
      </c>
      <c r="C64" s="11"/>
      <c r="D64" s="2">
        <f>--13</f>
        <v>13</v>
      </c>
      <c r="E64" s="2"/>
      <c r="F64" s="22"/>
      <c r="G64" s="2"/>
      <c r="H64" s="2"/>
      <c r="I64" s="2"/>
      <c r="J64" s="22"/>
      <c r="K64" s="2"/>
      <c r="L64" s="2">
        <f t="shared" si="0"/>
        <v>13</v>
      </c>
      <c r="M64" s="2"/>
      <c r="N64" s="22">
        <f t="shared" si="1"/>
        <v>0</v>
      </c>
      <c r="O64" s="11"/>
      <c r="P64" s="2">
        <f>--104.5</f>
        <v>104.5</v>
      </c>
      <c r="Q64" s="2"/>
      <c r="R64" s="22"/>
      <c r="S64" s="2"/>
      <c r="T64" s="2"/>
      <c r="U64" s="2"/>
      <c r="V64" s="22"/>
      <c r="W64" s="2"/>
      <c r="X64" s="2">
        <f t="shared" si="2"/>
        <v>104.5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"4151", " - ", "NON-TAXABLE SALES-FOOD")</f>
        <v xml:space="preserve">          4151 - NON-TAXABLE SALES-FOOD</v>
      </c>
      <c r="C65" s="11"/>
      <c r="D65" s="2">
        <f>--85481.84</f>
        <v>85481.84</v>
      </c>
      <c r="E65" s="2"/>
      <c r="F65" s="22"/>
      <c r="G65" s="2"/>
      <c r="H65" s="2"/>
      <c r="I65" s="2"/>
      <c r="J65" s="22"/>
      <c r="K65" s="2"/>
      <c r="L65" s="2">
        <f t="shared" si="0"/>
        <v>85481.84</v>
      </c>
      <c r="M65" s="2"/>
      <c r="N65" s="22">
        <f t="shared" si="1"/>
        <v>0</v>
      </c>
      <c r="O65" s="11"/>
      <c r="P65" s="2">
        <f>--628376.6</f>
        <v>628376.6</v>
      </c>
      <c r="Q65" s="2"/>
      <c r="R65" s="22"/>
      <c r="S65" s="2"/>
      <c r="T65" s="2"/>
      <c r="U65" s="2"/>
      <c r="V65" s="22"/>
      <c r="W65" s="2"/>
      <c r="X65" s="2">
        <f t="shared" si="2"/>
        <v>628376.6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"4153", " - ", "NON-TAXABLE SALES-FOOD")</f>
        <v xml:space="preserve">          4153 - NON-TAXABLE SALES-FOOD</v>
      </c>
      <c r="C66" s="11"/>
      <c r="D66" s="2">
        <f>--3637.54</f>
        <v>3637.54</v>
      </c>
      <c r="E66" s="2"/>
      <c r="F66" s="22"/>
      <c r="G66" s="2"/>
      <c r="H66" s="2"/>
      <c r="I66" s="2"/>
      <c r="J66" s="22"/>
      <c r="K66" s="2"/>
      <c r="L66" s="2">
        <f t="shared" si="0"/>
        <v>3637.54</v>
      </c>
      <c r="M66" s="2"/>
      <c r="N66" s="22">
        <f t="shared" si="1"/>
        <v>0</v>
      </c>
      <c r="O66" s="11"/>
      <c r="P66" s="2">
        <f>--29871.4</f>
        <v>29871.4</v>
      </c>
      <c r="Q66" s="2"/>
      <c r="R66" s="22"/>
      <c r="S66" s="2"/>
      <c r="T66" s="2"/>
      <c r="U66" s="2"/>
      <c r="V66" s="22"/>
      <c r="W66" s="2"/>
      <c r="X66" s="2">
        <f t="shared" si="2"/>
        <v>29871.4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"4181", " - ", "NON-TAXABLE SALES-ELECTRONICS")</f>
        <v xml:space="preserve">          4181 - NON-TAXABLE SALES-ELECTRONICS</v>
      </c>
      <c r="C67" s="11"/>
      <c r="D67" s="2">
        <f>0</f>
        <v>0</v>
      </c>
      <c r="E67" s="2"/>
      <c r="F67" s="22"/>
      <c r="G67" s="2"/>
      <c r="H67" s="2"/>
      <c r="I67" s="2"/>
      <c r="J67" s="22"/>
      <c r="K67" s="2"/>
      <c r="L67" s="2">
        <f t="shared" si="0"/>
        <v>0</v>
      </c>
      <c r="M67" s="2"/>
      <c r="N67" s="22">
        <f t="shared" si="1"/>
        <v>0</v>
      </c>
      <c r="O67" s="11"/>
      <c r="P67" s="2">
        <f>--3534.12</f>
        <v>3534.12</v>
      </c>
      <c r="Q67" s="2"/>
      <c r="R67" s="22"/>
      <c r="S67" s="2"/>
      <c r="T67" s="2"/>
      <c r="U67" s="2"/>
      <c r="V67" s="22"/>
      <c r="W67" s="2"/>
      <c r="X67" s="2">
        <f t="shared" si="2"/>
        <v>3534.12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"4182", " - ", "NON-TAXABLE SALES-COMPUTER HAR")</f>
        <v xml:space="preserve">          4182 - NON-TAXABLE SALES-COMPUTER HAR</v>
      </c>
      <c r="C68" s="11"/>
      <c r="D68" s="2">
        <f>--9513.96</f>
        <v>9513.9599999999991</v>
      </c>
      <c r="E68" s="2"/>
      <c r="F68" s="22"/>
      <c r="G68" s="2"/>
      <c r="H68" s="2"/>
      <c r="I68" s="2"/>
      <c r="J68" s="22"/>
      <c r="K68" s="2"/>
      <c r="L68" s="2">
        <f t="shared" si="0"/>
        <v>9513.9599999999991</v>
      </c>
      <c r="M68" s="2"/>
      <c r="N68" s="22">
        <f t="shared" si="1"/>
        <v>0</v>
      </c>
      <c r="O68" s="11"/>
      <c r="P68" s="2">
        <f>--164308.31</f>
        <v>164308.31</v>
      </c>
      <c r="Q68" s="2"/>
      <c r="R68" s="22"/>
      <c r="S68" s="2"/>
      <c r="T68" s="2"/>
      <c r="U68" s="2"/>
      <c r="V68" s="22"/>
      <c r="W68" s="2"/>
      <c r="X68" s="2">
        <f t="shared" si="2"/>
        <v>164308.31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"4183", " - ", "NON-TAXABLE SALES-COMPUTER EQU")</f>
        <v xml:space="preserve">          4183 - NON-TAXABLE SALES-COMPUTER EQU</v>
      </c>
      <c r="C69" s="11"/>
      <c r="D69" s="2">
        <f>--258.91</f>
        <v>258.91000000000003</v>
      </c>
      <c r="E69" s="2"/>
      <c r="F69" s="22"/>
      <c r="G69" s="2"/>
      <c r="H69" s="2"/>
      <c r="I69" s="2"/>
      <c r="J69" s="22"/>
      <c r="K69" s="2"/>
      <c r="L69" s="2">
        <f t="shared" si="0"/>
        <v>258.91000000000003</v>
      </c>
      <c r="M69" s="2"/>
      <c r="N69" s="22">
        <f t="shared" si="1"/>
        <v>0</v>
      </c>
      <c r="O69" s="11"/>
      <c r="P69" s="2">
        <f>--7629.19</f>
        <v>7629.19</v>
      </c>
      <c r="Q69" s="2"/>
      <c r="R69" s="22"/>
      <c r="S69" s="2"/>
      <c r="T69" s="2"/>
      <c r="U69" s="2"/>
      <c r="V69" s="22"/>
      <c r="W69" s="2"/>
      <c r="X69" s="2">
        <f t="shared" si="2"/>
        <v>7629.19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"4185", " - ", "NON-TAXABLE SALES-SOFTWARE")</f>
        <v xml:space="preserve">          4185 - NON-TAXABLE SALES-SOFTWARE</v>
      </c>
      <c r="C70" s="11"/>
      <c r="D70" s="2">
        <f>--873.93</f>
        <v>873.93</v>
      </c>
      <c r="E70" s="2"/>
      <c r="F70" s="22"/>
      <c r="G70" s="2"/>
      <c r="H70" s="2"/>
      <c r="I70" s="2"/>
      <c r="J70" s="22"/>
      <c r="K70" s="2"/>
      <c r="L70" s="2">
        <f t="shared" si="0"/>
        <v>873.93</v>
      </c>
      <c r="M70" s="2"/>
      <c r="N70" s="22">
        <f t="shared" si="1"/>
        <v>0</v>
      </c>
      <c r="O70" s="11"/>
      <c r="P70" s="2">
        <f>--26680.67</f>
        <v>26680.67</v>
      </c>
      <c r="Q70" s="2"/>
      <c r="R70" s="22"/>
      <c r="S70" s="2"/>
      <c r="T70" s="2"/>
      <c r="U70" s="2"/>
      <c r="V70" s="22"/>
      <c r="W70" s="2"/>
      <c r="X70" s="2">
        <f t="shared" si="2"/>
        <v>26680.67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"4186", " - ", "NON-TAXABLE SALES-COMPUTER SUP")</f>
        <v xml:space="preserve">          4186 - NON-TAXABLE SALES-COMPUTER SUP</v>
      </c>
      <c r="C71" s="11"/>
      <c r="D71" s="2">
        <f>--176.22</f>
        <v>176.22</v>
      </c>
      <c r="E71" s="2"/>
      <c r="F71" s="22"/>
      <c r="G71" s="2"/>
      <c r="H71" s="2"/>
      <c r="I71" s="2"/>
      <c r="J71" s="22"/>
      <c r="K71" s="2"/>
      <c r="L71" s="2">
        <f t="shared" si="0"/>
        <v>176.22</v>
      </c>
      <c r="M71" s="2"/>
      <c r="N71" s="22">
        <f t="shared" si="1"/>
        <v>0</v>
      </c>
      <c r="O71" s="11"/>
      <c r="P71" s="2">
        <f>--1949.99</f>
        <v>1949.99</v>
      </c>
      <c r="Q71" s="2"/>
      <c r="R71" s="22"/>
      <c r="S71" s="2"/>
      <c r="T71" s="2"/>
      <c r="U71" s="2"/>
      <c r="V71" s="22"/>
      <c r="W71" s="2"/>
      <c r="X71" s="2">
        <f t="shared" si="2"/>
        <v>1949.99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"4201", " - ", "SALES RETURN TAXABLE-NEW TEXT")</f>
        <v xml:space="preserve">          4201 - SALES RETURN TAXABLE-NEW TEXT</v>
      </c>
      <c r="C72" s="11"/>
      <c r="D72" s="2">
        <f>-681.18</f>
        <v>-681.18</v>
      </c>
      <c r="E72" s="2"/>
      <c r="F72" s="22"/>
      <c r="G72" s="2"/>
      <c r="H72" s="2"/>
      <c r="I72" s="2"/>
      <c r="J72" s="22"/>
      <c r="K72" s="2"/>
      <c r="L72" s="2">
        <f t="shared" si="0"/>
        <v>-681.18</v>
      </c>
      <c r="M72" s="2"/>
      <c r="N72" s="22">
        <f t="shared" si="1"/>
        <v>0</v>
      </c>
      <c r="O72" s="11"/>
      <c r="P72" s="2">
        <f>-35775.84</f>
        <v>-35775.839999999997</v>
      </c>
      <c r="Q72" s="2"/>
      <c r="R72" s="22"/>
      <c r="S72" s="2"/>
      <c r="T72" s="2"/>
      <c r="U72" s="2"/>
      <c r="V72" s="22"/>
      <c r="W72" s="2"/>
      <c r="X72" s="2">
        <f t="shared" si="2"/>
        <v>-35775.839999999997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"4202", " - ", "SALES RETURN TAXABLE-USED TEXT")</f>
        <v xml:space="preserve">          4202 - SALES RETURN TAXABLE-USED TEXT</v>
      </c>
      <c r="C73" s="11"/>
      <c r="D73" s="2">
        <f>-62.65</f>
        <v>-62.65</v>
      </c>
      <c r="E73" s="2"/>
      <c r="F73" s="22"/>
      <c r="G73" s="2"/>
      <c r="H73" s="2"/>
      <c r="I73" s="2"/>
      <c r="J73" s="22"/>
      <c r="K73" s="2"/>
      <c r="L73" s="2">
        <f t="shared" si="0"/>
        <v>-62.65</v>
      </c>
      <c r="M73" s="2"/>
      <c r="N73" s="22">
        <f t="shared" si="1"/>
        <v>0</v>
      </c>
      <c r="O73" s="11"/>
      <c r="P73" s="2">
        <f>-13866</f>
        <v>-13866</v>
      </c>
      <c r="Q73" s="2"/>
      <c r="R73" s="22"/>
      <c r="S73" s="2"/>
      <c r="T73" s="2"/>
      <c r="U73" s="2"/>
      <c r="V73" s="22"/>
      <c r="W73" s="2"/>
      <c r="X73" s="2">
        <f t="shared" si="2"/>
        <v>-13866</v>
      </c>
      <c r="Y73" s="2"/>
      <c r="Z73" s="22">
        <f t="shared" si="3"/>
        <v>0</v>
      </c>
    </row>
    <row r="74" spans="1:26" s="24" customFormat="1" hidden="1" outlineLevel="1" x14ac:dyDescent="0.25">
      <c r="A74" s="51"/>
      <c r="B74" s="11" t="str">
        <f>CONCATENATE("          ", "4204", " - ", "SALES RETURN TAXABLE-DIGITAL T")</f>
        <v xml:space="preserve">          4204 - SALES RETURN TAXABLE-DIGITAL T</v>
      </c>
      <c r="C74" s="11"/>
      <c r="D74" s="2">
        <f t="shared" ref="D74:D75" si="8">0</f>
        <v>0</v>
      </c>
      <c r="E74" s="2"/>
      <c r="F74" s="22"/>
      <c r="G74" s="2"/>
      <c r="H74" s="2"/>
      <c r="I74" s="2"/>
      <c r="J74" s="22"/>
      <c r="K74" s="2"/>
      <c r="L74" s="2">
        <f t="shared" si="0"/>
        <v>0</v>
      </c>
      <c r="M74" s="2"/>
      <c r="N74" s="22">
        <f t="shared" si="1"/>
        <v>0</v>
      </c>
      <c r="O74" s="11"/>
      <c r="P74" s="2">
        <f>-1630.85</f>
        <v>-1630.85</v>
      </c>
      <c r="Q74" s="2"/>
      <c r="R74" s="22"/>
      <c r="S74" s="2"/>
      <c r="T74" s="2"/>
      <c r="U74" s="2"/>
      <c r="V74" s="22"/>
      <c r="W74" s="2"/>
      <c r="X74" s="2">
        <f t="shared" si="2"/>
        <v>-1630.85</v>
      </c>
      <c r="Y74" s="2"/>
      <c r="Z74" s="22">
        <f t="shared" si="3"/>
        <v>0</v>
      </c>
    </row>
    <row r="75" spans="1:26" s="24" customFormat="1" hidden="1" outlineLevel="1" x14ac:dyDescent="0.25">
      <c r="A75" s="51"/>
      <c r="B75" s="11" t="str">
        <f>CONCATENATE("          ", "4226", " - ", "SALES RETURN TAXABLE-WRITING I")</f>
        <v xml:space="preserve">          4226 - SALES RETURN TAXABLE-WRITING I</v>
      </c>
      <c r="C75" s="11"/>
      <c r="D75" s="2">
        <f t="shared" si="8"/>
        <v>0</v>
      </c>
      <c r="E75" s="2"/>
      <c r="F75" s="22"/>
      <c r="G75" s="2"/>
      <c r="H75" s="2"/>
      <c r="I75" s="2"/>
      <c r="J75" s="22"/>
      <c r="K75" s="2"/>
      <c r="L75" s="2">
        <f t="shared" si="0"/>
        <v>0</v>
      </c>
      <c r="M75" s="2"/>
      <c r="N75" s="22">
        <f t="shared" si="1"/>
        <v>0</v>
      </c>
      <c r="O75" s="11"/>
      <c r="P75" s="2">
        <f>-34.23</f>
        <v>-34.229999999999997</v>
      </c>
      <c r="Q75" s="2"/>
      <c r="R75" s="22"/>
      <c r="S75" s="2"/>
      <c r="T75" s="2"/>
      <c r="U75" s="2"/>
      <c r="V75" s="22"/>
      <c r="W75" s="2"/>
      <c r="X75" s="2">
        <f t="shared" si="2"/>
        <v>-34.229999999999997</v>
      </c>
      <c r="Y75" s="2"/>
      <c r="Z75" s="22">
        <f t="shared" si="3"/>
        <v>0</v>
      </c>
    </row>
    <row r="76" spans="1:26" s="24" customFormat="1" hidden="1" outlineLevel="1" x14ac:dyDescent="0.25">
      <c r="A76" s="51"/>
      <c r="B76" s="11" t="str">
        <f>CONCATENATE("          ", "4227", " - ", "SALES RETURN TAXABLE-SCHOOL SU")</f>
        <v xml:space="preserve">          4227 - SALES RETURN TAXABLE-SCHOOL SU</v>
      </c>
      <c r="C76" s="11"/>
      <c r="D76" s="2">
        <f>-25.82</f>
        <v>-25.82</v>
      </c>
      <c r="E76" s="2"/>
      <c r="F76" s="22"/>
      <c r="G76" s="2"/>
      <c r="H76" s="2"/>
      <c r="I76" s="2"/>
      <c r="J76" s="22"/>
      <c r="K76" s="2"/>
      <c r="L76" s="2">
        <f t="shared" si="0"/>
        <v>-25.82</v>
      </c>
      <c r="M76" s="2"/>
      <c r="N76" s="22">
        <f t="shared" si="1"/>
        <v>0</v>
      </c>
      <c r="O76" s="11"/>
      <c r="P76" s="2">
        <f>-636.46</f>
        <v>-636.46</v>
      </c>
      <c r="Q76" s="2"/>
      <c r="R76" s="22"/>
      <c r="S76" s="2"/>
      <c r="T76" s="2"/>
      <c r="U76" s="2"/>
      <c r="V76" s="22"/>
      <c r="W76" s="2"/>
      <c r="X76" s="2">
        <f t="shared" si="2"/>
        <v>-636.46</v>
      </c>
      <c r="Y76" s="2"/>
      <c r="Z76" s="22">
        <f t="shared" si="3"/>
        <v>0</v>
      </c>
    </row>
    <row r="77" spans="1:26" s="24" customFormat="1" hidden="1" outlineLevel="1" x14ac:dyDescent="0.25">
      <c r="A77" s="51"/>
      <c r="B77" s="11" t="str">
        <f>CONCATENATE("          ", "4228", " - ", "SALES RETURN TAXABLE-ART/TECH")</f>
        <v xml:space="preserve">          4228 - SALES RETURN TAXABLE-ART/TECH</v>
      </c>
      <c r="C77" s="11"/>
      <c r="D77" s="2">
        <f>0</f>
        <v>0</v>
      </c>
      <c r="E77" s="2"/>
      <c r="F77" s="22"/>
      <c r="G77" s="2"/>
      <c r="H77" s="2"/>
      <c r="I77" s="2"/>
      <c r="J77" s="22"/>
      <c r="K77" s="2"/>
      <c r="L77" s="2">
        <f t="shared" si="0"/>
        <v>0</v>
      </c>
      <c r="M77" s="2"/>
      <c r="N77" s="22">
        <f t="shared" si="1"/>
        <v>0</v>
      </c>
      <c r="O77" s="11"/>
      <c r="P77" s="2">
        <f>-254.69</f>
        <v>-254.69</v>
      </c>
      <c r="Q77" s="2"/>
      <c r="R77" s="22"/>
      <c r="S77" s="2"/>
      <c r="T77" s="2"/>
      <c r="U77" s="2"/>
      <c r="V77" s="22"/>
      <c r="W77" s="2"/>
      <c r="X77" s="2">
        <f t="shared" si="2"/>
        <v>-254.69</v>
      </c>
      <c r="Y77" s="2"/>
      <c r="Z77" s="22">
        <f t="shared" si="3"/>
        <v>0</v>
      </c>
    </row>
    <row r="78" spans="1:26" s="24" customFormat="1" hidden="1" outlineLevel="1" x14ac:dyDescent="0.25">
      <c r="A78" s="51"/>
      <c r="B78" s="11" t="str">
        <f>CONCATENATE("          ", "4240", " - ", "SALES RETURN TAXABLE-LOGO CLOT")</f>
        <v xml:space="preserve">          4240 - SALES RETURN TAXABLE-LOGO CLOT</v>
      </c>
      <c r="C78" s="11"/>
      <c r="D78" s="2">
        <f>-4840.17</f>
        <v>-4840.17</v>
      </c>
      <c r="E78" s="2"/>
      <c r="F78" s="22"/>
      <c r="G78" s="2"/>
      <c r="H78" s="2"/>
      <c r="I78" s="2"/>
      <c r="J78" s="22"/>
      <c r="K78" s="2"/>
      <c r="L78" s="2">
        <f t="shared" si="0"/>
        <v>-4840.17</v>
      </c>
      <c r="M78" s="2"/>
      <c r="N78" s="22">
        <f t="shared" si="1"/>
        <v>0</v>
      </c>
      <c r="O78" s="11"/>
      <c r="P78" s="2">
        <f>-20418.84</f>
        <v>-20418.84</v>
      </c>
      <c r="Q78" s="2"/>
      <c r="R78" s="22"/>
      <c r="S78" s="2"/>
      <c r="T78" s="2"/>
      <c r="U78" s="2"/>
      <c r="V78" s="22"/>
      <c r="W78" s="2"/>
      <c r="X78" s="2">
        <f t="shared" si="2"/>
        <v>-20418.84</v>
      </c>
      <c r="Y78" s="2"/>
      <c r="Z78" s="22">
        <f t="shared" si="3"/>
        <v>0</v>
      </c>
    </row>
    <row r="79" spans="1:26" s="24" customFormat="1" hidden="1" outlineLevel="1" x14ac:dyDescent="0.25">
      <c r="A79" s="51"/>
      <c r="B79" s="11" t="str">
        <f>CONCATENATE("          ", "4241", " - ", "SALES RETURN TAXABLE-LOGO GIFT")</f>
        <v xml:space="preserve">          4241 - SALES RETURN TAXABLE-LOGO GIFT</v>
      </c>
      <c r="C79" s="11"/>
      <c r="D79" s="2">
        <f>-755.16</f>
        <v>-755.16</v>
      </c>
      <c r="E79" s="2"/>
      <c r="F79" s="22"/>
      <c r="G79" s="2"/>
      <c r="H79" s="2"/>
      <c r="I79" s="2"/>
      <c r="J79" s="22"/>
      <c r="K79" s="2"/>
      <c r="L79" s="2">
        <f t="shared" si="0"/>
        <v>-755.16</v>
      </c>
      <c r="M79" s="2"/>
      <c r="N79" s="22">
        <f t="shared" si="1"/>
        <v>0</v>
      </c>
      <c r="O79" s="11"/>
      <c r="P79" s="2">
        <f>-3560.01</f>
        <v>-3560.01</v>
      </c>
      <c r="Q79" s="2"/>
      <c r="R79" s="22"/>
      <c r="S79" s="2"/>
      <c r="T79" s="2"/>
      <c r="U79" s="2"/>
      <c r="V79" s="22"/>
      <c r="W79" s="2"/>
      <c r="X79" s="2">
        <f t="shared" si="2"/>
        <v>-3560.01</v>
      </c>
      <c r="Y79" s="2"/>
      <c r="Z79" s="22">
        <f t="shared" si="3"/>
        <v>0</v>
      </c>
    </row>
    <row r="80" spans="1:26" s="24" customFormat="1" hidden="1" outlineLevel="1" x14ac:dyDescent="0.25">
      <c r="A80" s="51"/>
      <c r="B80" s="11" t="str">
        <f>CONCATENATE("          ", "4242", " - ", "SALES RETURN TAXABLE-EVERYDAY")</f>
        <v xml:space="preserve">          4242 - SALES RETURN TAXABLE-EVERYDAY</v>
      </c>
      <c r="C80" s="11"/>
      <c r="D80" s="2">
        <f>-287.93</f>
        <v>-287.93</v>
      </c>
      <c r="E80" s="2"/>
      <c r="F80" s="22"/>
      <c r="G80" s="2"/>
      <c r="H80" s="2"/>
      <c r="I80" s="2"/>
      <c r="J80" s="22"/>
      <c r="K80" s="2"/>
      <c r="L80" s="2">
        <f t="shared" si="0"/>
        <v>-287.93</v>
      </c>
      <c r="M80" s="2"/>
      <c r="N80" s="22">
        <f t="shared" si="1"/>
        <v>0</v>
      </c>
      <c r="O80" s="11"/>
      <c r="P80" s="2">
        <f>-1616.92</f>
        <v>-1616.92</v>
      </c>
      <c r="Q80" s="2"/>
      <c r="R80" s="22"/>
      <c r="S80" s="2"/>
      <c r="T80" s="2"/>
      <c r="U80" s="2"/>
      <c r="V80" s="22"/>
      <c r="W80" s="2"/>
      <c r="X80" s="2">
        <f t="shared" si="2"/>
        <v>-1616.92</v>
      </c>
      <c r="Y80" s="2"/>
      <c r="Z80" s="22">
        <f t="shared" si="3"/>
        <v>0</v>
      </c>
    </row>
    <row r="81" spans="1:26" s="24" customFormat="1" hidden="1" outlineLevel="1" x14ac:dyDescent="0.25">
      <c r="A81" s="51"/>
      <c r="B81" s="11" t="str">
        <f>CONCATENATE("          ", "4243", " - ", "SALES RETURN TAXABLE-CARDS")</f>
        <v xml:space="preserve">          4243 - SALES RETURN TAXABLE-CARDS</v>
      </c>
      <c r="C81" s="11"/>
      <c r="D81" s="2">
        <f>-1765.08</f>
        <v>-1765.08</v>
      </c>
      <c r="E81" s="2"/>
      <c r="F81" s="22"/>
      <c r="G81" s="2"/>
      <c r="H81" s="2"/>
      <c r="I81" s="2"/>
      <c r="J81" s="22"/>
      <c r="K81" s="2"/>
      <c r="L81" s="2">
        <f t="shared" si="0"/>
        <v>-1765.08</v>
      </c>
      <c r="M81" s="2"/>
      <c r="N81" s="22">
        <f t="shared" si="1"/>
        <v>0</v>
      </c>
      <c r="O81" s="11"/>
      <c r="P81" s="2">
        <f>-3577.54</f>
        <v>-3577.54</v>
      </c>
      <c r="Q81" s="2"/>
      <c r="R81" s="22"/>
      <c r="S81" s="2"/>
      <c r="T81" s="2"/>
      <c r="U81" s="2"/>
      <c r="V81" s="22"/>
      <c r="W81" s="2"/>
      <c r="X81" s="2">
        <f t="shared" si="2"/>
        <v>-3577.54</v>
      </c>
      <c r="Y81" s="2"/>
      <c r="Z81" s="22">
        <f t="shared" si="3"/>
        <v>0</v>
      </c>
    </row>
    <row r="82" spans="1:26" s="24" customFormat="1" hidden="1" outlineLevel="1" x14ac:dyDescent="0.25">
      <c r="A82" s="51"/>
      <c r="B82" s="11" t="str">
        <f>CONCATENATE("          ", "4244", " - ", "SALES RETURN TAXABLE-ACCESSORI")</f>
        <v xml:space="preserve">          4244 - SALES RETURN TAXABLE-ACCESSORI</v>
      </c>
      <c r="C82" s="11"/>
      <c r="D82" s="2">
        <f>-299.93</f>
        <v>-299.93</v>
      </c>
      <c r="E82" s="2"/>
      <c r="F82" s="22"/>
      <c r="G82" s="2"/>
      <c r="H82" s="2"/>
      <c r="I82" s="2"/>
      <c r="J82" s="22"/>
      <c r="K82" s="2"/>
      <c r="L82" s="2">
        <f t="shared" si="0"/>
        <v>-299.93</v>
      </c>
      <c r="M82" s="2"/>
      <c r="N82" s="22">
        <f t="shared" si="1"/>
        <v>0</v>
      </c>
      <c r="O82" s="11"/>
      <c r="P82" s="2">
        <f>-890.87</f>
        <v>-890.87</v>
      </c>
      <c r="Q82" s="2"/>
      <c r="R82" s="22"/>
      <c r="S82" s="2"/>
      <c r="T82" s="2"/>
      <c r="U82" s="2"/>
      <c r="V82" s="22"/>
      <c r="W82" s="2"/>
      <c r="X82" s="2">
        <f t="shared" si="2"/>
        <v>-890.87</v>
      </c>
      <c r="Y82" s="2"/>
      <c r="Z82" s="22">
        <f t="shared" si="3"/>
        <v>0</v>
      </c>
    </row>
    <row r="83" spans="1:26" s="24" customFormat="1" hidden="1" outlineLevel="1" x14ac:dyDescent="0.25">
      <c r="A83" s="51"/>
      <c r="B83" s="11" t="str">
        <f>CONCATENATE("          ", "4245", " - ", "SALES RETURN TAXABLE-SPECIAL O")</f>
        <v xml:space="preserve">          4245 - SALES RETURN TAXABLE-SPECIAL O</v>
      </c>
      <c r="C83" s="11"/>
      <c r="D83" s="2">
        <f>-9752.79</f>
        <v>-9752.7900000000009</v>
      </c>
      <c r="E83" s="2"/>
      <c r="F83" s="22"/>
      <c r="G83" s="2"/>
      <c r="H83" s="2"/>
      <c r="I83" s="2"/>
      <c r="J83" s="22"/>
      <c r="K83" s="2"/>
      <c r="L83" s="2">
        <f t="shared" si="0"/>
        <v>-9752.7900000000009</v>
      </c>
      <c r="M83" s="2"/>
      <c r="N83" s="22">
        <f t="shared" si="1"/>
        <v>0</v>
      </c>
      <c r="O83" s="11"/>
      <c r="P83" s="2">
        <f>-11345.61</f>
        <v>-11345.61</v>
      </c>
      <c r="Q83" s="2"/>
      <c r="R83" s="22"/>
      <c r="S83" s="2"/>
      <c r="T83" s="2"/>
      <c r="U83" s="2"/>
      <c r="V83" s="22"/>
      <c r="W83" s="2"/>
      <c r="X83" s="2">
        <f t="shared" si="2"/>
        <v>-11345.61</v>
      </c>
      <c r="Y83" s="2"/>
      <c r="Z83" s="22">
        <f t="shared" si="3"/>
        <v>0</v>
      </c>
    </row>
    <row r="84" spans="1:26" s="24" customFormat="1" hidden="1" outlineLevel="1" x14ac:dyDescent="0.25">
      <c r="A84" s="51"/>
      <c r="B84" s="11" t="str">
        <f>CONCATENATE("          ", "4281", " - ", "SALES RETURN TAXABLE-ELECTRONI")</f>
        <v xml:space="preserve">          4281 - SALES RETURN TAXABLE-ELECTRONI</v>
      </c>
      <c r="C84" s="11"/>
      <c r="D84" s="2">
        <f>0</f>
        <v>0</v>
      </c>
      <c r="E84" s="2"/>
      <c r="F84" s="22"/>
      <c r="G84" s="2"/>
      <c r="H84" s="2"/>
      <c r="I84" s="2"/>
      <c r="J84" s="22"/>
      <c r="K84" s="2"/>
      <c r="L84" s="2">
        <f t="shared" si="0"/>
        <v>0</v>
      </c>
      <c r="M84" s="2"/>
      <c r="N84" s="22">
        <f t="shared" si="1"/>
        <v>0</v>
      </c>
      <c r="O84" s="11"/>
      <c r="P84" s="2">
        <f>-14632.15</f>
        <v>-14632.15</v>
      </c>
      <c r="Q84" s="2"/>
      <c r="R84" s="22"/>
      <c r="S84" s="2"/>
      <c r="T84" s="2"/>
      <c r="U84" s="2"/>
      <c r="V84" s="22"/>
      <c r="W84" s="2"/>
      <c r="X84" s="2">
        <f t="shared" si="2"/>
        <v>-14632.15</v>
      </c>
      <c r="Y84" s="2"/>
      <c r="Z84" s="22">
        <f t="shared" si="3"/>
        <v>0</v>
      </c>
    </row>
    <row r="85" spans="1:26" s="24" customFormat="1" hidden="1" outlineLevel="1" x14ac:dyDescent="0.25">
      <c r="A85" s="51"/>
      <c r="B85" s="11" t="str">
        <f>CONCATENATE("          ", "4282", " - ", "SALES RETURN TAXABLE-COMPUTER")</f>
        <v xml:space="preserve">          4282 - SALES RETURN TAXABLE-COMPUTER</v>
      </c>
      <c r="C85" s="11"/>
      <c r="D85" s="2">
        <f>-7936</f>
        <v>-7936</v>
      </c>
      <c r="E85" s="2"/>
      <c r="F85" s="22"/>
      <c r="G85" s="2"/>
      <c r="H85" s="2"/>
      <c r="I85" s="2"/>
      <c r="J85" s="22"/>
      <c r="K85" s="2"/>
      <c r="L85" s="2">
        <f t="shared" si="0"/>
        <v>-7936</v>
      </c>
      <c r="M85" s="2"/>
      <c r="N85" s="22">
        <f t="shared" si="1"/>
        <v>0</v>
      </c>
      <c r="O85" s="11"/>
      <c r="P85" s="2">
        <f>-92020.01</f>
        <v>-92020.01</v>
      </c>
      <c r="Q85" s="2"/>
      <c r="R85" s="22"/>
      <c r="S85" s="2"/>
      <c r="T85" s="2"/>
      <c r="U85" s="2"/>
      <c r="V85" s="22"/>
      <c r="W85" s="2"/>
      <c r="X85" s="2">
        <f t="shared" si="2"/>
        <v>-92020.01</v>
      </c>
      <c r="Y85" s="2"/>
      <c r="Z85" s="22">
        <f t="shared" si="3"/>
        <v>0</v>
      </c>
    </row>
    <row r="86" spans="1:26" s="24" customFormat="1" hidden="1" outlineLevel="1" x14ac:dyDescent="0.25">
      <c r="A86" s="51"/>
      <c r="B86" s="11" t="str">
        <f>CONCATENATE("          ", "4283", " - ", "SALES RETURN TAXABLE-COMPUTER")</f>
        <v xml:space="preserve">          4283 - SALES RETURN TAXABLE-COMPUTER</v>
      </c>
      <c r="C86" s="11"/>
      <c r="D86" s="2">
        <f>-99.99</f>
        <v>-99.99</v>
      </c>
      <c r="E86" s="2"/>
      <c r="F86" s="22"/>
      <c r="G86" s="2"/>
      <c r="H86" s="2"/>
      <c r="I86" s="2"/>
      <c r="J86" s="22"/>
      <c r="K86" s="2"/>
      <c r="L86" s="2">
        <f t="shared" si="0"/>
        <v>-99.99</v>
      </c>
      <c r="M86" s="2"/>
      <c r="N86" s="22">
        <f t="shared" si="1"/>
        <v>0</v>
      </c>
      <c r="O86" s="11"/>
      <c r="P86" s="2">
        <f>-3411.26</f>
        <v>-3411.26</v>
      </c>
      <c r="Q86" s="2"/>
      <c r="R86" s="22"/>
      <c r="S86" s="2"/>
      <c r="T86" s="2"/>
      <c r="U86" s="2"/>
      <c r="V86" s="22"/>
      <c r="W86" s="2"/>
      <c r="X86" s="2">
        <f t="shared" si="2"/>
        <v>-3411.26</v>
      </c>
      <c r="Y86" s="2"/>
      <c r="Z86" s="22">
        <f t="shared" si="3"/>
        <v>0</v>
      </c>
    </row>
    <row r="87" spans="1:26" s="24" customFormat="1" hidden="1" outlineLevel="1" x14ac:dyDescent="0.25">
      <c r="A87" s="51"/>
      <c r="B87" s="11" t="str">
        <f>CONCATENATE("          ", "4285", " - ", "SALES RETURN TAXABLE-SOFTWARE")</f>
        <v xml:space="preserve">          4285 - SALES RETURN TAXABLE-SOFTWARE</v>
      </c>
      <c r="C87" s="11"/>
      <c r="D87" s="2">
        <f>0</f>
        <v>0</v>
      </c>
      <c r="E87" s="2"/>
      <c r="F87" s="22"/>
      <c r="G87" s="2"/>
      <c r="H87" s="2"/>
      <c r="I87" s="2"/>
      <c r="J87" s="22"/>
      <c r="K87" s="2"/>
      <c r="L87" s="2">
        <f t="shared" si="0"/>
        <v>0</v>
      </c>
      <c r="M87" s="2"/>
      <c r="N87" s="22">
        <f t="shared" si="1"/>
        <v>0</v>
      </c>
      <c r="O87" s="11"/>
      <c r="P87" s="2">
        <f>-691.98</f>
        <v>-691.98</v>
      </c>
      <c r="Q87" s="2"/>
      <c r="R87" s="22"/>
      <c r="S87" s="2"/>
      <c r="T87" s="2"/>
      <c r="U87" s="2"/>
      <c r="V87" s="22"/>
      <c r="W87" s="2"/>
      <c r="X87" s="2">
        <f t="shared" si="2"/>
        <v>-691.98</v>
      </c>
      <c r="Y87" s="2"/>
      <c r="Z87" s="22">
        <f t="shared" si="3"/>
        <v>0</v>
      </c>
    </row>
    <row r="88" spans="1:26" s="24" customFormat="1" hidden="1" outlineLevel="1" x14ac:dyDescent="0.25">
      <c r="A88" s="51"/>
      <c r="B88" s="11" t="str">
        <f>CONCATENATE("          ", "4286", " - ", "SALES RETURN TAXABLE-COMPUTER")</f>
        <v xml:space="preserve">          4286 - SALES RETURN TAXABLE-COMPUTER</v>
      </c>
      <c r="C88" s="11"/>
      <c r="D88" s="2">
        <f>-4127</f>
        <v>-4127</v>
      </c>
      <c r="E88" s="2"/>
      <c r="F88" s="22"/>
      <c r="G88" s="2"/>
      <c r="H88" s="2"/>
      <c r="I88" s="2"/>
      <c r="J88" s="22"/>
      <c r="K88" s="2"/>
      <c r="L88" s="2">
        <f t="shared" si="0"/>
        <v>-4127</v>
      </c>
      <c r="M88" s="2"/>
      <c r="N88" s="22">
        <f t="shared" si="1"/>
        <v>0</v>
      </c>
      <c r="O88" s="11"/>
      <c r="P88" s="2">
        <f>-4708.35</f>
        <v>-4708.3500000000004</v>
      </c>
      <c r="Q88" s="2"/>
      <c r="R88" s="22"/>
      <c r="S88" s="2"/>
      <c r="T88" s="2"/>
      <c r="U88" s="2"/>
      <c r="V88" s="22"/>
      <c r="W88" s="2"/>
      <c r="X88" s="2">
        <f t="shared" si="2"/>
        <v>-4708.3500000000004</v>
      </c>
      <c r="Y88" s="2"/>
      <c r="Z88" s="22">
        <f t="shared" si="3"/>
        <v>0</v>
      </c>
    </row>
    <row r="89" spans="1:26" s="24" customFormat="1" hidden="1" outlineLevel="1" x14ac:dyDescent="0.25">
      <c r="A89" s="51"/>
      <c r="B89" s="11" t="str">
        <f>CONCATENATE("          ", "4301", " - ", "SALES RETURN NON TAXABLE-NEW T")</f>
        <v xml:space="preserve">          4301 - SALES RETURN NON TAXABLE-NEW T</v>
      </c>
      <c r="C89" s="11"/>
      <c r="D89" s="2">
        <f>-372.93</f>
        <v>-372.93</v>
      </c>
      <c r="E89" s="2"/>
      <c r="F89" s="22"/>
      <c r="G89" s="2"/>
      <c r="H89" s="2"/>
      <c r="I89" s="2"/>
      <c r="J89" s="22"/>
      <c r="K89" s="2"/>
      <c r="L89" s="2">
        <f t="shared" si="0"/>
        <v>-372.93</v>
      </c>
      <c r="M89" s="2"/>
      <c r="N89" s="22">
        <f t="shared" si="1"/>
        <v>0</v>
      </c>
      <c r="O89" s="11"/>
      <c r="P89" s="2">
        <f>-2749.1</f>
        <v>-2749.1</v>
      </c>
      <c r="Q89" s="2"/>
      <c r="R89" s="22"/>
      <c r="S89" s="2"/>
      <c r="T89" s="2"/>
      <c r="U89" s="2"/>
      <c r="V89" s="22"/>
      <c r="W89" s="2"/>
      <c r="X89" s="2">
        <f t="shared" si="2"/>
        <v>-2749.1</v>
      </c>
      <c r="Y89" s="2"/>
      <c r="Z89" s="22">
        <f t="shared" si="3"/>
        <v>0</v>
      </c>
    </row>
    <row r="90" spans="1:26" s="24" customFormat="1" hidden="1" outlineLevel="1" x14ac:dyDescent="0.25">
      <c r="A90" s="51"/>
      <c r="B90" s="11" t="str">
        <f>CONCATENATE("          ", "4302", " - ", "SALES RETURN NON TAXABLE-TEXT")</f>
        <v xml:space="preserve">          4302 - SALES RETURN NON TAXABLE-TEXT</v>
      </c>
      <c r="C90" s="11"/>
      <c r="D90" s="2">
        <f>-77.35</f>
        <v>-77.349999999999994</v>
      </c>
      <c r="E90" s="2"/>
      <c r="F90" s="22"/>
      <c r="G90" s="2"/>
      <c r="H90" s="2"/>
      <c r="I90" s="2"/>
      <c r="J90" s="22"/>
      <c r="K90" s="2"/>
      <c r="L90" s="2">
        <f t="shared" si="0"/>
        <v>-77.349999999999994</v>
      </c>
      <c r="M90" s="2"/>
      <c r="N90" s="22">
        <f t="shared" si="1"/>
        <v>0</v>
      </c>
      <c r="O90" s="11"/>
      <c r="P90" s="2">
        <f>-1470.2</f>
        <v>-1470.2</v>
      </c>
      <c r="Q90" s="2"/>
      <c r="R90" s="22"/>
      <c r="S90" s="2"/>
      <c r="T90" s="2"/>
      <c r="U90" s="2"/>
      <c r="V90" s="22"/>
      <c r="W90" s="2"/>
      <c r="X90" s="2">
        <f t="shared" si="2"/>
        <v>-1470.2</v>
      </c>
      <c r="Y90" s="2"/>
      <c r="Z90" s="22">
        <f t="shared" si="3"/>
        <v>0</v>
      </c>
    </row>
    <row r="91" spans="1:26" s="24" customFormat="1" hidden="1" outlineLevel="1" x14ac:dyDescent="0.25">
      <c r="A91" s="51"/>
      <c r="B91" s="11" t="str">
        <f>CONCATENATE("          ", "4304", " - ", "SALES RETURN NON TAXABLE-DIGIT")</f>
        <v xml:space="preserve">          4304 - SALES RETURN NON TAXABLE-DIGIT</v>
      </c>
      <c r="C91" s="11"/>
      <c r="D91" s="2">
        <f>-144.23</f>
        <v>-144.22999999999999</v>
      </c>
      <c r="E91" s="2"/>
      <c r="F91" s="22"/>
      <c r="G91" s="2"/>
      <c r="H91" s="2"/>
      <c r="I91" s="2"/>
      <c r="J91" s="22"/>
      <c r="K91" s="2"/>
      <c r="L91" s="2">
        <f t="shared" si="0"/>
        <v>-144.22999999999999</v>
      </c>
      <c r="M91" s="2"/>
      <c r="N91" s="22">
        <f t="shared" si="1"/>
        <v>0</v>
      </c>
      <c r="O91" s="11"/>
      <c r="P91" s="2">
        <f>-14422.77</f>
        <v>-14422.77</v>
      </c>
      <c r="Q91" s="2"/>
      <c r="R91" s="22"/>
      <c r="S91" s="2"/>
      <c r="T91" s="2"/>
      <c r="U91" s="2"/>
      <c r="V91" s="22"/>
      <c r="W91" s="2"/>
      <c r="X91" s="2">
        <f t="shared" si="2"/>
        <v>-14422.77</v>
      </c>
      <c r="Y91" s="2"/>
      <c r="Z91" s="22">
        <f t="shared" si="3"/>
        <v>0</v>
      </c>
    </row>
    <row r="92" spans="1:26" s="24" customFormat="1" hidden="1" outlineLevel="1" x14ac:dyDescent="0.25">
      <c r="A92" s="51"/>
      <c r="B92" s="11" t="str">
        <f>CONCATENATE("          ", "4340", " - ", "SALES RETURN NON TAXABLE-LOGO")</f>
        <v xml:space="preserve">          4340 - SALES RETURN NON TAXABLE-LOGO</v>
      </c>
      <c r="C92" s="11"/>
      <c r="D92" s="2">
        <f>-543.24</f>
        <v>-543.24</v>
      </c>
      <c r="E92" s="2"/>
      <c r="F92" s="22"/>
      <c r="G92" s="2"/>
      <c r="H92" s="2"/>
      <c r="I92" s="2"/>
      <c r="J92" s="22"/>
      <c r="K92" s="2"/>
      <c r="L92" s="2">
        <f t="shared" si="0"/>
        <v>-543.24</v>
      </c>
      <c r="M92" s="2"/>
      <c r="N92" s="22">
        <f t="shared" si="1"/>
        <v>0</v>
      </c>
      <c r="O92" s="11"/>
      <c r="P92" s="2">
        <f>-1483.72</f>
        <v>-1483.72</v>
      </c>
      <c r="Q92" s="2"/>
      <c r="R92" s="22"/>
      <c r="S92" s="2"/>
      <c r="T92" s="2"/>
      <c r="U92" s="2"/>
      <c r="V92" s="22"/>
      <c r="W92" s="2"/>
      <c r="X92" s="2">
        <f t="shared" si="2"/>
        <v>-1483.72</v>
      </c>
      <c r="Y92" s="2"/>
      <c r="Z92" s="22">
        <f t="shared" si="3"/>
        <v>0</v>
      </c>
    </row>
    <row r="93" spans="1:26" s="24" customFormat="1" hidden="1" outlineLevel="1" x14ac:dyDescent="0.25">
      <c r="A93" s="51"/>
      <c r="B93" s="11" t="str">
        <f>CONCATENATE("          ", "4341", " - ", "SALES RETURN NON TAXABLE-LOGO")</f>
        <v xml:space="preserve">          4341 - SALES RETURN NON TAXABLE-LOGO</v>
      </c>
      <c r="C93" s="11"/>
      <c r="D93" s="2">
        <f>-33.85</f>
        <v>-33.85</v>
      </c>
      <c r="E93" s="2"/>
      <c r="F93" s="22"/>
      <c r="G93" s="2"/>
      <c r="H93" s="2"/>
      <c r="I93" s="2"/>
      <c r="J93" s="22"/>
      <c r="K93" s="2"/>
      <c r="L93" s="2">
        <f t="shared" si="0"/>
        <v>-33.85</v>
      </c>
      <c r="M93" s="2"/>
      <c r="N93" s="22">
        <f t="shared" si="1"/>
        <v>0</v>
      </c>
      <c r="O93" s="11"/>
      <c r="P93" s="2">
        <f>-335.64</f>
        <v>-335.64</v>
      </c>
      <c r="Q93" s="2"/>
      <c r="R93" s="22"/>
      <c r="S93" s="2"/>
      <c r="T93" s="2"/>
      <c r="U93" s="2"/>
      <c r="V93" s="22"/>
      <c r="W93" s="2"/>
      <c r="X93" s="2">
        <f t="shared" si="2"/>
        <v>-335.64</v>
      </c>
      <c r="Y93" s="2"/>
      <c r="Z93" s="22">
        <f t="shared" si="3"/>
        <v>0</v>
      </c>
    </row>
    <row r="94" spans="1:26" s="24" customFormat="1" hidden="1" outlineLevel="1" x14ac:dyDescent="0.25">
      <c r="A94" s="51"/>
      <c r="B94" s="11" t="str">
        <f>CONCATENATE("          ", "4342", " - ", "SALES RETURN NON TAXABLE-EVERY")</f>
        <v xml:space="preserve">          4342 - SALES RETURN NON TAXABLE-EVERY</v>
      </c>
      <c r="C94" s="11"/>
      <c r="D94" s="2">
        <f t="shared" ref="D94:D95" si="9">0</f>
        <v>0</v>
      </c>
      <c r="E94" s="2"/>
      <c r="F94" s="22"/>
      <c r="G94" s="2"/>
      <c r="H94" s="2"/>
      <c r="I94" s="2"/>
      <c r="J94" s="22"/>
      <c r="K94" s="2"/>
      <c r="L94" s="2">
        <f t="shared" si="0"/>
        <v>0</v>
      </c>
      <c r="M94" s="2"/>
      <c r="N94" s="22">
        <f t="shared" si="1"/>
        <v>0</v>
      </c>
      <c r="O94" s="11"/>
      <c r="P94" s="2">
        <f>-118.7</f>
        <v>-118.7</v>
      </c>
      <c r="Q94" s="2"/>
      <c r="R94" s="22"/>
      <c r="S94" s="2"/>
      <c r="T94" s="2"/>
      <c r="U94" s="2"/>
      <c r="V94" s="22"/>
      <c r="W94" s="2"/>
      <c r="X94" s="2">
        <f t="shared" si="2"/>
        <v>-118.7</v>
      </c>
      <c r="Y94" s="2"/>
      <c r="Z94" s="22">
        <f t="shared" si="3"/>
        <v>0</v>
      </c>
    </row>
    <row r="95" spans="1:26" s="24" customFormat="1" hidden="1" outlineLevel="1" x14ac:dyDescent="0.25">
      <c r="A95" s="51"/>
      <c r="B95" s="11" t="str">
        <f>CONCATENATE("          ", "4381", " - ", "SALES RETURN NON TAXABLE-ELECT")</f>
        <v xml:space="preserve">          4381 - SALES RETURN NON TAXABLE-ELECT</v>
      </c>
      <c r="C95" s="11"/>
      <c r="D95" s="2">
        <f t="shared" si="9"/>
        <v>0</v>
      </c>
      <c r="E95" s="2"/>
      <c r="F95" s="22"/>
      <c r="G95" s="2"/>
      <c r="H95" s="2"/>
      <c r="I95" s="2"/>
      <c r="J95" s="22"/>
      <c r="K95" s="2"/>
      <c r="L95" s="2">
        <f t="shared" si="0"/>
        <v>0</v>
      </c>
      <c r="M95" s="2"/>
      <c r="N95" s="22">
        <f t="shared" si="1"/>
        <v>0</v>
      </c>
      <c r="O95" s="11"/>
      <c r="P95" s="2">
        <f>-5624.15</f>
        <v>-5624.15</v>
      </c>
      <c r="Q95" s="2"/>
      <c r="R95" s="22"/>
      <c r="S95" s="2"/>
      <c r="T95" s="2"/>
      <c r="U95" s="2"/>
      <c r="V95" s="22"/>
      <c r="W95" s="2"/>
      <c r="X95" s="2">
        <f t="shared" si="2"/>
        <v>-5624.15</v>
      </c>
      <c r="Y95" s="2"/>
      <c r="Z95" s="22">
        <f t="shared" si="3"/>
        <v>0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collapsed="1" x14ac:dyDescent="0.25">
      <c r="A97" s="10"/>
      <c r="B97" s="26" t="s">
        <v>8</v>
      </c>
      <c r="C97" s="10"/>
      <c r="D97" s="4">
        <f>SUM(OSRRefD16x_0)</f>
        <v>246276.64</v>
      </c>
      <c r="E97" s="4"/>
      <c r="F97" s="12">
        <f t="shared" ref="F97:F142" si="10">IF(D$12=0,0,D97/D$12)</f>
        <v>0.50931241906039837</v>
      </c>
      <c r="G97" s="4"/>
      <c r="H97" s="4">
        <f>SUM(OSRRefH16x_0)</f>
        <v>329827</v>
      </c>
      <c r="I97" s="4"/>
      <c r="J97" s="12">
        <f t="shared" ref="J97:J142" si="11">IF(H$12=0,0,H97/H$12)</f>
        <v>0.40539258283257479</v>
      </c>
      <c r="K97" s="4"/>
      <c r="L97" s="4">
        <f t="shared" ref="L97:L142" si="12">+D97-H97</f>
        <v>-83550.359999999986</v>
      </c>
      <c r="M97" s="4"/>
      <c r="N97" s="12">
        <f t="shared" ref="N97:N142" si="13">IF(H97=0,0,L97/H97)</f>
        <v>-0.25331570793173386</v>
      </c>
      <c r="O97" s="10"/>
      <c r="P97" s="4">
        <f>SUM(OSRRefP16x_0)</f>
        <v>3229441.27</v>
      </c>
      <c r="Q97" s="4"/>
      <c r="R97" s="12">
        <f t="shared" ref="R97:R142" si="14">IF(P$12=0,0,P97/P$12)</f>
        <v>0.62793783345561183</v>
      </c>
      <c r="S97" s="4"/>
      <c r="T97" s="4">
        <f>SUM(OSRRefT16x_0)</f>
        <v>4529360</v>
      </c>
      <c r="U97" s="4"/>
      <c r="V97" s="12">
        <f t="shared" ref="V97:V142" si="15">IF(T$12=0,0,T97/T$12)</f>
        <v>0.52572547889854115</v>
      </c>
      <c r="W97" s="4"/>
      <c r="X97" s="4">
        <f t="shared" ref="X97:X142" si="16">+P97-T97</f>
        <v>-1299918.73</v>
      </c>
      <c r="Y97" s="4"/>
      <c r="Z97" s="12">
        <f t="shared" ref="Z97:Z142" si="17">IF(T97=0,0,X97/T97)</f>
        <v>-0.28699832426656302</v>
      </c>
    </row>
    <row r="98" spans="1:26" s="24" customFormat="1" hidden="1" outlineLevel="1" x14ac:dyDescent="0.25">
      <c r="A98" s="51"/>
      <c r="B98" s="11" t="str">
        <f>CONCATENATE("          ", "5000", " - ", "PURCHASES @ COST")</f>
        <v xml:space="preserve">          5000 - PURCHASES @ COST</v>
      </c>
      <c r="C98" s="11"/>
      <c r="D98" s="2"/>
      <c r="E98" s="2"/>
      <c r="F98" s="22">
        <f t="shared" si="10"/>
        <v>0</v>
      </c>
      <c r="G98" s="2"/>
      <c r="H98" s="2">
        <v>329827</v>
      </c>
      <c r="I98" s="2"/>
      <c r="J98" s="22">
        <f t="shared" si="11"/>
        <v>0.40539258283257479</v>
      </c>
      <c r="K98" s="2"/>
      <c r="L98" s="2">
        <f t="shared" si="12"/>
        <v>-329827</v>
      </c>
      <c r="M98" s="2"/>
      <c r="N98" s="22">
        <f t="shared" si="13"/>
        <v>-1</v>
      </c>
      <c r="O98" s="11"/>
      <c r="P98" s="2"/>
      <c r="Q98" s="2"/>
      <c r="R98" s="22">
        <f t="shared" si="14"/>
        <v>0</v>
      </c>
      <c r="S98" s="2"/>
      <c r="T98" s="2">
        <v>4529360</v>
      </c>
      <c r="U98" s="2"/>
      <c r="V98" s="22">
        <f t="shared" si="15"/>
        <v>0.52572547889854115</v>
      </c>
      <c r="W98" s="2"/>
      <c r="X98" s="2">
        <f t="shared" si="16"/>
        <v>-4529360</v>
      </c>
      <c r="Y98" s="2"/>
      <c r="Z98" s="22">
        <f t="shared" si="17"/>
        <v>-1</v>
      </c>
    </row>
    <row r="99" spans="1:26" s="24" customFormat="1" hidden="1" outlineLevel="1" x14ac:dyDescent="0.25">
      <c r="A99" s="51"/>
      <c r="B99" s="11" t="str">
        <f>CONCATENATE("          ", "5001", " - ", "PURCHASES @ COST-NEW TEXT")</f>
        <v xml:space="preserve">          5001 - PURCHASES @ COST-NEW TEXT</v>
      </c>
      <c r="C99" s="11"/>
      <c r="D99" s="2">
        <v>37317.56</v>
      </c>
      <c r="E99" s="2"/>
      <c r="F99" s="22">
        <f t="shared" si="10"/>
        <v>7.7174582035192438E-2</v>
      </c>
      <c r="G99" s="2"/>
      <c r="H99" s="2"/>
      <c r="I99" s="2"/>
      <c r="J99" s="22">
        <f t="shared" si="11"/>
        <v>0</v>
      </c>
      <c r="K99" s="2"/>
      <c r="L99" s="2">
        <f t="shared" si="12"/>
        <v>37317.56</v>
      </c>
      <c r="M99" s="2"/>
      <c r="N99" s="22">
        <f t="shared" si="13"/>
        <v>0</v>
      </c>
      <c r="O99" s="11"/>
      <c r="P99" s="2">
        <v>1277913.04</v>
      </c>
      <c r="Q99" s="2"/>
      <c r="R99" s="22">
        <f t="shared" si="14"/>
        <v>0.24847949802854741</v>
      </c>
      <c r="S99" s="2"/>
      <c r="T99" s="2"/>
      <c r="U99" s="2"/>
      <c r="V99" s="22">
        <f t="shared" si="15"/>
        <v>0</v>
      </c>
      <c r="W99" s="2"/>
      <c r="X99" s="2">
        <f t="shared" si="16"/>
        <v>1277913.04</v>
      </c>
      <c r="Y99" s="2"/>
      <c r="Z99" s="22">
        <f t="shared" si="17"/>
        <v>0</v>
      </c>
    </row>
    <row r="100" spans="1:26" s="24" customFormat="1" hidden="1" outlineLevel="1" x14ac:dyDescent="0.25">
      <c r="A100" s="51"/>
      <c r="B100" s="11" t="str">
        <f>CONCATENATE("          ", "5002", " - ", "PURCHASES @ COST-USED TEXT")</f>
        <v xml:space="preserve">          5002 - PURCHASES @ COST-USED TEXT</v>
      </c>
      <c r="C100" s="11"/>
      <c r="D100" s="2">
        <v>70238.87</v>
      </c>
      <c r="E100" s="2"/>
      <c r="F100" s="22">
        <f t="shared" si="10"/>
        <v>0.14525749901317817</v>
      </c>
      <c r="G100" s="2"/>
      <c r="H100" s="2"/>
      <c r="I100" s="2"/>
      <c r="J100" s="22">
        <f t="shared" si="11"/>
        <v>0</v>
      </c>
      <c r="K100" s="2"/>
      <c r="L100" s="2">
        <f t="shared" si="12"/>
        <v>70238.87</v>
      </c>
      <c r="M100" s="2"/>
      <c r="N100" s="22">
        <f t="shared" si="13"/>
        <v>0</v>
      </c>
      <c r="O100" s="11"/>
      <c r="P100" s="2">
        <v>164472.92000000001</v>
      </c>
      <c r="Q100" s="2"/>
      <c r="R100" s="22">
        <f t="shared" si="14"/>
        <v>3.1980383110332328E-2</v>
      </c>
      <c r="S100" s="2"/>
      <c r="T100" s="2"/>
      <c r="U100" s="2"/>
      <c r="V100" s="22">
        <f t="shared" si="15"/>
        <v>0</v>
      </c>
      <c r="W100" s="2"/>
      <c r="X100" s="2">
        <f t="shared" si="16"/>
        <v>164472.92000000001</v>
      </c>
      <c r="Y100" s="2"/>
      <c r="Z100" s="22">
        <f t="shared" si="17"/>
        <v>0</v>
      </c>
    </row>
    <row r="101" spans="1:26" s="24" customFormat="1" hidden="1" outlineLevel="1" x14ac:dyDescent="0.25">
      <c r="A101" s="51"/>
      <c r="B101" s="11" t="str">
        <f>CONCATENATE("          ", "5003", " - ", "PURCHASES @ COST-RENTAL TEXT")</f>
        <v xml:space="preserve">          5003 - PURCHASES @ COST-RENTAL TEXT</v>
      </c>
      <c r="C101" s="11"/>
      <c r="D101" s="2"/>
      <c r="E101" s="2"/>
      <c r="F101" s="22">
        <f t="shared" si="10"/>
        <v>0</v>
      </c>
      <c r="G101" s="2"/>
      <c r="H101" s="2"/>
      <c r="I101" s="2"/>
      <c r="J101" s="22">
        <f t="shared" si="11"/>
        <v>0</v>
      </c>
      <c r="K101" s="2"/>
      <c r="L101" s="2">
        <f t="shared" si="12"/>
        <v>0</v>
      </c>
      <c r="M101" s="2"/>
      <c r="N101" s="22">
        <f t="shared" si="13"/>
        <v>0</v>
      </c>
      <c r="O101" s="11"/>
      <c r="P101" s="2">
        <v>32.520000000000003</v>
      </c>
      <c r="Q101" s="2"/>
      <c r="R101" s="22">
        <f t="shared" si="14"/>
        <v>6.3232418974990368E-6</v>
      </c>
      <c r="S101" s="2"/>
      <c r="T101" s="2"/>
      <c r="U101" s="2"/>
      <c r="V101" s="22">
        <f t="shared" si="15"/>
        <v>0</v>
      </c>
      <c r="W101" s="2"/>
      <c r="X101" s="2">
        <f t="shared" si="16"/>
        <v>32.520000000000003</v>
      </c>
      <c r="Y101" s="2"/>
      <c r="Z101" s="22">
        <f t="shared" si="17"/>
        <v>0</v>
      </c>
    </row>
    <row r="102" spans="1:26" s="24" customFormat="1" hidden="1" outlineLevel="1" x14ac:dyDescent="0.25">
      <c r="A102" s="51"/>
      <c r="B102" s="11" t="str">
        <f>CONCATENATE("          ", "5004", " - ", "PURCHASES @ COST-DIGITAL TEXT")</f>
        <v xml:space="preserve">          5004 - PURCHASES @ COST-DIGITAL TEXT</v>
      </c>
      <c r="C102" s="11"/>
      <c r="D102" s="2">
        <v>900</v>
      </c>
      <c r="E102" s="2"/>
      <c r="F102" s="22">
        <f t="shared" si="10"/>
        <v>1.8612450500963408E-3</v>
      </c>
      <c r="G102" s="2"/>
      <c r="H102" s="2"/>
      <c r="I102" s="2"/>
      <c r="J102" s="22">
        <f t="shared" si="11"/>
        <v>0</v>
      </c>
      <c r="K102" s="2"/>
      <c r="L102" s="2">
        <f t="shared" si="12"/>
        <v>900</v>
      </c>
      <c r="M102" s="2"/>
      <c r="N102" s="22">
        <f t="shared" si="13"/>
        <v>0</v>
      </c>
      <c r="O102" s="11"/>
      <c r="P102" s="2">
        <v>197838.11000000002</v>
      </c>
      <c r="Q102" s="2"/>
      <c r="R102" s="22">
        <f t="shared" si="14"/>
        <v>3.8467965131427528E-2</v>
      </c>
      <c r="S102" s="2"/>
      <c r="T102" s="2"/>
      <c r="U102" s="2"/>
      <c r="V102" s="22">
        <f t="shared" si="15"/>
        <v>0</v>
      </c>
      <c r="W102" s="2"/>
      <c r="X102" s="2">
        <f t="shared" si="16"/>
        <v>197838.11000000002</v>
      </c>
      <c r="Y102" s="2"/>
      <c r="Z102" s="22">
        <f t="shared" si="17"/>
        <v>0</v>
      </c>
    </row>
    <row r="103" spans="1:26" s="24" customFormat="1" hidden="1" outlineLevel="1" x14ac:dyDescent="0.25">
      <c r="A103" s="51"/>
      <c r="B103" s="11" t="str">
        <f>CONCATENATE("          ", "5011", " - ", "PURCHASES @ COST-NO VALUE TEXT")</f>
        <v xml:space="preserve">          5011 - PURCHASES @ COST-NO VALUE TEXT</v>
      </c>
      <c r="C103" s="11"/>
      <c r="D103" s="2"/>
      <c r="E103" s="2"/>
      <c r="F103" s="22">
        <f t="shared" si="10"/>
        <v>0</v>
      </c>
      <c r="G103" s="2"/>
      <c r="H103" s="2"/>
      <c r="I103" s="2"/>
      <c r="J103" s="22">
        <f t="shared" si="11"/>
        <v>0</v>
      </c>
      <c r="K103" s="2"/>
      <c r="L103" s="2">
        <f t="shared" si="12"/>
        <v>0</v>
      </c>
      <c r="M103" s="2"/>
      <c r="N103" s="22">
        <f t="shared" si="13"/>
        <v>0</v>
      </c>
      <c r="O103" s="11"/>
      <c r="P103" s="2">
        <v>67.17</v>
      </c>
      <c r="Q103" s="2"/>
      <c r="R103" s="22">
        <f t="shared" si="14"/>
        <v>1.3060644472786293E-5</v>
      </c>
      <c r="S103" s="2"/>
      <c r="T103" s="2"/>
      <c r="U103" s="2"/>
      <c r="V103" s="22">
        <f t="shared" si="15"/>
        <v>0</v>
      </c>
      <c r="W103" s="2"/>
      <c r="X103" s="2">
        <f t="shared" si="16"/>
        <v>67.17</v>
      </c>
      <c r="Y103" s="2"/>
      <c r="Z103" s="22">
        <f t="shared" si="17"/>
        <v>0</v>
      </c>
    </row>
    <row r="104" spans="1:26" s="24" customFormat="1" hidden="1" outlineLevel="1" x14ac:dyDescent="0.25">
      <c r="A104" s="51"/>
      <c r="B104" s="11" t="str">
        <f>CONCATENATE("          ", "5013", " - ", "PURCHASES @ COST-TRADE BOOKS")</f>
        <v xml:space="preserve">          5013 - PURCHASES @ COST-TRADE BOOKS</v>
      </c>
      <c r="C104" s="11"/>
      <c r="D104" s="2">
        <v>31.11</v>
      </c>
      <c r="E104" s="2"/>
      <c r="F104" s="22">
        <f t="shared" si="10"/>
        <v>6.4337037231663517E-5</v>
      </c>
      <c r="G104" s="2"/>
      <c r="H104" s="2"/>
      <c r="I104" s="2"/>
      <c r="J104" s="22">
        <f t="shared" si="11"/>
        <v>0</v>
      </c>
      <c r="K104" s="2"/>
      <c r="L104" s="2">
        <f t="shared" si="12"/>
        <v>31.11</v>
      </c>
      <c r="M104" s="2"/>
      <c r="N104" s="22">
        <f t="shared" si="13"/>
        <v>0</v>
      </c>
      <c r="O104" s="11"/>
      <c r="P104" s="2">
        <v>2125.85</v>
      </c>
      <c r="Q104" s="2"/>
      <c r="R104" s="22">
        <f t="shared" si="14"/>
        <v>4.1335374501224865E-4</v>
      </c>
      <c r="S104" s="2"/>
      <c r="T104" s="2"/>
      <c r="U104" s="2"/>
      <c r="V104" s="22">
        <f t="shared" si="15"/>
        <v>0</v>
      </c>
      <c r="W104" s="2"/>
      <c r="X104" s="2">
        <f t="shared" si="16"/>
        <v>2125.85</v>
      </c>
      <c r="Y104" s="2"/>
      <c r="Z104" s="22">
        <f t="shared" si="17"/>
        <v>0</v>
      </c>
    </row>
    <row r="105" spans="1:26" s="24" customFormat="1" hidden="1" outlineLevel="1" x14ac:dyDescent="0.25">
      <c r="A105" s="51"/>
      <c r="B105" s="11" t="str">
        <f>CONCATENATE("          ", "5014", " - ", "PURCHASES @ COST-REMAINDERS")</f>
        <v xml:space="preserve">          5014 - PURCHASES @ COST-REMAINDERS</v>
      </c>
      <c r="C105" s="11"/>
      <c r="D105" s="2"/>
      <c r="E105" s="2"/>
      <c r="F105" s="22">
        <f t="shared" si="10"/>
        <v>0</v>
      </c>
      <c r="G105" s="2"/>
      <c r="H105" s="2"/>
      <c r="I105" s="2"/>
      <c r="J105" s="22">
        <f t="shared" si="11"/>
        <v>0</v>
      </c>
      <c r="K105" s="2"/>
      <c r="L105" s="2">
        <f t="shared" si="12"/>
        <v>0</v>
      </c>
      <c r="M105" s="2"/>
      <c r="N105" s="22">
        <f t="shared" si="13"/>
        <v>0</v>
      </c>
      <c r="O105" s="11"/>
      <c r="P105" s="2">
        <v>90.41</v>
      </c>
      <c r="Q105" s="2"/>
      <c r="R105" s="22">
        <f t="shared" si="14"/>
        <v>1.7579468018231482E-5</v>
      </c>
      <c r="S105" s="2"/>
      <c r="T105" s="2"/>
      <c r="U105" s="2"/>
      <c r="V105" s="22">
        <f t="shared" si="15"/>
        <v>0</v>
      </c>
      <c r="W105" s="2"/>
      <c r="X105" s="2">
        <f t="shared" si="16"/>
        <v>90.41</v>
      </c>
      <c r="Y105" s="2"/>
      <c r="Z105" s="22">
        <f t="shared" si="17"/>
        <v>0</v>
      </c>
    </row>
    <row r="106" spans="1:26" s="24" customFormat="1" hidden="1" outlineLevel="1" x14ac:dyDescent="0.25">
      <c r="A106" s="51"/>
      <c r="B106" s="11" t="str">
        <f>CONCATENATE("          ", "5018", " - ", "PURCHASES @ COST-STUDY GUIDES")</f>
        <v xml:space="preserve">          5018 - PURCHASES @ COST-STUDY GUIDES</v>
      </c>
      <c r="C106" s="11"/>
      <c r="D106" s="2"/>
      <c r="E106" s="2"/>
      <c r="F106" s="22">
        <f t="shared" si="10"/>
        <v>0</v>
      </c>
      <c r="G106" s="2"/>
      <c r="H106" s="2"/>
      <c r="I106" s="2"/>
      <c r="J106" s="22">
        <f t="shared" si="11"/>
        <v>0</v>
      </c>
      <c r="K106" s="2"/>
      <c r="L106" s="2">
        <f t="shared" si="12"/>
        <v>0</v>
      </c>
      <c r="M106" s="2"/>
      <c r="N106" s="22">
        <f t="shared" si="13"/>
        <v>0</v>
      </c>
      <c r="O106" s="11"/>
      <c r="P106" s="2">
        <v>106.34</v>
      </c>
      <c r="Q106" s="2"/>
      <c r="R106" s="22">
        <f t="shared" si="14"/>
        <v>2.0676923228168743E-5</v>
      </c>
      <c r="S106" s="2"/>
      <c r="T106" s="2"/>
      <c r="U106" s="2"/>
      <c r="V106" s="22">
        <f t="shared" si="15"/>
        <v>0</v>
      </c>
      <c r="W106" s="2"/>
      <c r="X106" s="2">
        <f t="shared" si="16"/>
        <v>106.34</v>
      </c>
      <c r="Y106" s="2"/>
      <c r="Z106" s="22">
        <f t="shared" si="17"/>
        <v>0</v>
      </c>
    </row>
    <row r="107" spans="1:26" s="24" customFormat="1" hidden="1" outlineLevel="1" x14ac:dyDescent="0.25">
      <c r="A107" s="51"/>
      <c r="B107" s="11" t="str">
        <f>CONCATENATE("          ", "5025", " - ", "PURCHASES @ COST-TEST FORMS")</f>
        <v xml:space="preserve">          5025 - PURCHASES @ COST-TEST FORMS</v>
      </c>
      <c r="C107" s="11"/>
      <c r="D107" s="2"/>
      <c r="E107" s="2"/>
      <c r="F107" s="22">
        <f t="shared" si="10"/>
        <v>0</v>
      </c>
      <c r="G107" s="2"/>
      <c r="H107" s="2"/>
      <c r="I107" s="2"/>
      <c r="J107" s="22">
        <f t="shared" si="11"/>
        <v>0</v>
      </c>
      <c r="K107" s="2"/>
      <c r="L107" s="2">
        <f t="shared" si="12"/>
        <v>0</v>
      </c>
      <c r="M107" s="2"/>
      <c r="N107" s="22">
        <f t="shared" si="13"/>
        <v>0</v>
      </c>
      <c r="O107" s="11"/>
      <c r="P107" s="2">
        <v>599.29</v>
      </c>
      <c r="Q107" s="2"/>
      <c r="R107" s="22">
        <f t="shared" si="14"/>
        <v>1.1652692609939106E-4</v>
      </c>
      <c r="S107" s="2"/>
      <c r="T107" s="2"/>
      <c r="U107" s="2"/>
      <c r="V107" s="22">
        <f t="shared" si="15"/>
        <v>0</v>
      </c>
      <c r="W107" s="2"/>
      <c r="X107" s="2">
        <f t="shared" si="16"/>
        <v>599.29</v>
      </c>
      <c r="Y107" s="2"/>
      <c r="Z107" s="22">
        <f t="shared" si="17"/>
        <v>0</v>
      </c>
    </row>
    <row r="108" spans="1:26" s="24" customFormat="1" hidden="1" outlineLevel="1" x14ac:dyDescent="0.25">
      <c r="A108" s="51"/>
      <c r="B108" s="11" t="str">
        <f>CONCATENATE("          ", "5026", " - ", "PURCHASES @ COST-WRITING INSTR")</f>
        <v xml:space="preserve">          5026 - PURCHASES @ COST-WRITING INSTR</v>
      </c>
      <c r="C108" s="11"/>
      <c r="D108" s="2">
        <v>-5.1100000000000003</v>
      </c>
      <c r="E108" s="2"/>
      <c r="F108" s="22">
        <f t="shared" si="10"/>
        <v>-1.0567735784435891E-5</v>
      </c>
      <c r="G108" s="2"/>
      <c r="H108" s="2"/>
      <c r="I108" s="2"/>
      <c r="J108" s="22">
        <f t="shared" si="11"/>
        <v>0</v>
      </c>
      <c r="K108" s="2"/>
      <c r="L108" s="2">
        <f t="shared" si="12"/>
        <v>-5.1100000000000003</v>
      </c>
      <c r="M108" s="2"/>
      <c r="N108" s="22">
        <f t="shared" si="13"/>
        <v>0</v>
      </c>
      <c r="O108" s="11"/>
      <c r="P108" s="2">
        <v>374.91</v>
      </c>
      <c r="Q108" s="2"/>
      <c r="R108" s="22">
        <f t="shared" si="14"/>
        <v>7.289811253970983E-5</v>
      </c>
      <c r="S108" s="2"/>
      <c r="T108" s="2"/>
      <c r="U108" s="2"/>
      <c r="V108" s="22">
        <f t="shared" si="15"/>
        <v>0</v>
      </c>
      <c r="W108" s="2"/>
      <c r="X108" s="2">
        <f t="shared" si="16"/>
        <v>374.91</v>
      </c>
      <c r="Y108" s="2"/>
      <c r="Z108" s="22">
        <f t="shared" si="17"/>
        <v>0</v>
      </c>
    </row>
    <row r="109" spans="1:26" s="24" customFormat="1" hidden="1" outlineLevel="1" x14ac:dyDescent="0.25">
      <c r="A109" s="51"/>
      <c r="B109" s="11" t="str">
        <f>CONCATENATE("          ", "5027", " - ", "PURCHASES @ COST-SCHOOL SUPPLI")</f>
        <v xml:space="preserve">          5027 - PURCHASES @ COST-SCHOOL SUPPLI</v>
      </c>
      <c r="C109" s="11"/>
      <c r="D109" s="2"/>
      <c r="E109" s="2"/>
      <c r="F109" s="22">
        <f t="shared" si="10"/>
        <v>0</v>
      </c>
      <c r="G109" s="2"/>
      <c r="H109" s="2"/>
      <c r="I109" s="2"/>
      <c r="J109" s="22">
        <f t="shared" si="11"/>
        <v>0</v>
      </c>
      <c r="K109" s="2"/>
      <c r="L109" s="2">
        <f t="shared" si="12"/>
        <v>0</v>
      </c>
      <c r="M109" s="2"/>
      <c r="N109" s="22">
        <f t="shared" si="13"/>
        <v>0</v>
      </c>
      <c r="O109" s="11"/>
      <c r="P109" s="2">
        <v>19071.350000000002</v>
      </c>
      <c r="Q109" s="2"/>
      <c r="R109" s="22">
        <f t="shared" si="14"/>
        <v>3.7082644330217792E-3</v>
      </c>
      <c r="S109" s="2"/>
      <c r="T109" s="2"/>
      <c r="U109" s="2"/>
      <c r="V109" s="22">
        <f t="shared" si="15"/>
        <v>0</v>
      </c>
      <c r="W109" s="2"/>
      <c r="X109" s="2">
        <f t="shared" si="16"/>
        <v>19071.350000000002</v>
      </c>
      <c r="Y109" s="2"/>
      <c r="Z109" s="22">
        <f t="shared" si="17"/>
        <v>0</v>
      </c>
    </row>
    <row r="110" spans="1:26" s="24" customFormat="1" hidden="1" outlineLevel="1" x14ac:dyDescent="0.25">
      <c r="A110" s="51"/>
      <c r="B110" s="11" t="str">
        <f>CONCATENATE("          ", "5028", " - ", "PURCHASES @ COST-ART/TECH")</f>
        <v xml:space="preserve">          5028 - PURCHASES @ COST-ART/TECH</v>
      </c>
      <c r="C110" s="11"/>
      <c r="D110" s="2"/>
      <c r="E110" s="2"/>
      <c r="F110" s="22">
        <f t="shared" si="10"/>
        <v>0</v>
      </c>
      <c r="G110" s="2"/>
      <c r="H110" s="2"/>
      <c r="I110" s="2"/>
      <c r="J110" s="22">
        <f t="shared" si="11"/>
        <v>0</v>
      </c>
      <c r="K110" s="2"/>
      <c r="L110" s="2">
        <f t="shared" si="12"/>
        <v>0</v>
      </c>
      <c r="M110" s="2"/>
      <c r="N110" s="22">
        <f t="shared" si="13"/>
        <v>0</v>
      </c>
      <c r="O110" s="11"/>
      <c r="P110" s="2">
        <v>41358.449999999997</v>
      </c>
      <c r="Q110" s="2"/>
      <c r="R110" s="22">
        <f t="shared" si="14"/>
        <v>8.0418045466057499E-3</v>
      </c>
      <c r="S110" s="2"/>
      <c r="T110" s="2"/>
      <c r="U110" s="2"/>
      <c r="V110" s="22">
        <f t="shared" si="15"/>
        <v>0</v>
      </c>
      <c r="W110" s="2"/>
      <c r="X110" s="2">
        <f t="shared" si="16"/>
        <v>41358.449999999997</v>
      </c>
      <c r="Y110" s="2"/>
      <c r="Z110" s="22">
        <f t="shared" si="17"/>
        <v>0</v>
      </c>
    </row>
    <row r="111" spans="1:26" s="24" customFormat="1" hidden="1" outlineLevel="1" x14ac:dyDescent="0.25">
      <c r="A111" s="51"/>
      <c r="B111" s="11" t="str">
        <f>CONCATENATE("          ", "5031", " - ", "PURCHASES @ COST-FOOD")</f>
        <v xml:space="preserve">          5031 - PURCHASES @ COST-FOOD</v>
      </c>
      <c r="C111" s="11"/>
      <c r="D111" s="2">
        <v>-1260</v>
      </c>
      <c r="E111" s="2"/>
      <c r="F111" s="22">
        <f t="shared" si="10"/>
        <v>-2.6057430701348773E-3</v>
      </c>
      <c r="G111" s="2"/>
      <c r="H111" s="2"/>
      <c r="I111" s="2"/>
      <c r="J111" s="22">
        <f t="shared" si="11"/>
        <v>0</v>
      </c>
      <c r="K111" s="2"/>
      <c r="L111" s="2">
        <f t="shared" si="12"/>
        <v>-1260</v>
      </c>
      <c r="M111" s="2"/>
      <c r="N111" s="22">
        <f t="shared" si="13"/>
        <v>0</v>
      </c>
      <c r="O111" s="11"/>
      <c r="P111" s="2">
        <v>7275.1</v>
      </c>
      <c r="Q111" s="2"/>
      <c r="R111" s="22">
        <f t="shared" si="14"/>
        <v>1.4145823225244539E-3</v>
      </c>
      <c r="S111" s="2"/>
      <c r="T111" s="2"/>
      <c r="U111" s="2"/>
      <c r="V111" s="22">
        <f t="shared" si="15"/>
        <v>0</v>
      </c>
      <c r="W111" s="2"/>
      <c r="X111" s="2">
        <f t="shared" si="16"/>
        <v>7275.1</v>
      </c>
      <c r="Y111" s="2"/>
      <c r="Z111" s="22">
        <f t="shared" si="17"/>
        <v>0</v>
      </c>
    </row>
    <row r="112" spans="1:26" s="24" customFormat="1" hidden="1" outlineLevel="1" x14ac:dyDescent="0.25">
      <c r="A112" s="51"/>
      <c r="B112" s="11" t="str">
        <f>CONCATENATE("          ", "5040", " - ", "PURCHASES @ COST-LOGO CLOTHING")</f>
        <v xml:space="preserve">          5040 - PURCHASES @ COST-LOGO CLOTHING</v>
      </c>
      <c r="C112" s="11"/>
      <c r="D112" s="2">
        <v>38175.120000000003</v>
      </c>
      <c r="E112" s="2"/>
      <c r="F112" s="22">
        <f t="shared" si="10"/>
        <v>7.8948059040926472E-2</v>
      </c>
      <c r="G112" s="2"/>
      <c r="H112" s="2"/>
      <c r="I112" s="2"/>
      <c r="J112" s="22">
        <f t="shared" si="11"/>
        <v>0</v>
      </c>
      <c r="K112" s="2"/>
      <c r="L112" s="2">
        <f t="shared" si="12"/>
        <v>38175.120000000003</v>
      </c>
      <c r="M112" s="2"/>
      <c r="N112" s="22">
        <f t="shared" si="13"/>
        <v>0</v>
      </c>
      <c r="O112" s="11"/>
      <c r="P112" s="2">
        <v>132470.39999999999</v>
      </c>
      <c r="Q112" s="2"/>
      <c r="R112" s="22">
        <f t="shared" si="14"/>
        <v>2.5757760868956221E-2</v>
      </c>
      <c r="S112" s="2"/>
      <c r="T112" s="2"/>
      <c r="U112" s="2"/>
      <c r="V112" s="22">
        <f t="shared" si="15"/>
        <v>0</v>
      </c>
      <c r="W112" s="2"/>
      <c r="X112" s="2">
        <f t="shared" si="16"/>
        <v>132470.39999999999</v>
      </c>
      <c r="Y112" s="2"/>
      <c r="Z112" s="22">
        <f t="shared" si="17"/>
        <v>0</v>
      </c>
    </row>
    <row r="113" spans="1:26" s="24" customFormat="1" hidden="1" outlineLevel="1" x14ac:dyDescent="0.25">
      <c r="A113" s="51"/>
      <c r="B113" s="11" t="str">
        <f>CONCATENATE("          ", "5041", " - ", "PURCHASES @ COST-LOGO GIFTS")</f>
        <v xml:space="preserve">          5041 - PURCHASES @ COST-LOGO GIFTS</v>
      </c>
      <c r="C113" s="11"/>
      <c r="D113" s="2">
        <v>5559.99</v>
      </c>
      <c r="E113" s="2"/>
      <c r="F113" s="22">
        <f t="shared" si="10"/>
        <v>1.1498337628983503E-2</v>
      </c>
      <c r="G113" s="2"/>
      <c r="H113" s="2"/>
      <c r="I113" s="2"/>
      <c r="J113" s="22">
        <f t="shared" si="11"/>
        <v>0</v>
      </c>
      <c r="K113" s="2"/>
      <c r="L113" s="2">
        <f t="shared" si="12"/>
        <v>5559.99</v>
      </c>
      <c r="M113" s="2"/>
      <c r="N113" s="22">
        <f t="shared" si="13"/>
        <v>0</v>
      </c>
      <c r="O113" s="11"/>
      <c r="P113" s="2">
        <v>32201.759999999998</v>
      </c>
      <c r="Q113" s="2"/>
      <c r="R113" s="22">
        <f t="shared" si="14"/>
        <v>6.2613627922880862E-3</v>
      </c>
      <c r="S113" s="2"/>
      <c r="T113" s="2"/>
      <c r="U113" s="2"/>
      <c r="V113" s="22">
        <f t="shared" si="15"/>
        <v>0</v>
      </c>
      <c r="W113" s="2"/>
      <c r="X113" s="2">
        <f t="shared" si="16"/>
        <v>32201.759999999998</v>
      </c>
      <c r="Y113" s="2"/>
      <c r="Z113" s="22">
        <f t="shared" si="17"/>
        <v>0</v>
      </c>
    </row>
    <row r="114" spans="1:26" s="24" customFormat="1" hidden="1" outlineLevel="1" x14ac:dyDescent="0.25">
      <c r="A114" s="51"/>
      <c r="B114" s="11" t="str">
        <f>CONCATENATE("          ", "5042", " - ", "PURCHASES @ COST-EVERYDAY GIFT")</f>
        <v xml:space="preserve">          5042 - PURCHASES @ COST-EVERYDAY GIFT</v>
      </c>
      <c r="C114" s="11"/>
      <c r="D114" s="2">
        <v>148.6</v>
      </c>
      <c r="E114" s="2"/>
      <c r="F114" s="22">
        <f t="shared" si="10"/>
        <v>3.0731223827146247E-4</v>
      </c>
      <c r="G114" s="2"/>
      <c r="H114" s="2"/>
      <c r="I114" s="2"/>
      <c r="J114" s="22">
        <f t="shared" si="11"/>
        <v>0</v>
      </c>
      <c r="K114" s="2"/>
      <c r="L114" s="2">
        <f t="shared" si="12"/>
        <v>148.6</v>
      </c>
      <c r="M114" s="2"/>
      <c r="N114" s="22">
        <f t="shared" si="13"/>
        <v>0</v>
      </c>
      <c r="O114" s="11"/>
      <c r="P114" s="2">
        <v>11061.28</v>
      </c>
      <c r="Q114" s="2"/>
      <c r="R114" s="22">
        <f t="shared" si="14"/>
        <v>2.1507733436644571E-3</v>
      </c>
      <c r="S114" s="2"/>
      <c r="T114" s="2"/>
      <c r="U114" s="2"/>
      <c r="V114" s="22">
        <f t="shared" si="15"/>
        <v>0</v>
      </c>
      <c r="W114" s="2"/>
      <c r="X114" s="2">
        <f t="shared" si="16"/>
        <v>11061.28</v>
      </c>
      <c r="Y114" s="2"/>
      <c r="Z114" s="22">
        <f t="shared" si="17"/>
        <v>0</v>
      </c>
    </row>
    <row r="115" spans="1:26" s="24" customFormat="1" hidden="1" outlineLevel="1" x14ac:dyDescent="0.25">
      <c r="A115" s="51"/>
      <c r="B115" s="11" t="str">
        <f>CONCATENATE("          ", "5043", " - ", "PURCHASES @ COST-CARDS")</f>
        <v xml:space="preserve">          5043 - PURCHASES @ COST-CARDS</v>
      </c>
      <c r="C115" s="11"/>
      <c r="D115" s="2">
        <v>2448</v>
      </c>
      <c r="E115" s="2"/>
      <c r="F115" s="22">
        <f t="shared" si="10"/>
        <v>5.0625865362620469E-3</v>
      </c>
      <c r="G115" s="2"/>
      <c r="H115" s="2"/>
      <c r="I115" s="2"/>
      <c r="J115" s="22">
        <f t="shared" si="11"/>
        <v>0</v>
      </c>
      <c r="K115" s="2"/>
      <c r="L115" s="2">
        <f t="shared" si="12"/>
        <v>2448</v>
      </c>
      <c r="M115" s="2"/>
      <c r="N115" s="22">
        <f t="shared" si="13"/>
        <v>0</v>
      </c>
      <c r="O115" s="11"/>
      <c r="P115" s="2">
        <v>46621.23</v>
      </c>
      <c r="Q115" s="2"/>
      <c r="R115" s="22">
        <f t="shared" si="14"/>
        <v>9.0651080826857008E-3</v>
      </c>
      <c r="S115" s="2"/>
      <c r="T115" s="2"/>
      <c r="U115" s="2"/>
      <c r="V115" s="22">
        <f t="shared" si="15"/>
        <v>0</v>
      </c>
      <c r="W115" s="2"/>
      <c r="X115" s="2">
        <f t="shared" si="16"/>
        <v>46621.23</v>
      </c>
      <c r="Y115" s="2"/>
      <c r="Z115" s="22">
        <f t="shared" si="17"/>
        <v>0</v>
      </c>
    </row>
    <row r="116" spans="1:26" s="24" customFormat="1" hidden="1" outlineLevel="1" x14ac:dyDescent="0.25">
      <c r="A116" s="51"/>
      <c r="B116" s="11" t="str">
        <f>CONCATENATE("          ", "5044", " - ", "PURCHASES @ COST-ACCESSORIES")</f>
        <v xml:space="preserve">          5044 - PURCHASES @ COST-ACCESSORIES</v>
      </c>
      <c r="C116" s="11"/>
      <c r="D116" s="2"/>
      <c r="E116" s="2"/>
      <c r="F116" s="22">
        <f t="shared" si="10"/>
        <v>0</v>
      </c>
      <c r="G116" s="2"/>
      <c r="H116" s="2"/>
      <c r="I116" s="2"/>
      <c r="J116" s="22">
        <f t="shared" si="11"/>
        <v>0</v>
      </c>
      <c r="K116" s="2"/>
      <c r="L116" s="2">
        <f t="shared" si="12"/>
        <v>0</v>
      </c>
      <c r="M116" s="2"/>
      <c r="N116" s="22">
        <f t="shared" si="13"/>
        <v>0</v>
      </c>
      <c r="O116" s="11"/>
      <c r="P116" s="2">
        <v>282.33</v>
      </c>
      <c r="Q116" s="2"/>
      <c r="R116" s="22">
        <f t="shared" si="14"/>
        <v>5.4896706178379544E-5</v>
      </c>
      <c r="S116" s="2"/>
      <c r="T116" s="2"/>
      <c r="U116" s="2"/>
      <c r="V116" s="22">
        <f t="shared" si="15"/>
        <v>0</v>
      </c>
      <c r="W116" s="2"/>
      <c r="X116" s="2">
        <f t="shared" si="16"/>
        <v>282.33</v>
      </c>
      <c r="Y116" s="2"/>
      <c r="Z116" s="22">
        <f t="shared" si="17"/>
        <v>0</v>
      </c>
    </row>
    <row r="117" spans="1:26" s="24" customFormat="1" hidden="1" outlineLevel="1" x14ac:dyDescent="0.25">
      <c r="A117" s="51"/>
      <c r="B117" s="11" t="str">
        <f>CONCATENATE("          ", "5045", " - ", "PURCHASES @ COST-SPECIAL ORDER")</f>
        <v xml:space="preserve">          5045 - PURCHASES @ COST-SPECIAL ORDER</v>
      </c>
      <c r="C117" s="11"/>
      <c r="D117" s="2">
        <v>10676.48</v>
      </c>
      <c r="E117" s="2"/>
      <c r="F117" s="22">
        <f t="shared" si="10"/>
        <v>2.2079495058280645E-2</v>
      </c>
      <c r="G117" s="2"/>
      <c r="H117" s="2"/>
      <c r="I117" s="2"/>
      <c r="J117" s="22">
        <f t="shared" si="11"/>
        <v>0</v>
      </c>
      <c r="K117" s="2"/>
      <c r="L117" s="2">
        <f t="shared" si="12"/>
        <v>10676.48</v>
      </c>
      <c r="M117" s="2"/>
      <c r="N117" s="22">
        <f t="shared" si="13"/>
        <v>0</v>
      </c>
      <c r="O117" s="11"/>
      <c r="P117" s="2">
        <v>87609</v>
      </c>
      <c r="Q117" s="2"/>
      <c r="R117" s="22">
        <f t="shared" si="14"/>
        <v>1.7034837004858337E-2</v>
      </c>
      <c r="S117" s="2"/>
      <c r="T117" s="2"/>
      <c r="U117" s="2"/>
      <c r="V117" s="22">
        <f t="shared" si="15"/>
        <v>0</v>
      </c>
      <c r="W117" s="2"/>
      <c r="X117" s="2">
        <f t="shared" si="16"/>
        <v>87609</v>
      </c>
      <c r="Y117" s="2"/>
      <c r="Z117" s="22">
        <f t="shared" si="17"/>
        <v>0</v>
      </c>
    </row>
    <row r="118" spans="1:26" s="24" customFormat="1" hidden="1" outlineLevel="1" x14ac:dyDescent="0.25">
      <c r="A118" s="51"/>
      <c r="B118" s="11" t="str">
        <f>CONCATENATE("          ", "5053", " - ", "PURCHASES @ COST-FOOD")</f>
        <v xml:space="preserve">          5053 - PURCHASES @ COST-FOOD</v>
      </c>
      <c r="C118" s="11"/>
      <c r="D118" s="2">
        <v>34840.239999999998</v>
      </c>
      <c r="E118" s="2"/>
      <c r="F118" s="22">
        <f t="shared" si="10"/>
        <v>7.2051360271298368E-2</v>
      </c>
      <c r="G118" s="2"/>
      <c r="H118" s="2"/>
      <c r="I118" s="2"/>
      <c r="J118" s="22">
        <f t="shared" si="11"/>
        <v>0</v>
      </c>
      <c r="K118" s="2"/>
      <c r="L118" s="2">
        <f t="shared" si="12"/>
        <v>34840.239999999998</v>
      </c>
      <c r="M118" s="2"/>
      <c r="N118" s="22">
        <f t="shared" si="13"/>
        <v>0</v>
      </c>
      <c r="O118" s="11"/>
      <c r="P118" s="2">
        <v>267072.71000000002</v>
      </c>
      <c r="Q118" s="2"/>
      <c r="R118" s="22">
        <f t="shared" si="14"/>
        <v>5.193005379921925E-2</v>
      </c>
      <c r="S118" s="2"/>
      <c r="T118" s="2"/>
      <c r="U118" s="2"/>
      <c r="V118" s="22">
        <f t="shared" si="15"/>
        <v>0</v>
      </c>
      <c r="W118" s="2"/>
      <c r="X118" s="2">
        <f t="shared" si="16"/>
        <v>267072.71000000002</v>
      </c>
      <c r="Y118" s="2"/>
      <c r="Z118" s="22">
        <f t="shared" si="17"/>
        <v>0</v>
      </c>
    </row>
    <row r="119" spans="1:26" s="24" customFormat="1" hidden="1" outlineLevel="1" x14ac:dyDescent="0.25">
      <c r="A119" s="51"/>
      <c r="B119" s="11" t="str">
        <f>CONCATENATE("          ", "5059", " - ", "PURCHASES @ COST-FOOD")</f>
        <v xml:space="preserve">          5059 - PURCHASES @ COST-FOOD</v>
      </c>
      <c r="C119" s="11"/>
      <c r="D119" s="2">
        <v>4259</v>
      </c>
      <c r="E119" s="2"/>
      <c r="F119" s="22">
        <f t="shared" si="10"/>
        <v>8.8078251870670164E-3</v>
      </c>
      <c r="G119" s="2"/>
      <c r="H119" s="2"/>
      <c r="I119" s="2"/>
      <c r="J119" s="22">
        <f t="shared" si="11"/>
        <v>0</v>
      </c>
      <c r="K119" s="2"/>
      <c r="L119" s="2">
        <f t="shared" si="12"/>
        <v>4259</v>
      </c>
      <c r="M119" s="2"/>
      <c r="N119" s="22">
        <f t="shared" si="13"/>
        <v>0</v>
      </c>
      <c r="O119" s="11"/>
      <c r="P119" s="2">
        <v>11778.29</v>
      </c>
      <c r="Q119" s="2"/>
      <c r="R119" s="22">
        <f t="shared" si="14"/>
        <v>2.290189938772876E-3</v>
      </c>
      <c r="S119" s="2"/>
      <c r="T119" s="2"/>
      <c r="U119" s="2"/>
      <c r="V119" s="22">
        <f t="shared" si="15"/>
        <v>0</v>
      </c>
      <c r="W119" s="2"/>
      <c r="X119" s="2">
        <f t="shared" si="16"/>
        <v>11778.29</v>
      </c>
      <c r="Y119" s="2"/>
      <c r="Z119" s="22">
        <f t="shared" si="17"/>
        <v>0</v>
      </c>
    </row>
    <row r="120" spans="1:26" s="24" customFormat="1" hidden="1" outlineLevel="1" x14ac:dyDescent="0.25">
      <c r="A120" s="51"/>
      <c r="B120" s="11" t="str">
        <f>CONCATENATE("          ", "5081", " - ", "PURCHASES @ COST-ELECTRONICS")</f>
        <v xml:space="preserve">          5081 - PURCHASES @ COST-ELECTRONICS</v>
      </c>
      <c r="C120" s="11"/>
      <c r="D120" s="2">
        <v>945.44</v>
      </c>
      <c r="E120" s="2"/>
      <c r="F120" s="22">
        <f t="shared" si="10"/>
        <v>1.9552172446256496E-3</v>
      </c>
      <c r="G120" s="2"/>
      <c r="H120" s="2"/>
      <c r="I120" s="2"/>
      <c r="J120" s="22">
        <f t="shared" si="11"/>
        <v>0</v>
      </c>
      <c r="K120" s="2"/>
      <c r="L120" s="2">
        <f t="shared" si="12"/>
        <v>945.44</v>
      </c>
      <c r="M120" s="2"/>
      <c r="N120" s="22">
        <f t="shared" si="13"/>
        <v>0</v>
      </c>
      <c r="O120" s="11"/>
      <c r="P120" s="2">
        <v>25260.510000000002</v>
      </c>
      <c r="Q120" s="2"/>
      <c r="R120" s="22">
        <f t="shared" si="14"/>
        <v>4.9116948088620358E-3</v>
      </c>
      <c r="S120" s="2"/>
      <c r="T120" s="2"/>
      <c r="U120" s="2"/>
      <c r="V120" s="22">
        <f t="shared" si="15"/>
        <v>0</v>
      </c>
      <c r="W120" s="2"/>
      <c r="X120" s="2">
        <f t="shared" si="16"/>
        <v>25260.510000000002</v>
      </c>
      <c r="Y120" s="2"/>
      <c r="Z120" s="22">
        <f t="shared" si="17"/>
        <v>0</v>
      </c>
    </row>
    <row r="121" spans="1:26" s="24" customFormat="1" hidden="1" outlineLevel="1" x14ac:dyDescent="0.25">
      <c r="A121" s="51"/>
      <c r="B121" s="11" t="str">
        <f>CONCATENATE("          ", "5082", " - ", "PURCHASES @ COST-COMPUTER HARD")</f>
        <v xml:space="preserve">          5082 - PURCHASES @ COST-COMPUTER HARD</v>
      </c>
      <c r="C121" s="11"/>
      <c r="D121" s="2">
        <v>20916.710000000003</v>
      </c>
      <c r="E121" s="2"/>
      <c r="F121" s="22">
        <f t="shared" si="10"/>
        <v>4.3256803279778488E-2</v>
      </c>
      <c r="G121" s="2"/>
      <c r="H121" s="2"/>
      <c r="I121" s="2"/>
      <c r="J121" s="22">
        <f t="shared" si="11"/>
        <v>0</v>
      </c>
      <c r="K121" s="2"/>
      <c r="L121" s="2">
        <f t="shared" si="12"/>
        <v>20916.710000000003</v>
      </c>
      <c r="M121" s="2"/>
      <c r="N121" s="22">
        <f t="shared" si="13"/>
        <v>0</v>
      </c>
      <c r="O121" s="11"/>
      <c r="P121" s="2">
        <v>980936.82000000007</v>
      </c>
      <c r="Q121" s="2"/>
      <c r="R121" s="22">
        <f t="shared" si="14"/>
        <v>0.19073495691954093</v>
      </c>
      <c r="S121" s="2"/>
      <c r="T121" s="2"/>
      <c r="U121" s="2"/>
      <c r="V121" s="22">
        <f t="shared" si="15"/>
        <v>0</v>
      </c>
      <c r="W121" s="2"/>
      <c r="X121" s="2">
        <f t="shared" si="16"/>
        <v>980936.82000000007</v>
      </c>
      <c r="Y121" s="2"/>
      <c r="Z121" s="22">
        <f t="shared" si="17"/>
        <v>0</v>
      </c>
    </row>
    <row r="122" spans="1:26" s="24" customFormat="1" hidden="1" outlineLevel="1" x14ac:dyDescent="0.25">
      <c r="A122" s="51"/>
      <c r="B122" s="11" t="str">
        <f>CONCATENATE("          ", "5083", " - ", "PURCHASES @ COST-COMPUTER EQUI")</f>
        <v xml:space="preserve">          5083 - PURCHASES @ COST-COMPUTER EQUI</v>
      </c>
      <c r="C122" s="11"/>
      <c r="D122" s="2">
        <v>5833.72</v>
      </c>
      <c r="E122" s="2"/>
      <c r="F122" s="22">
        <f t="shared" si="10"/>
        <v>1.2064424970720028E-2</v>
      </c>
      <c r="G122" s="2"/>
      <c r="H122" s="2"/>
      <c r="I122" s="2"/>
      <c r="J122" s="22">
        <f t="shared" si="11"/>
        <v>0</v>
      </c>
      <c r="K122" s="2"/>
      <c r="L122" s="2">
        <f t="shared" si="12"/>
        <v>5833.72</v>
      </c>
      <c r="M122" s="2"/>
      <c r="N122" s="22">
        <f t="shared" si="13"/>
        <v>0</v>
      </c>
      <c r="O122" s="11"/>
      <c r="P122" s="2">
        <v>81726.840000000011</v>
      </c>
      <c r="Q122" s="2"/>
      <c r="R122" s="22">
        <f t="shared" si="14"/>
        <v>1.589110021027676E-2</v>
      </c>
      <c r="S122" s="2"/>
      <c r="T122" s="2"/>
      <c r="U122" s="2"/>
      <c r="V122" s="22">
        <f t="shared" si="15"/>
        <v>0</v>
      </c>
      <c r="W122" s="2"/>
      <c r="X122" s="2">
        <f t="shared" si="16"/>
        <v>81726.840000000011</v>
      </c>
      <c r="Y122" s="2"/>
      <c r="Z122" s="22">
        <f t="shared" si="17"/>
        <v>0</v>
      </c>
    </row>
    <row r="123" spans="1:26" s="24" customFormat="1" hidden="1" outlineLevel="1" x14ac:dyDescent="0.25">
      <c r="A123" s="51"/>
      <c r="B123" s="11" t="str">
        <f>CONCATENATE("          ", "5085", " - ", "PURCHASES @ COST-SOFTWARE")</f>
        <v xml:space="preserve">          5085 - PURCHASES @ COST-SOFTWARE</v>
      </c>
      <c r="C123" s="11"/>
      <c r="D123" s="2">
        <v>496.16</v>
      </c>
      <c r="E123" s="2"/>
      <c r="F123" s="22">
        <f t="shared" si="10"/>
        <v>1.026083715617556E-3</v>
      </c>
      <c r="G123" s="2"/>
      <c r="H123" s="2"/>
      <c r="I123" s="2"/>
      <c r="J123" s="22">
        <f t="shared" si="11"/>
        <v>0</v>
      </c>
      <c r="K123" s="2"/>
      <c r="L123" s="2">
        <f t="shared" si="12"/>
        <v>496.16</v>
      </c>
      <c r="M123" s="2"/>
      <c r="N123" s="22">
        <f t="shared" si="13"/>
        <v>0</v>
      </c>
      <c r="O123" s="11"/>
      <c r="P123" s="2">
        <v>24572.080000000002</v>
      </c>
      <c r="Q123" s="2"/>
      <c r="R123" s="22">
        <f t="shared" si="14"/>
        <v>4.777835355618024E-3</v>
      </c>
      <c r="S123" s="2"/>
      <c r="T123" s="2"/>
      <c r="U123" s="2"/>
      <c r="V123" s="22">
        <f t="shared" si="15"/>
        <v>0</v>
      </c>
      <c r="W123" s="2"/>
      <c r="X123" s="2">
        <f t="shared" si="16"/>
        <v>24572.080000000002</v>
      </c>
      <c r="Y123" s="2"/>
      <c r="Z123" s="22">
        <f t="shared" si="17"/>
        <v>0</v>
      </c>
    </row>
    <row r="124" spans="1:26" s="24" customFormat="1" hidden="1" outlineLevel="1" x14ac:dyDescent="0.25">
      <c r="A124" s="51"/>
      <c r="B124" s="11" t="str">
        <f>CONCATENATE("          ", "5086", " - ", "PURCHASES @ COST-COMPUTER SUPP")</f>
        <v xml:space="preserve">          5086 - PURCHASES @ COST-COMPUTER SUPP</v>
      </c>
      <c r="C124" s="11"/>
      <c r="D124" s="2"/>
      <c r="E124" s="2"/>
      <c r="F124" s="22">
        <f t="shared" si="10"/>
        <v>0</v>
      </c>
      <c r="G124" s="2"/>
      <c r="H124" s="2"/>
      <c r="I124" s="2"/>
      <c r="J124" s="22">
        <f t="shared" si="11"/>
        <v>0</v>
      </c>
      <c r="K124" s="2"/>
      <c r="L124" s="2">
        <f t="shared" si="12"/>
        <v>0</v>
      </c>
      <c r="M124" s="2"/>
      <c r="N124" s="22">
        <f t="shared" si="13"/>
        <v>0</v>
      </c>
      <c r="O124" s="11"/>
      <c r="P124" s="2">
        <v>22718.609999999997</v>
      </c>
      <c r="Q124" s="2"/>
      <c r="R124" s="22">
        <f t="shared" si="14"/>
        <v>4.4174436225381478E-3</v>
      </c>
      <c r="S124" s="2"/>
      <c r="T124" s="2"/>
      <c r="U124" s="2"/>
      <c r="V124" s="22">
        <f t="shared" si="15"/>
        <v>0</v>
      </c>
      <c r="W124" s="2"/>
      <c r="X124" s="2">
        <f t="shared" si="16"/>
        <v>22718.609999999997</v>
      </c>
      <c r="Y124" s="2"/>
      <c r="Z124" s="22">
        <f t="shared" si="17"/>
        <v>0</v>
      </c>
    </row>
    <row r="125" spans="1:26" s="24" customFormat="1" hidden="1" outlineLevel="1" x14ac:dyDescent="0.25">
      <c r="A125" s="51"/>
      <c r="B125" s="11" t="str">
        <f>CONCATENATE("          ", "5200", " - ", "PURCHASES OFFSET")</f>
        <v xml:space="preserve">          5200 - PURCHASES OFFSET</v>
      </c>
      <c r="C125" s="11"/>
      <c r="D125" s="2">
        <v>-200857.41</v>
      </c>
      <c r="E125" s="2"/>
      <c r="F125" s="22">
        <f t="shared" si="10"/>
        <v>-0.41538317793074586</v>
      </c>
      <c r="G125" s="2"/>
      <c r="H125" s="2"/>
      <c r="I125" s="2"/>
      <c r="J125" s="22">
        <f t="shared" si="11"/>
        <v>0</v>
      </c>
      <c r="K125" s="2"/>
      <c r="L125" s="2">
        <f t="shared" si="12"/>
        <v>-200857.41</v>
      </c>
      <c r="M125" s="2"/>
      <c r="N125" s="22">
        <f t="shared" si="13"/>
        <v>0</v>
      </c>
      <c r="O125" s="11"/>
      <c r="P125" s="2">
        <v>-2876672.9699999997</v>
      </c>
      <c r="Q125" s="2"/>
      <c r="R125" s="22">
        <f t="shared" si="14"/>
        <v>-0.559344989216082</v>
      </c>
      <c r="S125" s="2"/>
      <c r="T125" s="2"/>
      <c r="U125" s="2"/>
      <c r="V125" s="22">
        <f t="shared" si="15"/>
        <v>0</v>
      </c>
      <c r="W125" s="2"/>
      <c r="X125" s="2">
        <f t="shared" si="16"/>
        <v>-2876672.9699999997</v>
      </c>
      <c r="Y125" s="2"/>
      <c r="Z125" s="22">
        <f t="shared" si="17"/>
        <v>0</v>
      </c>
    </row>
    <row r="126" spans="1:26" s="24" customFormat="1" hidden="1" outlineLevel="1" x14ac:dyDescent="0.25">
      <c r="A126" s="51"/>
      <c r="B126" s="11" t="str">
        <f>CONCATENATE("          ", "5300", " - ", "COG$ OFFSET")</f>
        <v xml:space="preserve">          5300 - COG$ OFFSET</v>
      </c>
      <c r="C126" s="11"/>
      <c r="D126" s="2">
        <v>208821</v>
      </c>
      <c r="E126" s="2"/>
      <c r="F126" s="22">
        <f t="shared" si="10"/>
        <v>0.43185228067351999</v>
      </c>
      <c r="G126" s="2"/>
      <c r="H126" s="2"/>
      <c r="I126" s="2"/>
      <c r="J126" s="22">
        <f t="shared" si="11"/>
        <v>0</v>
      </c>
      <c r="K126" s="2"/>
      <c r="L126" s="2">
        <f t="shared" si="12"/>
        <v>208821</v>
      </c>
      <c r="M126" s="2"/>
      <c r="N126" s="22">
        <f t="shared" si="13"/>
        <v>0</v>
      </c>
      <c r="O126" s="11"/>
      <c r="P126" s="2">
        <v>2603154</v>
      </c>
      <c r="Q126" s="2"/>
      <c r="R126" s="22">
        <f t="shared" si="14"/>
        <v>0.50616151409723886</v>
      </c>
      <c r="S126" s="2"/>
      <c r="T126" s="2"/>
      <c r="U126" s="2"/>
      <c r="V126" s="22">
        <f t="shared" si="15"/>
        <v>0</v>
      </c>
      <c r="W126" s="2"/>
      <c r="X126" s="2">
        <f t="shared" si="16"/>
        <v>2603154</v>
      </c>
      <c r="Y126" s="2"/>
      <c r="Z126" s="22">
        <f t="shared" si="17"/>
        <v>0</v>
      </c>
    </row>
    <row r="127" spans="1:26" s="24" customFormat="1" hidden="1" outlineLevel="1" x14ac:dyDescent="0.25">
      <c r="A127" s="51"/>
      <c r="B127" s="11" t="str">
        <f>CONCATENATE("          ", "5501", " - ", "FREIGHT-IN-NEW TEXT")</f>
        <v xml:space="preserve">          5501 - FREIGHT-IN-NEW TEXT</v>
      </c>
      <c r="C127" s="11"/>
      <c r="D127" s="2">
        <v>2414.77</v>
      </c>
      <c r="E127" s="2"/>
      <c r="F127" s="22">
        <f t="shared" si="10"/>
        <v>4.9938652329123787E-3</v>
      </c>
      <c r="G127" s="2"/>
      <c r="H127" s="2"/>
      <c r="I127" s="2"/>
      <c r="J127" s="22">
        <f t="shared" si="11"/>
        <v>0</v>
      </c>
      <c r="K127" s="2"/>
      <c r="L127" s="2">
        <f t="shared" si="12"/>
        <v>2414.77</v>
      </c>
      <c r="M127" s="2"/>
      <c r="N127" s="22">
        <f t="shared" si="13"/>
        <v>0</v>
      </c>
      <c r="O127" s="11"/>
      <c r="P127" s="2">
        <v>37463.58</v>
      </c>
      <c r="Q127" s="2"/>
      <c r="R127" s="22">
        <f t="shared" si="14"/>
        <v>7.2844796644005831E-3</v>
      </c>
      <c r="S127" s="2"/>
      <c r="T127" s="2"/>
      <c r="U127" s="2"/>
      <c r="V127" s="22">
        <f t="shared" si="15"/>
        <v>0</v>
      </c>
      <c r="W127" s="2"/>
      <c r="X127" s="2">
        <f t="shared" si="16"/>
        <v>37463.58</v>
      </c>
      <c r="Y127" s="2"/>
      <c r="Z127" s="22">
        <f t="shared" si="17"/>
        <v>0</v>
      </c>
    </row>
    <row r="128" spans="1:26" s="24" customFormat="1" hidden="1" outlineLevel="1" x14ac:dyDescent="0.25">
      <c r="A128" s="51"/>
      <c r="B128" s="11" t="str">
        <f>CONCATENATE("          ", "5502", " - ", "FREIGHT-IN-USED TEXT")</f>
        <v xml:space="preserve">          5502 - FREIGHT-IN-USED TEXT</v>
      </c>
      <c r="C128" s="11"/>
      <c r="D128" s="2">
        <v>2389.48</v>
      </c>
      <c r="E128" s="2"/>
      <c r="F128" s="22">
        <f t="shared" si="10"/>
        <v>4.9415642470046718E-3</v>
      </c>
      <c r="G128" s="2"/>
      <c r="H128" s="2"/>
      <c r="I128" s="2"/>
      <c r="J128" s="22">
        <f t="shared" si="11"/>
        <v>0</v>
      </c>
      <c r="K128" s="2"/>
      <c r="L128" s="2">
        <f t="shared" si="12"/>
        <v>2389.48</v>
      </c>
      <c r="M128" s="2"/>
      <c r="N128" s="22">
        <f t="shared" si="13"/>
        <v>0</v>
      </c>
      <c r="O128" s="11"/>
      <c r="P128" s="2">
        <v>13522.57</v>
      </c>
      <c r="Q128" s="2"/>
      <c r="R128" s="22">
        <f t="shared" si="14"/>
        <v>2.6293505899712038E-3</v>
      </c>
      <c r="S128" s="2"/>
      <c r="T128" s="2"/>
      <c r="U128" s="2"/>
      <c r="V128" s="22">
        <f t="shared" si="15"/>
        <v>0</v>
      </c>
      <c r="W128" s="2"/>
      <c r="X128" s="2">
        <f t="shared" si="16"/>
        <v>13522.57</v>
      </c>
      <c r="Y128" s="2"/>
      <c r="Z128" s="22">
        <f t="shared" si="17"/>
        <v>0</v>
      </c>
    </row>
    <row r="129" spans="1:26" s="24" customFormat="1" hidden="1" outlineLevel="1" x14ac:dyDescent="0.25">
      <c r="A129" s="51"/>
      <c r="B129" s="11" t="str">
        <f>CONCATENATE("          ", "5504", " - ", "FREIGHT-IN-DIGITAL TEXT")</f>
        <v xml:space="preserve">          5504 - FREIGHT-IN-DIGITAL TEXT</v>
      </c>
      <c r="C129" s="11"/>
      <c r="D129" s="2"/>
      <c r="E129" s="2"/>
      <c r="F129" s="22">
        <f t="shared" si="10"/>
        <v>0</v>
      </c>
      <c r="G129" s="2"/>
      <c r="H129" s="2"/>
      <c r="I129" s="2"/>
      <c r="J129" s="22">
        <f t="shared" si="11"/>
        <v>0</v>
      </c>
      <c r="K129" s="2"/>
      <c r="L129" s="2">
        <f t="shared" si="12"/>
        <v>0</v>
      </c>
      <c r="M129" s="2"/>
      <c r="N129" s="22">
        <f t="shared" si="13"/>
        <v>0</v>
      </c>
      <c r="O129" s="11"/>
      <c r="P129" s="2">
        <v>21.98</v>
      </c>
      <c r="Q129" s="2"/>
      <c r="R129" s="22">
        <f t="shared" si="14"/>
        <v>4.2738270881620176E-6</v>
      </c>
      <c r="S129" s="2"/>
      <c r="T129" s="2"/>
      <c r="U129" s="2"/>
      <c r="V129" s="22">
        <f t="shared" si="15"/>
        <v>0</v>
      </c>
      <c r="W129" s="2"/>
      <c r="X129" s="2">
        <f t="shared" si="16"/>
        <v>21.98</v>
      </c>
      <c r="Y129" s="2"/>
      <c r="Z129" s="22">
        <f t="shared" si="17"/>
        <v>0</v>
      </c>
    </row>
    <row r="130" spans="1:26" s="24" customFormat="1" hidden="1" outlineLevel="1" x14ac:dyDescent="0.25">
      <c r="A130" s="51"/>
      <c r="B130" s="11" t="str">
        <f>CONCATENATE("          ", "5513", " - ", "FREIGHT-IN-TRADE BOOKS")</f>
        <v xml:space="preserve">          5513 - FREIGHT-IN-TRADE BOOKS</v>
      </c>
      <c r="C130" s="11"/>
      <c r="D130" s="2"/>
      <c r="E130" s="2"/>
      <c r="F130" s="22">
        <f t="shared" si="10"/>
        <v>0</v>
      </c>
      <c r="G130" s="2"/>
      <c r="H130" s="2"/>
      <c r="I130" s="2"/>
      <c r="J130" s="22">
        <f t="shared" si="11"/>
        <v>0</v>
      </c>
      <c r="K130" s="2"/>
      <c r="L130" s="2">
        <f t="shared" si="12"/>
        <v>0</v>
      </c>
      <c r="M130" s="2"/>
      <c r="N130" s="22">
        <f t="shared" si="13"/>
        <v>0</v>
      </c>
      <c r="O130" s="11"/>
      <c r="P130" s="2">
        <v>26.46</v>
      </c>
      <c r="Q130" s="2"/>
      <c r="R130" s="22">
        <f t="shared" si="14"/>
        <v>5.144925602946633E-6</v>
      </c>
      <c r="S130" s="2"/>
      <c r="T130" s="2"/>
      <c r="U130" s="2"/>
      <c r="V130" s="22">
        <f t="shared" si="15"/>
        <v>0</v>
      </c>
      <c r="W130" s="2"/>
      <c r="X130" s="2">
        <f t="shared" si="16"/>
        <v>26.46</v>
      </c>
      <c r="Y130" s="2"/>
      <c r="Z130" s="22">
        <f t="shared" si="17"/>
        <v>0</v>
      </c>
    </row>
    <row r="131" spans="1:26" s="24" customFormat="1" hidden="1" outlineLevel="1" x14ac:dyDescent="0.25">
      <c r="A131" s="51"/>
      <c r="B131" s="11" t="str">
        <f>CONCATENATE("          ", "5525", " - ", "FREIGHT-IN-TEST FORMS")</f>
        <v xml:space="preserve">          5525 - FREIGHT-IN-TEST FORMS</v>
      </c>
      <c r="C131" s="11"/>
      <c r="D131" s="2"/>
      <c r="E131" s="2"/>
      <c r="F131" s="22">
        <f t="shared" si="10"/>
        <v>0</v>
      </c>
      <c r="G131" s="2"/>
      <c r="H131" s="2"/>
      <c r="I131" s="2"/>
      <c r="J131" s="22">
        <f t="shared" si="11"/>
        <v>0</v>
      </c>
      <c r="K131" s="2"/>
      <c r="L131" s="2">
        <f t="shared" si="12"/>
        <v>0</v>
      </c>
      <c r="M131" s="2"/>
      <c r="N131" s="22">
        <f t="shared" si="13"/>
        <v>0</v>
      </c>
      <c r="O131" s="11"/>
      <c r="P131" s="2">
        <v>48.14</v>
      </c>
      <c r="Q131" s="2"/>
      <c r="R131" s="22">
        <f t="shared" si="14"/>
        <v>9.3604202012793236E-6</v>
      </c>
      <c r="S131" s="2"/>
      <c r="T131" s="2"/>
      <c r="U131" s="2"/>
      <c r="V131" s="22">
        <f t="shared" si="15"/>
        <v>0</v>
      </c>
      <c r="W131" s="2"/>
      <c r="X131" s="2">
        <f t="shared" si="16"/>
        <v>48.14</v>
      </c>
      <c r="Y131" s="2"/>
      <c r="Z131" s="22">
        <f t="shared" si="17"/>
        <v>0</v>
      </c>
    </row>
    <row r="132" spans="1:26" s="24" customFormat="1" hidden="1" outlineLevel="1" x14ac:dyDescent="0.25">
      <c r="A132" s="51"/>
      <c r="B132" s="11" t="str">
        <f>CONCATENATE("          ", "5527", " - ", "FREIGHT-IN-SCHOOL SUPPLIES")</f>
        <v xml:space="preserve">          5527 - FREIGHT-IN-SCHOOL SUPPLIES</v>
      </c>
      <c r="C132" s="11"/>
      <c r="D132" s="2">
        <v>121.5</v>
      </c>
      <c r="E132" s="2"/>
      <c r="F132" s="22">
        <f t="shared" si="10"/>
        <v>2.51268081763006E-4</v>
      </c>
      <c r="G132" s="2"/>
      <c r="H132" s="2"/>
      <c r="I132" s="2"/>
      <c r="J132" s="22">
        <f t="shared" si="11"/>
        <v>0</v>
      </c>
      <c r="K132" s="2"/>
      <c r="L132" s="2">
        <f t="shared" si="12"/>
        <v>121.5</v>
      </c>
      <c r="M132" s="2"/>
      <c r="N132" s="22">
        <f t="shared" si="13"/>
        <v>0</v>
      </c>
      <c r="O132" s="11"/>
      <c r="P132" s="2">
        <v>177.5</v>
      </c>
      <c r="Q132" s="2"/>
      <c r="R132" s="22">
        <f t="shared" si="14"/>
        <v>3.4513389815685082E-5</v>
      </c>
      <c r="S132" s="2"/>
      <c r="T132" s="2"/>
      <c r="U132" s="2"/>
      <c r="V132" s="22">
        <f t="shared" si="15"/>
        <v>0</v>
      </c>
      <c r="W132" s="2"/>
      <c r="X132" s="2">
        <f t="shared" si="16"/>
        <v>177.5</v>
      </c>
      <c r="Y132" s="2"/>
      <c r="Z132" s="22">
        <f t="shared" si="17"/>
        <v>0</v>
      </c>
    </row>
    <row r="133" spans="1:26" s="24" customFormat="1" hidden="1" outlineLevel="1" x14ac:dyDescent="0.25">
      <c r="A133" s="51"/>
      <c r="B133" s="11" t="str">
        <f>CONCATENATE("          ", "5528", " - ", "FREIGHT-IN-ART/TECH")</f>
        <v xml:space="preserve">          5528 - FREIGHT-IN-ART/TECH</v>
      </c>
      <c r="C133" s="11"/>
      <c r="D133" s="2">
        <v>4.29</v>
      </c>
      <c r="E133" s="2"/>
      <c r="F133" s="22">
        <f t="shared" si="10"/>
        <v>8.871934738792557E-6</v>
      </c>
      <c r="G133" s="2"/>
      <c r="H133" s="2"/>
      <c r="I133" s="2"/>
      <c r="J133" s="22">
        <f t="shared" si="11"/>
        <v>0</v>
      </c>
      <c r="K133" s="2"/>
      <c r="L133" s="2">
        <f t="shared" si="12"/>
        <v>4.29</v>
      </c>
      <c r="M133" s="2"/>
      <c r="N133" s="22">
        <f t="shared" si="13"/>
        <v>0</v>
      </c>
      <c r="O133" s="11"/>
      <c r="P133" s="2">
        <v>290.20999999999998</v>
      </c>
      <c r="Q133" s="2"/>
      <c r="R133" s="22">
        <f t="shared" si="14"/>
        <v>5.64289062445632E-5</v>
      </c>
      <c r="S133" s="2"/>
      <c r="T133" s="2"/>
      <c r="U133" s="2"/>
      <c r="V133" s="22">
        <f t="shared" si="15"/>
        <v>0</v>
      </c>
      <c r="W133" s="2"/>
      <c r="X133" s="2">
        <f t="shared" si="16"/>
        <v>290.20999999999998</v>
      </c>
      <c r="Y133" s="2"/>
      <c r="Z133" s="22">
        <f t="shared" si="17"/>
        <v>0</v>
      </c>
    </row>
    <row r="134" spans="1:26" s="24" customFormat="1" hidden="1" outlineLevel="1" x14ac:dyDescent="0.25">
      <c r="A134" s="51"/>
      <c r="B134" s="11" t="str">
        <f>CONCATENATE("          ", "5540", " - ", "FREIGHT-IN-LOGO CLOTHING")</f>
        <v xml:space="preserve">          5540 - FREIGHT-IN-LOGO CLOTHING</v>
      </c>
      <c r="C134" s="11"/>
      <c r="D134" s="2">
        <v>907.48</v>
      </c>
      <c r="E134" s="2"/>
      <c r="F134" s="22">
        <f t="shared" si="10"/>
        <v>1.8767140645126971E-3</v>
      </c>
      <c r="G134" s="2"/>
      <c r="H134" s="2"/>
      <c r="I134" s="2"/>
      <c r="J134" s="22">
        <f t="shared" si="11"/>
        <v>0</v>
      </c>
      <c r="K134" s="2"/>
      <c r="L134" s="2">
        <f t="shared" si="12"/>
        <v>907.48</v>
      </c>
      <c r="M134" s="2"/>
      <c r="N134" s="22">
        <f t="shared" si="13"/>
        <v>0</v>
      </c>
      <c r="O134" s="11"/>
      <c r="P134" s="2">
        <v>5442.96</v>
      </c>
      <c r="Q134" s="2"/>
      <c r="R134" s="22">
        <f t="shared" si="14"/>
        <v>1.0583380294714438E-3</v>
      </c>
      <c r="S134" s="2"/>
      <c r="T134" s="2"/>
      <c r="U134" s="2"/>
      <c r="V134" s="22">
        <f t="shared" si="15"/>
        <v>0</v>
      </c>
      <c r="W134" s="2"/>
      <c r="X134" s="2">
        <f t="shared" si="16"/>
        <v>5442.96</v>
      </c>
      <c r="Y134" s="2"/>
      <c r="Z134" s="22">
        <f t="shared" si="17"/>
        <v>0</v>
      </c>
    </row>
    <row r="135" spans="1:26" s="24" customFormat="1" hidden="1" outlineLevel="1" x14ac:dyDescent="0.25">
      <c r="A135" s="51"/>
      <c r="B135" s="11" t="str">
        <f>CONCATENATE("          ", "5541", " - ", "FREIGHT-IN-LOGO GIFTS")</f>
        <v xml:space="preserve">          5541 - FREIGHT-IN-LOGO GIFTS</v>
      </c>
      <c r="C135" s="11"/>
      <c r="D135" s="2">
        <v>84.07</v>
      </c>
      <c r="E135" s="2"/>
      <c r="F135" s="22">
        <f t="shared" si="10"/>
        <v>1.7386096817955483E-4</v>
      </c>
      <c r="G135" s="2"/>
      <c r="H135" s="2"/>
      <c r="I135" s="2"/>
      <c r="J135" s="22">
        <f t="shared" si="11"/>
        <v>0</v>
      </c>
      <c r="K135" s="2"/>
      <c r="L135" s="2">
        <f t="shared" si="12"/>
        <v>84.07</v>
      </c>
      <c r="M135" s="2"/>
      <c r="N135" s="22">
        <f t="shared" si="13"/>
        <v>0</v>
      </c>
      <c r="O135" s="11"/>
      <c r="P135" s="2">
        <v>1519.94</v>
      </c>
      <c r="Q135" s="2"/>
      <c r="R135" s="22">
        <f t="shared" si="14"/>
        <v>2.9553961530395714E-4</v>
      </c>
      <c r="S135" s="2"/>
      <c r="T135" s="2"/>
      <c r="U135" s="2"/>
      <c r="V135" s="22">
        <f t="shared" si="15"/>
        <v>0</v>
      </c>
      <c r="W135" s="2"/>
      <c r="X135" s="2">
        <f t="shared" si="16"/>
        <v>1519.94</v>
      </c>
      <c r="Y135" s="2"/>
      <c r="Z135" s="22">
        <f t="shared" si="17"/>
        <v>0</v>
      </c>
    </row>
    <row r="136" spans="1:26" s="24" customFormat="1" hidden="1" outlineLevel="1" x14ac:dyDescent="0.25">
      <c r="A136" s="51"/>
      <c r="B136" s="11" t="str">
        <f>CONCATENATE("          ", "5542", " - ", "FREIGHT-IN-EVERYDAY GIFTS")</f>
        <v xml:space="preserve">          5542 - FREIGHT-IN-EVERYDAY GIFTS</v>
      </c>
      <c r="C136" s="11"/>
      <c r="D136" s="2"/>
      <c r="E136" s="2"/>
      <c r="F136" s="22">
        <f t="shared" si="10"/>
        <v>0</v>
      </c>
      <c r="G136" s="2"/>
      <c r="H136" s="2"/>
      <c r="I136" s="2"/>
      <c r="J136" s="22">
        <f t="shared" si="11"/>
        <v>0</v>
      </c>
      <c r="K136" s="2"/>
      <c r="L136" s="2">
        <f t="shared" si="12"/>
        <v>0</v>
      </c>
      <c r="M136" s="2"/>
      <c r="N136" s="22">
        <f t="shared" si="13"/>
        <v>0</v>
      </c>
      <c r="O136" s="11"/>
      <c r="P136" s="2">
        <v>196.55</v>
      </c>
      <c r="Q136" s="2"/>
      <c r="R136" s="22">
        <f t="shared" si="14"/>
        <v>3.8217502919847345E-5</v>
      </c>
      <c r="S136" s="2"/>
      <c r="T136" s="2"/>
      <c r="U136" s="2"/>
      <c r="V136" s="22">
        <f t="shared" si="15"/>
        <v>0</v>
      </c>
      <c r="W136" s="2"/>
      <c r="X136" s="2">
        <f t="shared" si="16"/>
        <v>196.55</v>
      </c>
      <c r="Y136" s="2"/>
      <c r="Z136" s="22">
        <f t="shared" si="17"/>
        <v>0</v>
      </c>
    </row>
    <row r="137" spans="1:26" s="24" customFormat="1" hidden="1" outlineLevel="1" x14ac:dyDescent="0.25">
      <c r="A137" s="51"/>
      <c r="B137" s="11" t="str">
        <f>CONCATENATE("          ", "5543", " - ", "FREIGHT-IN-CARDS")</f>
        <v xml:space="preserve">          5543 - FREIGHT-IN-CARDS</v>
      </c>
      <c r="C137" s="11"/>
      <c r="D137" s="2">
        <v>605.41</v>
      </c>
      <c r="E137" s="2"/>
      <c r="F137" s="22">
        <f t="shared" si="10"/>
        <v>1.2520181841986951E-3</v>
      </c>
      <c r="G137" s="2"/>
      <c r="H137" s="2"/>
      <c r="I137" s="2"/>
      <c r="J137" s="22">
        <f t="shared" si="11"/>
        <v>0</v>
      </c>
      <c r="K137" s="2"/>
      <c r="L137" s="2">
        <f t="shared" si="12"/>
        <v>605.41</v>
      </c>
      <c r="M137" s="2"/>
      <c r="N137" s="22">
        <f t="shared" si="13"/>
        <v>0</v>
      </c>
      <c r="O137" s="11"/>
      <c r="P137" s="2">
        <v>7117.72</v>
      </c>
      <c r="Q137" s="2"/>
      <c r="R137" s="22">
        <f t="shared" si="14"/>
        <v>1.383981098359989E-3</v>
      </c>
      <c r="S137" s="2"/>
      <c r="T137" s="2"/>
      <c r="U137" s="2"/>
      <c r="V137" s="22">
        <f t="shared" si="15"/>
        <v>0</v>
      </c>
      <c r="W137" s="2"/>
      <c r="X137" s="2">
        <f t="shared" si="16"/>
        <v>7117.72</v>
      </c>
      <c r="Y137" s="2"/>
      <c r="Z137" s="22">
        <f t="shared" si="17"/>
        <v>0</v>
      </c>
    </row>
    <row r="138" spans="1:26" s="24" customFormat="1" hidden="1" outlineLevel="1" x14ac:dyDescent="0.25">
      <c r="A138" s="51"/>
      <c r="B138" s="11" t="str">
        <f>CONCATENATE("          ", "5545", " - ", "FREIGHT-IN-SPECIAL ORDERS")</f>
        <v xml:space="preserve">          5545 - FREIGHT-IN-SPECIAL ORDERS</v>
      </c>
      <c r="C138" s="11"/>
      <c r="D138" s="2">
        <v>225.93</v>
      </c>
      <c r="E138" s="2"/>
      <c r="F138" s="22">
        <f t="shared" si="10"/>
        <v>4.6723454907585143E-4</v>
      </c>
      <c r="G138" s="2"/>
      <c r="H138" s="2"/>
      <c r="I138" s="2"/>
      <c r="J138" s="22">
        <f t="shared" si="11"/>
        <v>0</v>
      </c>
      <c r="K138" s="2"/>
      <c r="L138" s="2">
        <f t="shared" si="12"/>
        <v>225.93</v>
      </c>
      <c r="M138" s="2"/>
      <c r="N138" s="22">
        <f t="shared" si="13"/>
        <v>0</v>
      </c>
      <c r="O138" s="11"/>
      <c r="P138" s="2">
        <v>1113.79</v>
      </c>
      <c r="Q138" s="2"/>
      <c r="R138" s="22">
        <f t="shared" si="14"/>
        <v>2.1656714615668669E-4</v>
      </c>
      <c r="S138" s="2"/>
      <c r="T138" s="2"/>
      <c r="U138" s="2"/>
      <c r="V138" s="22">
        <f t="shared" si="15"/>
        <v>0</v>
      </c>
      <c r="W138" s="2"/>
      <c r="X138" s="2">
        <f t="shared" si="16"/>
        <v>1113.79</v>
      </c>
      <c r="Y138" s="2"/>
      <c r="Z138" s="22">
        <f t="shared" si="17"/>
        <v>0</v>
      </c>
    </row>
    <row r="139" spans="1:26" s="24" customFormat="1" hidden="1" outlineLevel="1" x14ac:dyDescent="0.25">
      <c r="A139" s="51"/>
      <c r="B139" s="11" t="str">
        <f>CONCATENATE("          ", "5581", " - ", "FREIGHT-IN-ELECTRONICS")</f>
        <v xml:space="preserve">          5581 - FREIGHT-IN-ELECTRONICS</v>
      </c>
      <c r="C139" s="11"/>
      <c r="D139" s="2">
        <v>31</v>
      </c>
      <c r="E139" s="2"/>
      <c r="F139" s="22">
        <f t="shared" si="10"/>
        <v>6.4109551725540626E-5</v>
      </c>
      <c r="G139" s="2"/>
      <c r="H139" s="2"/>
      <c r="I139" s="2"/>
      <c r="J139" s="22">
        <f t="shared" si="11"/>
        <v>0</v>
      </c>
      <c r="K139" s="2"/>
      <c r="L139" s="2">
        <f t="shared" si="12"/>
        <v>31</v>
      </c>
      <c r="M139" s="2"/>
      <c r="N139" s="22">
        <f t="shared" si="13"/>
        <v>0</v>
      </c>
      <c r="O139" s="11"/>
      <c r="P139" s="2">
        <v>31</v>
      </c>
      <c r="Q139" s="2"/>
      <c r="R139" s="22">
        <f t="shared" si="14"/>
        <v>6.0276906156971135E-6</v>
      </c>
      <c r="S139" s="2"/>
      <c r="T139" s="2"/>
      <c r="U139" s="2"/>
      <c r="V139" s="22">
        <f t="shared" si="15"/>
        <v>0</v>
      </c>
      <c r="W139" s="2"/>
      <c r="X139" s="2">
        <f t="shared" si="16"/>
        <v>31</v>
      </c>
      <c r="Y139" s="2"/>
      <c r="Z139" s="22">
        <f t="shared" si="17"/>
        <v>0</v>
      </c>
    </row>
    <row r="140" spans="1:26" s="24" customFormat="1" hidden="1" outlineLevel="1" x14ac:dyDescent="0.25">
      <c r="A140" s="51"/>
      <c r="B140" s="11" t="str">
        <f>CONCATENATE("          ", "5582", " - ", "FREIGHT-IN-COMPUTER HARDWARE")</f>
        <v xml:space="preserve">          5582 - FREIGHT-IN-COMPUTER HARDWARE</v>
      </c>
      <c r="C140" s="11"/>
      <c r="D140" s="2"/>
      <c r="E140" s="2"/>
      <c r="F140" s="22">
        <f t="shared" si="10"/>
        <v>0</v>
      </c>
      <c r="G140" s="2"/>
      <c r="H140" s="2"/>
      <c r="I140" s="2"/>
      <c r="J140" s="22">
        <f t="shared" si="11"/>
        <v>0</v>
      </c>
      <c r="K140" s="2"/>
      <c r="L140" s="2">
        <f t="shared" si="12"/>
        <v>0</v>
      </c>
      <c r="M140" s="2"/>
      <c r="N140" s="22">
        <f t="shared" si="13"/>
        <v>0</v>
      </c>
      <c r="O140" s="11"/>
      <c r="P140" s="2">
        <v>94</v>
      </c>
      <c r="Q140" s="2"/>
      <c r="R140" s="22">
        <f t="shared" si="14"/>
        <v>1.8277513479855764E-5</v>
      </c>
      <c r="S140" s="2"/>
      <c r="T140" s="2"/>
      <c r="U140" s="2"/>
      <c r="V140" s="22">
        <f t="shared" si="15"/>
        <v>0</v>
      </c>
      <c r="W140" s="2"/>
      <c r="X140" s="2">
        <f t="shared" si="16"/>
        <v>94</v>
      </c>
      <c r="Y140" s="2"/>
      <c r="Z140" s="22">
        <f t="shared" si="17"/>
        <v>0</v>
      </c>
    </row>
    <row r="141" spans="1:26" s="24" customFormat="1" hidden="1" outlineLevel="1" x14ac:dyDescent="0.25">
      <c r="A141" s="51"/>
      <c r="B141" s="11" t="str">
        <f>CONCATENATE("          ", "5583", " - ", "FREIGHT-IN-COMPUTER EQUIPMENT")</f>
        <v xml:space="preserve">          5583 - FREIGHT-IN-COMPUTER EQUIPMENT</v>
      </c>
      <c r="C141" s="11"/>
      <c r="D141" s="2">
        <v>7.23</v>
      </c>
      <c r="E141" s="2"/>
      <c r="F141" s="22">
        <f t="shared" si="10"/>
        <v>1.4952001902440606E-5</v>
      </c>
      <c r="G141" s="2"/>
      <c r="H141" s="2"/>
      <c r="I141" s="2"/>
      <c r="J141" s="22">
        <f t="shared" si="11"/>
        <v>0</v>
      </c>
      <c r="K141" s="2"/>
      <c r="L141" s="2">
        <f t="shared" si="12"/>
        <v>7.23</v>
      </c>
      <c r="M141" s="2"/>
      <c r="N141" s="22">
        <f t="shared" si="13"/>
        <v>0</v>
      </c>
      <c r="O141" s="11"/>
      <c r="P141" s="2">
        <v>232.4</v>
      </c>
      <c r="Q141" s="2"/>
      <c r="R141" s="22">
        <f t="shared" si="14"/>
        <v>4.518823545445191E-5</v>
      </c>
      <c r="S141" s="2"/>
      <c r="T141" s="2"/>
      <c r="U141" s="2"/>
      <c r="V141" s="22">
        <f t="shared" si="15"/>
        <v>0</v>
      </c>
      <c r="W141" s="2"/>
      <c r="X141" s="2">
        <f t="shared" si="16"/>
        <v>232.4</v>
      </c>
      <c r="Y141" s="2"/>
      <c r="Z141" s="22">
        <f t="shared" si="17"/>
        <v>0</v>
      </c>
    </row>
    <row r="142" spans="1:26" s="24" customFormat="1" hidden="1" outlineLevel="1" x14ac:dyDescent="0.25">
      <c r="A142" s="51"/>
      <c r="B142" s="11" t="str">
        <f>CONCATENATE("          ", "5586", " - ", "FREIGHT-IN-COMPUTER SUPPLIES")</f>
        <v xml:space="preserve">          5586 - FREIGHT-IN-COMPUTER SUPPLIES</v>
      </c>
      <c r="C142" s="11"/>
      <c r="D142" s="2"/>
      <c r="E142" s="2"/>
      <c r="F142" s="22">
        <f t="shared" si="10"/>
        <v>0</v>
      </c>
      <c r="G142" s="2"/>
      <c r="H142" s="2"/>
      <c r="I142" s="2"/>
      <c r="J142" s="22">
        <f t="shared" si="11"/>
        <v>0</v>
      </c>
      <c r="K142" s="2"/>
      <c r="L142" s="2">
        <f t="shared" si="12"/>
        <v>0</v>
      </c>
      <c r="M142" s="2"/>
      <c r="N142" s="22">
        <f t="shared" si="13"/>
        <v>0</v>
      </c>
      <c r="O142" s="11"/>
      <c r="P142" s="2">
        <v>24.12</v>
      </c>
      <c r="Q142" s="2"/>
      <c r="R142" s="22">
        <f t="shared" si="14"/>
        <v>4.6899321822778834E-6</v>
      </c>
      <c r="S142" s="2"/>
      <c r="T142" s="2"/>
      <c r="U142" s="2"/>
      <c r="V142" s="22">
        <f t="shared" si="15"/>
        <v>0</v>
      </c>
      <c r="W142" s="2"/>
      <c r="X142" s="2">
        <f t="shared" si="16"/>
        <v>24.12</v>
      </c>
      <c r="Y142" s="2"/>
      <c r="Z142" s="22">
        <f t="shared" si="17"/>
        <v>0</v>
      </c>
    </row>
    <row r="143" spans="1:26" x14ac:dyDescent="0.25">
      <c r="A143" s="9"/>
      <c r="B143" s="10"/>
      <c r="C143" s="10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O143" s="10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x14ac:dyDescent="0.25">
      <c r="A144" s="10"/>
      <c r="B144" s="25" t="s">
        <v>6</v>
      </c>
      <c r="C144" s="25"/>
      <c r="D144" s="21">
        <f>D12-D97</f>
        <v>237270.65000000008</v>
      </c>
      <c r="E144" s="13"/>
      <c r="F144" s="19">
        <f>IF(D$12=0,0,D144/D$12)</f>
        <v>0.49068758093960163</v>
      </c>
      <c r="G144" s="13"/>
      <c r="H144" s="21">
        <f>H12-H97</f>
        <v>483772</v>
      </c>
      <c r="I144" s="13"/>
      <c r="J144" s="19">
        <f>IF(H$12=0,0,H144/H$12)</f>
        <v>0.59460741716742527</v>
      </c>
      <c r="K144" s="16"/>
      <c r="L144" s="21">
        <f>+D144-H144</f>
        <v>-246501.34999999992</v>
      </c>
      <c r="M144" s="16"/>
      <c r="N144" s="19">
        <f>IF(H144=0,0,L144/H144)</f>
        <v>-0.50954034131781067</v>
      </c>
      <c r="O144" s="26"/>
      <c r="P144" s="21">
        <f>P12-P97</f>
        <v>1913490.2400000026</v>
      </c>
      <c r="Q144" s="13"/>
      <c r="R144" s="19">
        <f>IF(P$12=0,0,P144/P$12)</f>
        <v>0.37206216654438812</v>
      </c>
      <c r="S144" s="13"/>
      <c r="T144" s="21">
        <f>T12-T97</f>
        <v>4086087</v>
      </c>
      <c r="U144" s="13"/>
      <c r="V144" s="19">
        <f>IF(T$12=0,0,T144/T$12)</f>
        <v>0.47427452110145879</v>
      </c>
      <c r="W144" s="16"/>
      <c r="X144" s="21">
        <f>+P144-T144</f>
        <v>-2172596.7599999974</v>
      </c>
      <c r="Y144" s="16"/>
      <c r="Z144" s="19">
        <f>IF(T144=0,0,X144/T144)</f>
        <v>-0.53170594752387734</v>
      </c>
    </row>
    <row r="145" spans="1:26" x14ac:dyDescent="0.25">
      <c r="A145" s="9"/>
      <c r="B145" s="10"/>
      <c r="C145" s="9"/>
      <c r="D145" s="1"/>
      <c r="E145" s="1"/>
      <c r="F145" s="5"/>
      <c r="G145" s="1"/>
      <c r="H145" s="1"/>
      <c r="I145" s="1"/>
      <c r="J145" s="5"/>
      <c r="K145" s="1"/>
      <c r="L145" s="1"/>
      <c r="M145" s="1"/>
      <c r="N145" s="5"/>
      <c r="O145" s="36"/>
      <c r="P145" s="1"/>
      <c r="Q145" s="1"/>
      <c r="R145" s="5"/>
      <c r="S145" s="1"/>
      <c r="T145" s="1"/>
      <c r="U145" s="1"/>
      <c r="V145" s="5"/>
      <c r="W145" s="1"/>
      <c r="X145" s="1"/>
      <c r="Y145" s="1"/>
      <c r="Z145" s="5"/>
    </row>
    <row r="146" spans="1:26" s="23" customFormat="1" x14ac:dyDescent="0.25">
      <c r="A146" s="10"/>
      <c r="B146" s="26" t="s">
        <v>9</v>
      </c>
      <c r="C146" s="10"/>
      <c r="D146" s="20">
        <f>SUM(OSRRefD22x_0)</f>
        <v>667513.45000000007</v>
      </c>
      <c r="E146" s="20"/>
      <c r="F146" s="30">
        <f t="shared" ref="F146:F157" si="18">IF(D$12=0,0,D146/D$12)</f>
        <v>1.3804512274280349</v>
      </c>
      <c r="G146" s="20"/>
      <c r="H146" s="20">
        <f>SUM(OSRRefH22x_0)</f>
        <v>898499.60886835563</v>
      </c>
      <c r="I146" s="20"/>
      <c r="J146" s="30">
        <f t="shared" ref="J146:J157" si="19">IF(H$12=0,0,H146/H$12)</f>
        <v>1.1043519090711218</v>
      </c>
      <c r="K146" s="4"/>
      <c r="L146" s="20">
        <f t="shared" ref="L146:L157" si="20">+D146-H146</f>
        <v>-230986.15886835556</v>
      </c>
      <c r="M146" s="4"/>
      <c r="N146" s="30">
        <f t="shared" ref="N146:N157" si="21">IF(H146=0,0,L146/H146)</f>
        <v>-0.25707986579902747</v>
      </c>
      <c r="O146" s="10"/>
      <c r="P146" s="20">
        <f>SUM(OSRRefP22x_0)</f>
        <v>4223667.6599999992</v>
      </c>
      <c r="Q146" s="20"/>
      <c r="R146" s="30">
        <f t="shared" ref="R146:R157" si="22">IF(P$12=0,0,P146/P$12)</f>
        <v>0.82125683606468969</v>
      </c>
      <c r="S146" s="20"/>
      <c r="T146" s="20">
        <f>SUM(OSRRefT22x_0)</f>
        <v>5741457.0570695316</v>
      </c>
      <c r="U146" s="20"/>
      <c r="V146" s="30">
        <f t="shared" ref="V146:V157" si="23">IF(T$12=0,0,T146/T$12)</f>
        <v>0.66641429714204403</v>
      </c>
      <c r="W146" s="4"/>
      <c r="X146" s="20">
        <f t="shared" ref="X146:X157" si="24">+P146-T146</f>
        <v>-1517789.3970695324</v>
      </c>
      <c r="Y146" s="4"/>
      <c r="Z146" s="30">
        <f t="shared" ref="Z146:Z157" si="25">IF(T146=0,0,X146/T146)</f>
        <v>-0.26435613503381661</v>
      </c>
    </row>
    <row r="147" spans="1:26" s="28" customFormat="1" outlineLevel="1" collapsed="1" x14ac:dyDescent="0.25">
      <c r="A147" s="27"/>
      <c r="B147" s="14" t="str">
        <f>CONCATENATE("     ","*Benefits                                         ")</f>
        <v xml:space="preserve">     *Benefits                                         </v>
      </c>
      <c r="C147" s="14"/>
      <c r="D147" s="1">
        <f>SUM(OSRRefD22_0x_0)</f>
        <v>149567.71000000002</v>
      </c>
      <c r="E147" s="1"/>
      <c r="F147" s="5">
        <f t="shared" si="18"/>
        <v>0.30931351099082777</v>
      </c>
      <c r="G147" s="1"/>
      <c r="H147" s="1">
        <f>SUM(OSRRefH22_0x_0)</f>
        <v>164482.0924678685</v>
      </c>
      <c r="I147" s="1"/>
      <c r="J147" s="5">
        <f t="shared" si="19"/>
        <v>0.20216604551857673</v>
      </c>
      <c r="K147" s="1"/>
      <c r="L147" s="1">
        <f t="shared" si="20"/>
        <v>-14914.382467868476</v>
      </c>
      <c r="M147" s="1"/>
      <c r="N147" s="5">
        <f t="shared" si="21"/>
        <v>-9.0674809908452461E-2</v>
      </c>
      <c r="O147" s="14"/>
      <c r="P147" s="1">
        <f>SUM(OSRRefP22_0x_0)</f>
        <v>943831.68999999971</v>
      </c>
      <c r="Q147" s="1"/>
      <c r="R147" s="5">
        <f t="shared" si="22"/>
        <v>0.18352017485840469</v>
      </c>
      <c r="S147" s="1"/>
      <c r="T147" s="1">
        <f>SUM(OSRRefT22_0x_0)</f>
        <v>1059302.9830505312</v>
      </c>
      <c r="U147" s="1"/>
      <c r="V147" s="5">
        <f t="shared" si="23"/>
        <v>0.12295392021453225</v>
      </c>
      <c r="W147" s="1"/>
      <c r="X147" s="1">
        <f t="shared" si="24"/>
        <v>-115471.29305053153</v>
      </c>
      <c r="Y147" s="1"/>
      <c r="Z147" s="5">
        <f t="shared" si="25"/>
        <v>-0.10900686101912287</v>
      </c>
    </row>
    <row r="148" spans="1:26" s="24" customFormat="1" hidden="1" outlineLevel="2" x14ac:dyDescent="0.25">
      <c r="A148" s="29"/>
      <c r="B148" s="11" t="str">
        <f>CONCATENATE("          ", "6111", " - ", "F.I.C.A.")</f>
        <v xml:space="preserve">          6111 - F.I.C.A.</v>
      </c>
      <c r="C148" s="11"/>
      <c r="D148" s="7">
        <v>17455.38</v>
      </c>
      <c r="E148" s="2"/>
      <c r="F148" s="6">
        <f t="shared" si="18"/>
        <v>3.6098599580611852E-2</v>
      </c>
      <c r="G148" s="2"/>
      <c r="H148" s="7">
        <v>19829.878553579998</v>
      </c>
      <c r="I148" s="2"/>
      <c r="J148" s="6">
        <f t="shared" si="19"/>
        <v>2.4373037028781991E-2</v>
      </c>
      <c r="K148" s="2"/>
      <c r="L148" s="7">
        <f t="shared" si="20"/>
        <v>-2374.498553579997</v>
      </c>
      <c r="M148" s="2"/>
      <c r="N148" s="6">
        <f t="shared" si="21"/>
        <v>-0.11974347433163253</v>
      </c>
      <c r="O148" s="11"/>
      <c r="P148" s="7">
        <v>133858.97</v>
      </c>
      <c r="Q148" s="2"/>
      <c r="R148" s="6">
        <f t="shared" si="22"/>
        <v>2.6027756686963915E-2</v>
      </c>
      <c r="S148" s="2"/>
      <c r="T148" s="7">
        <v>141982.43127431997</v>
      </c>
      <c r="U148" s="2"/>
      <c r="V148" s="6">
        <f t="shared" si="23"/>
        <v>1.6479984297311557E-2</v>
      </c>
      <c r="W148" s="2"/>
      <c r="X148" s="7">
        <f t="shared" si="24"/>
        <v>-8123.4612743199687</v>
      </c>
      <c r="Y148" s="2"/>
      <c r="Z148" s="6">
        <f t="shared" si="25"/>
        <v>-5.7214552542947196E-2</v>
      </c>
    </row>
    <row r="149" spans="1:26" s="24" customFormat="1" hidden="1" outlineLevel="2" x14ac:dyDescent="0.25">
      <c r="A149" s="29"/>
      <c r="B149" s="11" t="str">
        <f>CONCATENATE("          ", "6112", " - ", "COMPENSATION INSURANCE")</f>
        <v xml:space="preserve">          6112 - COMPENSATION INSURANCE</v>
      </c>
      <c r="C149" s="11"/>
      <c r="D149" s="7">
        <v>12807.21</v>
      </c>
      <c r="E149" s="2"/>
      <c r="F149" s="6">
        <f t="shared" si="18"/>
        <v>2.6485951353382615E-2</v>
      </c>
      <c r="G149" s="2"/>
      <c r="H149" s="7">
        <v>11376.278685834617</v>
      </c>
      <c r="I149" s="2"/>
      <c r="J149" s="6">
        <f t="shared" si="19"/>
        <v>1.3982660605328445E-2</v>
      </c>
      <c r="K149" s="2"/>
      <c r="L149" s="7">
        <f t="shared" si="20"/>
        <v>1430.931314165382</v>
      </c>
      <c r="M149" s="2"/>
      <c r="N149" s="6">
        <f t="shared" si="21"/>
        <v>0.1257820200859823</v>
      </c>
      <c r="O149" s="11"/>
      <c r="P149" s="7">
        <v>57230.2</v>
      </c>
      <c r="Q149" s="2"/>
      <c r="R149" s="6">
        <f t="shared" si="22"/>
        <v>1.1127933531434481E-2</v>
      </c>
      <c r="S149" s="2"/>
      <c r="T149" s="7">
        <v>71797.614527450001</v>
      </c>
      <c r="U149" s="2"/>
      <c r="V149" s="6">
        <f t="shared" si="23"/>
        <v>8.3335913420917104E-3</v>
      </c>
      <c r="W149" s="2"/>
      <c r="X149" s="7">
        <f t="shared" si="24"/>
        <v>-14567.414527450004</v>
      </c>
      <c r="Y149" s="2"/>
      <c r="Z149" s="6">
        <f t="shared" si="25"/>
        <v>-0.20289552269011002</v>
      </c>
    </row>
    <row r="150" spans="1:26" s="24" customFormat="1" hidden="1" outlineLevel="2" x14ac:dyDescent="0.25">
      <c r="A150" s="29"/>
      <c r="B150" s="11" t="str">
        <f>CONCATENATE("          ", "6113", " - ", "GROUP INSURANCE")</f>
        <v xml:space="preserve">          6113 - GROUP INSURANCE</v>
      </c>
      <c r="C150" s="11"/>
      <c r="D150" s="7">
        <v>74273.73000000001</v>
      </c>
      <c r="E150" s="2"/>
      <c r="F150" s="6">
        <f t="shared" si="18"/>
        <v>0.15360179146076902</v>
      </c>
      <c r="G150" s="2"/>
      <c r="H150" s="7">
        <v>89343.153846153873</v>
      </c>
      <c r="I150" s="2"/>
      <c r="J150" s="6">
        <f t="shared" si="19"/>
        <v>0.10981227096659887</v>
      </c>
      <c r="K150" s="2"/>
      <c r="L150" s="7">
        <f t="shared" si="20"/>
        <v>-15069.423846153863</v>
      </c>
      <c r="M150" s="2"/>
      <c r="N150" s="6">
        <f t="shared" si="21"/>
        <v>-0.1686690383921631</v>
      </c>
      <c r="O150" s="11"/>
      <c r="P150" s="7">
        <v>448606.98</v>
      </c>
      <c r="Q150" s="2"/>
      <c r="R150" s="6">
        <f t="shared" si="22"/>
        <v>8.7227873660716854E-2</v>
      </c>
      <c r="S150" s="2"/>
      <c r="T150" s="7">
        <v>563432.9615384615</v>
      </c>
      <c r="U150" s="2"/>
      <c r="V150" s="6">
        <f t="shared" si="23"/>
        <v>6.5397995198445483E-2</v>
      </c>
      <c r="W150" s="2"/>
      <c r="X150" s="7">
        <f t="shared" si="24"/>
        <v>-114825.98153846152</v>
      </c>
      <c r="Y150" s="2"/>
      <c r="Z150" s="6">
        <f t="shared" si="25"/>
        <v>-0.20379706083387025</v>
      </c>
    </row>
    <row r="151" spans="1:26" s="24" customFormat="1" hidden="1" outlineLevel="2" x14ac:dyDescent="0.25">
      <c r="A151" s="29"/>
      <c r="B151" s="11" t="str">
        <f>CONCATENATE("          ", "6114", " - ", "STATE UNEMPLOYMENT INSURANCE")</f>
        <v xml:space="preserve">          6114 - STATE UNEMPLOYMENT INSURANCE</v>
      </c>
      <c r="C151" s="11"/>
      <c r="D151" s="7"/>
      <c r="E151" s="2"/>
      <c r="F151" s="6">
        <f t="shared" si="18"/>
        <v>0</v>
      </c>
      <c r="G151" s="2"/>
      <c r="H151" s="7">
        <v>1006.4303872999999</v>
      </c>
      <c r="I151" s="2"/>
      <c r="J151" s="6">
        <f t="shared" si="19"/>
        <v>1.237010354363759E-3</v>
      </c>
      <c r="K151" s="2"/>
      <c r="L151" s="7">
        <f t="shared" si="20"/>
        <v>-1006.4303872999999</v>
      </c>
      <c r="M151" s="2"/>
      <c r="N151" s="6">
        <f t="shared" si="21"/>
        <v>-1</v>
      </c>
      <c r="O151" s="11"/>
      <c r="P151" s="7">
        <v>4565.84</v>
      </c>
      <c r="Q151" s="2"/>
      <c r="R151" s="6">
        <f t="shared" si="22"/>
        <v>8.8778938454111319E-4</v>
      </c>
      <c r="S151" s="2"/>
      <c r="T151" s="7">
        <v>6474.3373253</v>
      </c>
      <c r="U151" s="2"/>
      <c r="V151" s="6">
        <f t="shared" si="23"/>
        <v>7.5148014087951564E-4</v>
      </c>
      <c r="W151" s="2"/>
      <c r="X151" s="7">
        <f t="shared" si="24"/>
        <v>-1908.4973252999998</v>
      </c>
      <c r="Y151" s="2"/>
      <c r="Z151" s="6">
        <f t="shared" si="25"/>
        <v>-0.29477879038555754</v>
      </c>
    </row>
    <row r="152" spans="1:26" s="24" customFormat="1" hidden="1" outlineLevel="2" x14ac:dyDescent="0.25">
      <c r="A152" s="29"/>
      <c r="B152" s="11" t="str">
        <f>CONCATENATE("          ", "6115", " - ", "P.E.R.S.")</f>
        <v xml:space="preserve">          6115 - P.E.R.S.</v>
      </c>
      <c r="C152" s="11"/>
      <c r="D152" s="7">
        <v>13525.61</v>
      </c>
      <c r="E152" s="2"/>
      <c r="F152" s="6">
        <f t="shared" si="18"/>
        <v>2.7971638513370631E-2</v>
      </c>
      <c r="G152" s="2"/>
      <c r="H152" s="7">
        <v>12274.868580000008</v>
      </c>
      <c r="I152" s="2"/>
      <c r="J152" s="6">
        <f t="shared" si="19"/>
        <v>1.5087123484665059E-2</v>
      </c>
      <c r="K152" s="2"/>
      <c r="L152" s="7">
        <f t="shared" si="20"/>
        <v>1250.741419999993</v>
      </c>
      <c r="M152" s="2"/>
      <c r="N152" s="6">
        <f t="shared" si="21"/>
        <v>0.10189448561900548</v>
      </c>
      <c r="O152" s="11"/>
      <c r="P152" s="7">
        <v>95424.63</v>
      </c>
      <c r="Q152" s="2"/>
      <c r="R152" s="6">
        <f t="shared" si="22"/>
        <v>1.8554520863140942E-2</v>
      </c>
      <c r="S152" s="2"/>
      <c r="T152" s="7">
        <v>80031.993020000053</v>
      </c>
      <c r="U152" s="2"/>
      <c r="V152" s="6">
        <f t="shared" si="23"/>
        <v>9.2893604963271269E-3</v>
      </c>
      <c r="W152" s="2"/>
      <c r="X152" s="7">
        <f t="shared" si="24"/>
        <v>15392.636979999952</v>
      </c>
      <c r="Y152" s="2"/>
      <c r="Z152" s="6">
        <f t="shared" si="25"/>
        <v>0.19233104661223818</v>
      </c>
    </row>
    <row r="153" spans="1:26" s="24" customFormat="1" hidden="1" outlineLevel="2" x14ac:dyDescent="0.25">
      <c r="A153" s="29"/>
      <c r="B153" s="11" t="str">
        <f>CONCATENATE("          ", "6116", " - ", "EDUCATIONAL BENEFITS")</f>
        <v xml:space="preserve">          6116 - EDUCATIONAL BENEFITS</v>
      </c>
      <c r="C153" s="11"/>
      <c r="D153" s="7"/>
      <c r="E153" s="2"/>
      <c r="F153" s="6">
        <f t="shared" si="18"/>
        <v>0</v>
      </c>
      <c r="G153" s="2"/>
      <c r="H153" s="7">
        <v>0</v>
      </c>
      <c r="I153" s="2"/>
      <c r="J153" s="6">
        <f t="shared" si="19"/>
        <v>0</v>
      </c>
      <c r="K153" s="2"/>
      <c r="L153" s="7">
        <f t="shared" si="20"/>
        <v>0</v>
      </c>
      <c r="M153" s="2"/>
      <c r="N153" s="6">
        <f t="shared" si="21"/>
        <v>0</v>
      </c>
      <c r="O153" s="11"/>
      <c r="P153" s="7">
        <v>0</v>
      </c>
      <c r="Q153" s="2"/>
      <c r="R153" s="6">
        <f t="shared" si="22"/>
        <v>0</v>
      </c>
      <c r="S153" s="2"/>
      <c r="T153" s="7">
        <v>0</v>
      </c>
      <c r="U153" s="2"/>
      <c r="V153" s="6">
        <f t="shared" si="23"/>
        <v>0</v>
      </c>
      <c r="W153" s="2"/>
      <c r="X153" s="7">
        <f t="shared" si="24"/>
        <v>0</v>
      </c>
      <c r="Y153" s="2"/>
      <c r="Z153" s="6">
        <f t="shared" si="25"/>
        <v>0</v>
      </c>
    </row>
    <row r="154" spans="1:26" s="24" customFormat="1" hidden="1" outlineLevel="2" x14ac:dyDescent="0.25">
      <c r="A154" s="29"/>
      <c r="B154" s="11" t="str">
        <f>CONCATENATE("          ", "6117", " - ", "RETIREMENT STAFF HOURLY")</f>
        <v xml:space="preserve">          6117 - RETIREMENT STAFF HOURLY</v>
      </c>
      <c r="C154" s="11"/>
      <c r="D154" s="7">
        <v>2029.24</v>
      </c>
      <c r="E154" s="2"/>
      <c r="F154" s="6">
        <f t="shared" si="18"/>
        <v>4.1965698949527758E-3</v>
      </c>
      <c r="G154" s="2"/>
      <c r="H154" s="7"/>
      <c r="I154" s="2"/>
      <c r="J154" s="6">
        <f t="shared" si="19"/>
        <v>0</v>
      </c>
      <c r="K154" s="2"/>
      <c r="L154" s="7">
        <f t="shared" si="20"/>
        <v>2029.24</v>
      </c>
      <c r="M154" s="2"/>
      <c r="N154" s="6">
        <f t="shared" si="21"/>
        <v>0</v>
      </c>
      <c r="O154" s="11"/>
      <c r="P154" s="7">
        <v>12396.57</v>
      </c>
      <c r="Q154" s="2"/>
      <c r="R154" s="6">
        <f t="shared" si="22"/>
        <v>2.4104093114784633E-3</v>
      </c>
      <c r="S154" s="2"/>
      <c r="T154" s="7"/>
      <c r="U154" s="2"/>
      <c r="V154" s="6">
        <f t="shared" si="23"/>
        <v>0</v>
      </c>
      <c r="W154" s="2"/>
      <c r="X154" s="7">
        <f t="shared" si="24"/>
        <v>12396.57</v>
      </c>
      <c r="Y154" s="2"/>
      <c r="Z154" s="6">
        <f t="shared" si="25"/>
        <v>0</v>
      </c>
    </row>
    <row r="155" spans="1:26" s="24" customFormat="1" hidden="1" outlineLevel="2" x14ac:dyDescent="0.25">
      <c r="A155" s="29"/>
      <c r="B155" s="11" t="str">
        <f>CONCATENATE("          ", "6118", " - ", "VACATION")</f>
        <v xml:space="preserve">          6118 - VACATION</v>
      </c>
      <c r="C155" s="11"/>
      <c r="D155" s="7">
        <v>15483.12</v>
      </c>
      <c r="E155" s="2"/>
      <c r="F155" s="6">
        <f t="shared" si="18"/>
        <v>3.201986717783073E-2</v>
      </c>
      <c r="G155" s="2"/>
      <c r="H155" s="7">
        <v>12925.184450769239</v>
      </c>
      <c r="I155" s="2"/>
      <c r="J155" s="6">
        <f t="shared" si="19"/>
        <v>1.5886431092920761E-2</v>
      </c>
      <c r="K155" s="2"/>
      <c r="L155" s="7">
        <f t="shared" si="20"/>
        <v>2557.9355492307623</v>
      </c>
      <c r="M155" s="2"/>
      <c r="N155" s="6">
        <f t="shared" si="21"/>
        <v>0.19790321437761205</v>
      </c>
      <c r="O155" s="11"/>
      <c r="P155" s="7">
        <v>96895.22</v>
      </c>
      <c r="Q155" s="2"/>
      <c r="R155" s="6">
        <f t="shared" si="22"/>
        <v>1.8840464783867975E-2</v>
      </c>
      <c r="S155" s="2"/>
      <c r="T155" s="7">
        <v>84441.245180000013</v>
      </c>
      <c r="U155" s="2"/>
      <c r="V155" s="6">
        <f t="shared" si="23"/>
        <v>9.8011449876019216E-3</v>
      </c>
      <c r="W155" s="2"/>
      <c r="X155" s="7">
        <f t="shared" si="24"/>
        <v>12453.974819999989</v>
      </c>
      <c r="Y155" s="2"/>
      <c r="Z155" s="6">
        <f t="shared" si="25"/>
        <v>0.14748686845453723</v>
      </c>
    </row>
    <row r="156" spans="1:26" s="24" customFormat="1" hidden="1" outlineLevel="2" x14ac:dyDescent="0.25">
      <c r="A156" s="29"/>
      <c r="B156" s="11" t="str">
        <f>CONCATENATE("          ", "6119", " - ", "SICK LEAVE")</f>
        <v xml:space="preserve">          6119 - SICK LEAVE</v>
      </c>
      <c r="C156" s="11"/>
      <c r="D156" s="7">
        <v>10174.76</v>
      </c>
      <c r="E156" s="2"/>
      <c r="F156" s="6">
        <f t="shared" si="18"/>
        <v>2.1041912984353605E-2</v>
      </c>
      <c r="G156" s="2"/>
      <c r="H156" s="7">
        <v>11376.297964230766</v>
      </c>
      <c r="I156" s="2"/>
      <c r="J156" s="6">
        <f t="shared" si="19"/>
        <v>1.3982684300534742E-2</v>
      </c>
      <c r="K156" s="2"/>
      <c r="L156" s="7">
        <f t="shared" si="20"/>
        <v>-1201.5379642307653</v>
      </c>
      <c r="M156" s="2"/>
      <c r="N156" s="6">
        <f t="shared" si="21"/>
        <v>-0.10561765945377205</v>
      </c>
      <c r="O156" s="11"/>
      <c r="P156" s="7">
        <v>65481.570000000007</v>
      </c>
      <c r="Q156" s="2"/>
      <c r="R156" s="6">
        <f t="shared" si="22"/>
        <v>1.273234338677786E-2</v>
      </c>
      <c r="S156" s="2"/>
      <c r="T156" s="7">
        <v>73042.400184999962</v>
      </c>
      <c r="U156" s="2"/>
      <c r="V156" s="6">
        <f t="shared" si="23"/>
        <v>8.4780743454170131E-3</v>
      </c>
      <c r="W156" s="2"/>
      <c r="X156" s="7">
        <f t="shared" si="24"/>
        <v>-7560.8301849999552</v>
      </c>
      <c r="Y156" s="2"/>
      <c r="Z156" s="6">
        <f t="shared" si="25"/>
        <v>-0.10351289341327878</v>
      </c>
    </row>
    <row r="157" spans="1:26" s="24" customFormat="1" hidden="1" outlineLevel="2" x14ac:dyDescent="0.25">
      <c r="A157" s="29"/>
      <c r="B157" s="11" t="str">
        <f>CONCATENATE("          ", "6156", " - ", "EMPLOYEE MEALS")</f>
        <v xml:space="preserve">          6156 - EMPLOYEE MEALS</v>
      </c>
      <c r="C157" s="11"/>
      <c r="D157" s="7">
        <v>3818.66</v>
      </c>
      <c r="E157" s="2"/>
      <c r="F157" s="6">
        <f t="shared" si="18"/>
        <v>7.8971800255565466E-3</v>
      </c>
      <c r="G157" s="2"/>
      <c r="H157" s="7">
        <v>6350</v>
      </c>
      <c r="I157" s="2"/>
      <c r="J157" s="6">
        <f t="shared" si="19"/>
        <v>7.8048276853830943E-3</v>
      </c>
      <c r="K157" s="2"/>
      <c r="L157" s="7">
        <f t="shared" si="20"/>
        <v>-2531.34</v>
      </c>
      <c r="M157" s="2"/>
      <c r="N157" s="6">
        <f t="shared" si="21"/>
        <v>-0.39863622047244096</v>
      </c>
      <c r="O157" s="11"/>
      <c r="P157" s="7">
        <v>29371.710000000003</v>
      </c>
      <c r="Q157" s="2"/>
      <c r="R157" s="6">
        <f t="shared" si="22"/>
        <v>5.7110832494831317E-3</v>
      </c>
      <c r="S157" s="2"/>
      <c r="T157" s="7">
        <v>38100</v>
      </c>
      <c r="U157" s="2"/>
      <c r="V157" s="6">
        <f t="shared" si="23"/>
        <v>4.4222894064579587E-3</v>
      </c>
      <c r="W157" s="2"/>
      <c r="X157" s="7">
        <f t="shared" si="24"/>
        <v>-8728.2899999999972</v>
      </c>
      <c r="Y157" s="2"/>
      <c r="Z157" s="6">
        <f t="shared" si="25"/>
        <v>-0.2290889763779527</v>
      </c>
    </row>
    <row r="158" spans="1:26" s="28" customFormat="1" outlineLevel="1" collapsed="1" x14ac:dyDescent="0.25">
      <c r="A158" s="27"/>
      <c r="B158" s="14" t="str">
        <f>CONCATENATE("     ","*Payroll                                          ")</f>
        <v xml:space="preserve">     *Payroll                                          </v>
      </c>
      <c r="C158" s="14"/>
      <c r="D158" s="1">
        <f>SUM(OSRRefD22_1x_0)</f>
        <v>257345.03</v>
      </c>
      <c r="E158" s="1"/>
      <c r="F158" s="5">
        <f t="shared" ref="F158:F168" si="26">IF(D$12=0,0,D158/D$12)</f>
        <v>0.53220240361599369</v>
      </c>
      <c r="G158" s="1"/>
      <c r="H158" s="1">
        <f>SUM(OSRRefH22_1x_0)</f>
        <v>359896.18306715385</v>
      </c>
      <c r="I158" s="1"/>
      <c r="J158" s="5">
        <f t="shared" ref="J158:J168" si="27">IF(H$12=0,0,H158/H$12)</f>
        <v>0.44235081786869679</v>
      </c>
      <c r="K158" s="1"/>
      <c r="L158" s="1">
        <f t="shared" ref="L158:L168" si="28">+D158-H158</f>
        <v>-102551.15306715385</v>
      </c>
      <c r="M158" s="1"/>
      <c r="N158" s="5">
        <f t="shared" ref="N158:N168" si="29">IF(H158=0,0,L158/H158)</f>
        <v>-0.28494648704851255</v>
      </c>
      <c r="O158" s="14"/>
      <c r="P158" s="1">
        <f>SUM(OSRRefP22_1x_0)</f>
        <v>1724274.0599999998</v>
      </c>
      <c r="Q158" s="1"/>
      <c r="R158" s="5">
        <f t="shared" ref="R158:R168" si="30">IF(P$12=0,0,P158/P$12)</f>
        <v>0.33527066355974067</v>
      </c>
      <c r="S158" s="1"/>
      <c r="T158" s="1">
        <f>SUM(OSRRefT22_1x_0)</f>
        <v>2315947.0740190004</v>
      </c>
      <c r="U158" s="1"/>
      <c r="V158" s="5">
        <f t="shared" ref="V158:V168" si="31">IF(T$12=0,0,T158/T$12)</f>
        <v>0.26881333888061759</v>
      </c>
      <c r="W158" s="1"/>
      <c r="X158" s="1">
        <f t="shared" ref="X158:X168" si="32">+P158-T158</f>
        <v>-591673.01401900058</v>
      </c>
      <c r="Y158" s="1"/>
      <c r="Z158" s="5">
        <f t="shared" ref="Z158:Z168" si="33">IF(T158=0,0,X158/T158)</f>
        <v>-0.25547777868353239</v>
      </c>
    </row>
    <row r="159" spans="1:26" s="24" customFormat="1" hidden="1" outlineLevel="2" x14ac:dyDescent="0.25">
      <c r="A159" s="29"/>
      <c r="B159" s="11" t="str">
        <f>CONCATENATE("          ", "6001", " - ", "ADMINISTRATIVE SALARIES")</f>
        <v xml:space="preserve">          6001 - ADMINISTRATIVE SALARIES</v>
      </c>
      <c r="C159" s="11"/>
      <c r="D159" s="7">
        <v>24449.32</v>
      </c>
      <c r="E159" s="2"/>
      <c r="F159" s="6">
        <f t="shared" si="26"/>
        <v>5.0562417586912739E-2</v>
      </c>
      <c r="G159" s="2"/>
      <c r="H159" s="7">
        <v>27028.93076923077</v>
      </c>
      <c r="I159" s="2"/>
      <c r="J159" s="6">
        <f t="shared" si="27"/>
        <v>3.3221440499841777E-2</v>
      </c>
      <c r="K159" s="2"/>
      <c r="L159" s="7">
        <f t="shared" si="28"/>
        <v>-2579.6107692307705</v>
      </c>
      <c r="M159" s="2"/>
      <c r="N159" s="6">
        <f t="shared" si="29"/>
        <v>-9.5438875893949573E-2</v>
      </c>
      <c r="O159" s="11"/>
      <c r="P159" s="7">
        <v>166527.06</v>
      </c>
      <c r="Q159" s="2"/>
      <c r="R159" s="6">
        <f t="shared" si="30"/>
        <v>3.2379793445859034E-2</v>
      </c>
      <c r="S159" s="2"/>
      <c r="T159" s="7">
        <v>175688.05</v>
      </c>
      <c r="U159" s="2"/>
      <c r="V159" s="6">
        <f t="shared" si="31"/>
        <v>2.0392215284941104E-2</v>
      </c>
      <c r="W159" s="2"/>
      <c r="X159" s="7">
        <f t="shared" si="32"/>
        <v>-9160.9899999999907</v>
      </c>
      <c r="Y159" s="2"/>
      <c r="Z159" s="6">
        <f t="shared" si="33"/>
        <v>-5.2143500938168483E-2</v>
      </c>
    </row>
    <row r="160" spans="1:26" s="24" customFormat="1" hidden="1" outlineLevel="2" x14ac:dyDescent="0.25">
      <c r="A160" s="29"/>
      <c r="B160" s="11" t="str">
        <f>CONCATENATE("          ", "6002", " - ", "STAFF SALARIES")</f>
        <v xml:space="preserve">          6002 - STAFF SALARIES</v>
      </c>
      <c r="C160" s="11"/>
      <c r="D160" s="7">
        <v>102039.22</v>
      </c>
      <c r="E160" s="2"/>
      <c r="F160" s="6">
        <f t="shared" si="26"/>
        <v>0.21102221460076837</v>
      </c>
      <c r="G160" s="2"/>
      <c r="H160" s="7">
        <v>102115.08893292308</v>
      </c>
      <c r="I160" s="2"/>
      <c r="J160" s="6">
        <f t="shared" si="27"/>
        <v>0.1255103422360685</v>
      </c>
      <c r="K160" s="2"/>
      <c r="L160" s="7">
        <f t="shared" si="28"/>
        <v>-75.868932923083776</v>
      </c>
      <c r="M160" s="2"/>
      <c r="N160" s="6">
        <f t="shared" si="29"/>
        <v>-7.429747524669957E-4</v>
      </c>
      <c r="O160" s="11"/>
      <c r="P160" s="7">
        <v>665150.51</v>
      </c>
      <c r="Q160" s="2"/>
      <c r="R160" s="6">
        <f t="shared" si="30"/>
        <v>0.12933295119848867</v>
      </c>
      <c r="S160" s="2"/>
      <c r="T160" s="7">
        <v>666458.30931400019</v>
      </c>
      <c r="U160" s="2"/>
      <c r="V160" s="6">
        <f t="shared" si="31"/>
        <v>7.7356207903548149E-2</v>
      </c>
      <c r="W160" s="2"/>
      <c r="X160" s="7">
        <f t="shared" si="32"/>
        <v>-1307.7993140001781</v>
      </c>
      <c r="Y160" s="2"/>
      <c r="Z160" s="6">
        <f t="shared" si="33"/>
        <v>-1.9623122642830038E-3</v>
      </c>
    </row>
    <row r="161" spans="1:26" s="24" customFormat="1" hidden="1" outlineLevel="2" x14ac:dyDescent="0.25">
      <c r="A161" s="29"/>
      <c r="B161" s="11" t="str">
        <f>CONCATENATE("          ", "6003", " - ", "STAFF HOURLY-9 MONTH")</f>
        <v xml:space="preserve">          6003 - STAFF HOURLY-9 MONTH</v>
      </c>
      <c r="C161" s="11"/>
      <c r="D161" s="7"/>
      <c r="E161" s="2"/>
      <c r="F161" s="6">
        <f t="shared" si="26"/>
        <v>0</v>
      </c>
      <c r="G161" s="2"/>
      <c r="H161" s="7">
        <v>0</v>
      </c>
      <c r="I161" s="2"/>
      <c r="J161" s="6">
        <f t="shared" si="27"/>
        <v>0</v>
      </c>
      <c r="K161" s="2"/>
      <c r="L161" s="7">
        <f t="shared" si="28"/>
        <v>0</v>
      </c>
      <c r="M161" s="2"/>
      <c r="N161" s="6">
        <f t="shared" si="29"/>
        <v>0</v>
      </c>
      <c r="O161" s="11"/>
      <c r="P161" s="7"/>
      <c r="Q161" s="2"/>
      <c r="R161" s="6">
        <f t="shared" si="30"/>
        <v>0</v>
      </c>
      <c r="S161" s="2"/>
      <c r="T161" s="7">
        <v>0</v>
      </c>
      <c r="U161" s="2"/>
      <c r="V161" s="6">
        <f t="shared" si="31"/>
        <v>0</v>
      </c>
      <c r="W161" s="2"/>
      <c r="X161" s="7">
        <f t="shared" si="32"/>
        <v>0</v>
      </c>
      <c r="Y161" s="2"/>
      <c r="Z161" s="6">
        <f t="shared" si="33"/>
        <v>0</v>
      </c>
    </row>
    <row r="162" spans="1:26" s="24" customFormat="1" hidden="1" outlineLevel="2" x14ac:dyDescent="0.25">
      <c r="A162" s="29"/>
      <c r="B162" s="11" t="str">
        <f>CONCATENATE("          ", "6004", " - ", "STAFF HOURLY")</f>
        <v xml:space="preserve">          6004 - STAFF HOURLY</v>
      </c>
      <c r="C162" s="11"/>
      <c r="D162" s="7">
        <v>57921.77</v>
      </c>
      <c r="E162" s="2"/>
      <c r="F162" s="6">
        <f t="shared" si="26"/>
        <v>0.11978511967257637</v>
      </c>
      <c r="G162" s="2"/>
      <c r="H162" s="7">
        <v>106565.04</v>
      </c>
      <c r="I162" s="2"/>
      <c r="J162" s="6">
        <f t="shared" si="27"/>
        <v>0.13097980700566247</v>
      </c>
      <c r="K162" s="2"/>
      <c r="L162" s="7">
        <f t="shared" si="28"/>
        <v>-48643.27</v>
      </c>
      <c r="M162" s="2"/>
      <c r="N162" s="6">
        <f t="shared" si="29"/>
        <v>-0.45646555380638903</v>
      </c>
      <c r="O162" s="11"/>
      <c r="P162" s="7">
        <v>408214.46</v>
      </c>
      <c r="Q162" s="2"/>
      <c r="R162" s="6">
        <f t="shared" si="30"/>
        <v>7.9373886120447254E-2</v>
      </c>
      <c r="S162" s="2"/>
      <c r="T162" s="7">
        <v>679574.85</v>
      </c>
      <c r="U162" s="2"/>
      <c r="V162" s="6">
        <f t="shared" si="31"/>
        <v>7.8878652494757381E-2</v>
      </c>
      <c r="W162" s="2"/>
      <c r="X162" s="7">
        <f t="shared" si="32"/>
        <v>-271360.38999999996</v>
      </c>
      <c r="Y162" s="2"/>
      <c r="Z162" s="6">
        <f t="shared" si="33"/>
        <v>-0.39930905330001537</v>
      </c>
    </row>
    <row r="163" spans="1:26" s="24" customFormat="1" hidden="1" outlineLevel="2" x14ac:dyDescent="0.25">
      <c r="A163" s="29"/>
      <c r="B163" s="11" t="str">
        <f>CONCATENATE("          ", "6005", " - ", "TEMPORARY WAGES-HOURLY")</f>
        <v xml:space="preserve">          6005 - TEMPORARY WAGES-HOURLY</v>
      </c>
      <c r="C163" s="11"/>
      <c r="D163" s="7">
        <v>27251.21</v>
      </c>
      <c r="E163" s="2"/>
      <c r="F163" s="6">
        <f t="shared" si="26"/>
        <v>5.6356866357373227E-2</v>
      </c>
      <c r="G163" s="2"/>
      <c r="H163" s="7">
        <v>15993.303365</v>
      </c>
      <c r="I163" s="2"/>
      <c r="J163" s="6">
        <f t="shared" si="27"/>
        <v>1.9657476674627181E-2</v>
      </c>
      <c r="K163" s="2"/>
      <c r="L163" s="7">
        <f t="shared" si="28"/>
        <v>11257.906634999999</v>
      </c>
      <c r="M163" s="2"/>
      <c r="N163" s="6">
        <f t="shared" si="29"/>
        <v>0.70391378054123466</v>
      </c>
      <c r="O163" s="11"/>
      <c r="P163" s="7">
        <v>203842</v>
      </c>
      <c r="Q163" s="2"/>
      <c r="R163" s="6">
        <f t="shared" si="30"/>
        <v>3.9635371305965512E-2</v>
      </c>
      <c r="S163" s="2"/>
      <c r="T163" s="7">
        <v>91727.144704999999</v>
      </c>
      <c r="U163" s="2"/>
      <c r="V163" s="6">
        <f t="shared" si="31"/>
        <v>1.0646823630277106E-2</v>
      </c>
      <c r="W163" s="2"/>
      <c r="X163" s="7">
        <f t="shared" si="32"/>
        <v>112114.855295</v>
      </c>
      <c r="Y163" s="2"/>
      <c r="Z163" s="6">
        <f t="shared" si="33"/>
        <v>1.222264746772268</v>
      </c>
    </row>
    <row r="164" spans="1:26" s="24" customFormat="1" hidden="1" outlineLevel="2" x14ac:dyDescent="0.25">
      <c r="A164" s="29"/>
      <c r="B164" s="11" t="str">
        <f>CONCATENATE("          ", "6006", " - ", "TEMPORARY PART TIME")</f>
        <v xml:space="preserve">          6006 - TEMPORARY PART TIME</v>
      </c>
      <c r="C164" s="11"/>
      <c r="D164" s="7">
        <v>1432.35</v>
      </c>
      <c r="E164" s="2"/>
      <c r="F164" s="6">
        <f t="shared" si="26"/>
        <v>2.9621714972283262E-3</v>
      </c>
      <c r="G164" s="2"/>
      <c r="H164" s="7">
        <v>0</v>
      </c>
      <c r="I164" s="2"/>
      <c r="J164" s="6">
        <f t="shared" si="27"/>
        <v>0</v>
      </c>
      <c r="K164" s="2"/>
      <c r="L164" s="7">
        <f t="shared" si="28"/>
        <v>1432.35</v>
      </c>
      <c r="M164" s="2"/>
      <c r="N164" s="6">
        <f t="shared" si="29"/>
        <v>0</v>
      </c>
      <c r="O164" s="11"/>
      <c r="P164" s="7">
        <v>9987.9599999999991</v>
      </c>
      <c r="Q164" s="2"/>
      <c r="R164" s="6">
        <f t="shared" si="30"/>
        <v>1.9420752503857463E-3</v>
      </c>
      <c r="S164" s="2"/>
      <c r="T164" s="7">
        <v>0</v>
      </c>
      <c r="U164" s="2"/>
      <c r="V164" s="6">
        <f t="shared" si="31"/>
        <v>0</v>
      </c>
      <c r="W164" s="2"/>
      <c r="X164" s="7">
        <f t="shared" si="32"/>
        <v>9987.9599999999991</v>
      </c>
      <c r="Y164" s="2"/>
      <c r="Z164" s="6">
        <f t="shared" si="33"/>
        <v>0</v>
      </c>
    </row>
    <row r="165" spans="1:26" s="24" customFormat="1" hidden="1" outlineLevel="2" x14ac:dyDescent="0.25">
      <c r="A165" s="29"/>
      <c r="B165" s="11" t="str">
        <f>CONCATENATE("          ", "6007", " - ", "STUDENT HOURLY")</f>
        <v xml:space="preserve">          6007 - STUDENT HOURLY</v>
      </c>
      <c r="C165" s="11"/>
      <c r="D165" s="7">
        <v>41668.49</v>
      </c>
      <c r="E165" s="2"/>
      <c r="F165" s="6">
        <f t="shared" si="26"/>
        <v>8.617252306387653E-2</v>
      </c>
      <c r="G165" s="2"/>
      <c r="H165" s="7">
        <v>275</v>
      </c>
      <c r="I165" s="2"/>
      <c r="J165" s="6">
        <f t="shared" si="27"/>
        <v>3.3800434857958283E-4</v>
      </c>
      <c r="K165" s="2"/>
      <c r="L165" s="7">
        <f t="shared" si="28"/>
        <v>41393.49</v>
      </c>
      <c r="M165" s="2"/>
      <c r="N165" s="6">
        <f t="shared" si="29"/>
        <v>150.52178181818181</v>
      </c>
      <c r="O165" s="11"/>
      <c r="P165" s="7">
        <v>252218.18</v>
      </c>
      <c r="Q165" s="2"/>
      <c r="R165" s="6">
        <f t="shared" si="30"/>
        <v>4.904171473207114E-2</v>
      </c>
      <c r="S165" s="2"/>
      <c r="T165" s="7">
        <v>180451.75</v>
      </c>
      <c r="U165" s="2"/>
      <c r="V165" s="6">
        <f t="shared" si="31"/>
        <v>2.0945140745454068E-2</v>
      </c>
      <c r="W165" s="2"/>
      <c r="X165" s="7">
        <f t="shared" si="32"/>
        <v>71766.429999999993</v>
      </c>
      <c r="Y165" s="2"/>
      <c r="Z165" s="6">
        <f t="shared" si="33"/>
        <v>0.39770426166551442</v>
      </c>
    </row>
    <row r="166" spans="1:26" s="24" customFormat="1" hidden="1" outlineLevel="2" x14ac:dyDescent="0.25">
      <c r="A166" s="29"/>
      <c r="B166" s="11" t="str">
        <f>CONCATENATE("          ", "6008", " - ", "STUDENT HOURLY-FICA EXEMPT")</f>
        <v xml:space="preserve">          6008 - STUDENT HOURLY-FICA EXEMPT</v>
      </c>
      <c r="C166" s="11"/>
      <c r="D166" s="7">
        <v>2582.67</v>
      </c>
      <c r="E166" s="2"/>
      <c r="F166" s="6">
        <f t="shared" si="26"/>
        <v>5.3410908372581297E-3</v>
      </c>
      <c r="G166" s="2"/>
      <c r="H166" s="7">
        <v>107918.81999999999</v>
      </c>
      <c r="I166" s="2"/>
      <c r="J166" s="6">
        <f t="shared" si="27"/>
        <v>0.13264374710391727</v>
      </c>
      <c r="K166" s="2"/>
      <c r="L166" s="7">
        <f t="shared" si="28"/>
        <v>-105336.15</v>
      </c>
      <c r="M166" s="2"/>
      <c r="N166" s="6">
        <f t="shared" si="29"/>
        <v>-0.9760684003031167</v>
      </c>
      <c r="O166" s="11"/>
      <c r="P166" s="7">
        <v>18333.89</v>
      </c>
      <c r="Q166" s="2"/>
      <c r="R166" s="6">
        <f t="shared" si="30"/>
        <v>3.5648715065233275E-3</v>
      </c>
      <c r="S166" s="2"/>
      <c r="T166" s="7">
        <v>522046.97</v>
      </c>
      <c r="U166" s="2"/>
      <c r="V166" s="6">
        <f t="shared" si="31"/>
        <v>6.0594298821639782E-2</v>
      </c>
      <c r="W166" s="2"/>
      <c r="X166" s="7">
        <f t="shared" si="32"/>
        <v>-503713.07999999996</v>
      </c>
      <c r="Y166" s="2"/>
      <c r="Z166" s="6">
        <f t="shared" si="33"/>
        <v>-0.96488076542231438</v>
      </c>
    </row>
    <row r="167" spans="1:26" s="24" customFormat="1" hidden="1" outlineLevel="2" x14ac:dyDescent="0.25">
      <c r="A167" s="29"/>
      <c r="B167" s="11" t="str">
        <f>CONCATENATE("          ", "6009", " - ", "TEMPORARY-SEASONAL")</f>
        <v xml:space="preserve">          6009 - TEMPORARY-SEASONAL</v>
      </c>
      <c r="C167" s="11"/>
      <c r="D167" s="7"/>
      <c r="E167" s="2"/>
      <c r="F167" s="6">
        <f t="shared" si="26"/>
        <v>0</v>
      </c>
      <c r="G167" s="2"/>
      <c r="H167" s="7">
        <v>0</v>
      </c>
      <c r="I167" s="2"/>
      <c r="J167" s="6">
        <f t="shared" si="27"/>
        <v>0</v>
      </c>
      <c r="K167" s="2"/>
      <c r="L167" s="7">
        <f t="shared" si="28"/>
        <v>0</v>
      </c>
      <c r="M167" s="2"/>
      <c r="N167" s="6">
        <f t="shared" si="29"/>
        <v>0</v>
      </c>
      <c r="O167" s="11"/>
      <c r="P167" s="7"/>
      <c r="Q167" s="2"/>
      <c r="R167" s="6">
        <f t="shared" si="30"/>
        <v>0</v>
      </c>
      <c r="S167" s="2"/>
      <c r="T167" s="7">
        <v>0</v>
      </c>
      <c r="U167" s="2"/>
      <c r="V167" s="6">
        <f t="shared" si="31"/>
        <v>0</v>
      </c>
      <c r="W167" s="2"/>
      <c r="X167" s="7">
        <f t="shared" si="32"/>
        <v>0</v>
      </c>
      <c r="Y167" s="2"/>
      <c r="Z167" s="6">
        <f t="shared" si="33"/>
        <v>0</v>
      </c>
    </row>
    <row r="168" spans="1:26" s="24" customFormat="1" hidden="1" outlineLevel="2" x14ac:dyDescent="0.25">
      <c r="A168" s="29"/>
      <c r="B168" s="11" t="str">
        <f>CONCATENATE("          ", "6010", " - ", "GRATUITY")</f>
        <v xml:space="preserve">          6010 - GRATUITY</v>
      </c>
      <c r="C168" s="11"/>
      <c r="D168" s="7"/>
      <c r="E168" s="2"/>
      <c r="F168" s="6">
        <f t="shared" si="26"/>
        <v>0</v>
      </c>
      <c r="G168" s="2"/>
      <c r="H168" s="7">
        <v>0</v>
      </c>
      <c r="I168" s="2"/>
      <c r="J168" s="6">
        <f t="shared" si="27"/>
        <v>0</v>
      </c>
      <c r="K168" s="2"/>
      <c r="L168" s="7">
        <f t="shared" si="28"/>
        <v>0</v>
      </c>
      <c r="M168" s="2"/>
      <c r="N168" s="6">
        <f t="shared" si="29"/>
        <v>0</v>
      </c>
      <c r="O168" s="11"/>
      <c r="P168" s="7"/>
      <c r="Q168" s="2"/>
      <c r="R168" s="6">
        <f t="shared" si="30"/>
        <v>0</v>
      </c>
      <c r="S168" s="2"/>
      <c r="T168" s="7">
        <v>0</v>
      </c>
      <c r="U168" s="2"/>
      <c r="V168" s="6">
        <f t="shared" si="31"/>
        <v>0</v>
      </c>
      <c r="W168" s="2"/>
      <c r="X168" s="7">
        <f t="shared" si="32"/>
        <v>0</v>
      </c>
      <c r="Y168" s="2"/>
      <c r="Z168" s="6">
        <f t="shared" si="33"/>
        <v>0</v>
      </c>
    </row>
    <row r="169" spans="1:26" s="28" customFormat="1" outlineLevel="1" collapsed="1" x14ac:dyDescent="0.25">
      <c r="A169" s="27"/>
      <c r="B169" s="14" t="str">
        <f>CONCATENATE("     ","Advertising/Promo                                 ")</f>
        <v xml:space="preserve">     Advertising/Promo                                 </v>
      </c>
      <c r="C169" s="14"/>
      <c r="D169" s="1">
        <f>SUM(OSRRefD22_2x_0)</f>
        <v>351.4</v>
      </c>
      <c r="E169" s="1"/>
      <c r="F169" s="5">
        <f t="shared" ref="F169:F173" si="34">IF(D$12=0,0,D169/D$12)</f>
        <v>7.2671278955983788E-4</v>
      </c>
      <c r="G169" s="1"/>
      <c r="H169" s="1">
        <f>SUM(OSRRefH22_2x_0)</f>
        <v>3579</v>
      </c>
      <c r="I169" s="1"/>
      <c r="J169" s="5">
        <f t="shared" ref="J169:J173" si="35">IF(H$12=0,0,H169/H$12)</f>
        <v>4.3989729584230069E-3</v>
      </c>
      <c r="K169" s="1"/>
      <c r="L169" s="1">
        <f t="shared" ref="L169:L173" si="36">+D169-H169</f>
        <v>-3227.6</v>
      </c>
      <c r="M169" s="1"/>
      <c r="N169" s="5">
        <f t="shared" ref="N169:N173" si="37">IF(H169=0,0,L169/H169)</f>
        <v>-0.90181614976250346</v>
      </c>
      <c r="O169" s="14"/>
      <c r="P169" s="1">
        <f>SUM(OSRRefP22_2x_0)</f>
        <v>16514.34</v>
      </c>
      <c r="Q169" s="1"/>
      <c r="R169" s="5">
        <f t="shared" ref="R169:R173" si="38">IF(P$12=0,0,P169/P$12)</f>
        <v>3.2110752336268213E-3</v>
      </c>
      <c r="S169" s="1"/>
      <c r="T169" s="1">
        <f>SUM(OSRRefT22_2x_0)</f>
        <v>21356</v>
      </c>
      <c r="U169" s="1"/>
      <c r="V169" s="5">
        <f t="shared" ref="V169:V173" si="39">IF(T$12=0,0,T169/T$12)</f>
        <v>2.4788034793783772E-3</v>
      </c>
      <c r="W169" s="1"/>
      <c r="X169" s="1">
        <f t="shared" ref="X169:X173" si="40">+P169-T169</f>
        <v>-4841.66</v>
      </c>
      <c r="Y169" s="1"/>
      <c r="Z169" s="5">
        <f t="shared" ref="Z169:Z173" si="41">IF(T169=0,0,X169/T169)</f>
        <v>-0.22671193107323467</v>
      </c>
    </row>
    <row r="170" spans="1:26" s="24" customFormat="1" hidden="1" outlineLevel="2" x14ac:dyDescent="0.25">
      <c r="A170" s="29"/>
      <c r="B170" s="11" t="str">
        <f>CONCATENATE("          ", "6362", " - ", "ADVERTISING EXPENSE")</f>
        <v xml:space="preserve">          6362 - ADVERTISING EXPENSE</v>
      </c>
      <c r="C170" s="11"/>
      <c r="D170" s="7">
        <v>351.4</v>
      </c>
      <c r="E170" s="2"/>
      <c r="F170" s="6">
        <f t="shared" si="34"/>
        <v>7.2671278955983788E-4</v>
      </c>
      <c r="G170" s="2"/>
      <c r="H170" s="7">
        <v>3579</v>
      </c>
      <c r="I170" s="2"/>
      <c r="J170" s="6">
        <f t="shared" si="35"/>
        <v>4.3989729584230069E-3</v>
      </c>
      <c r="K170" s="2"/>
      <c r="L170" s="7">
        <f t="shared" si="36"/>
        <v>-3227.6</v>
      </c>
      <c r="M170" s="2"/>
      <c r="N170" s="6">
        <f t="shared" si="37"/>
        <v>-0.90181614976250346</v>
      </c>
      <c r="O170" s="11"/>
      <c r="P170" s="7">
        <v>16514.34</v>
      </c>
      <c r="Q170" s="2"/>
      <c r="R170" s="6">
        <f t="shared" si="38"/>
        <v>3.2110752336268213E-3</v>
      </c>
      <c r="S170" s="2"/>
      <c r="T170" s="7">
        <v>21356</v>
      </c>
      <c r="U170" s="2"/>
      <c r="V170" s="6">
        <f t="shared" si="39"/>
        <v>2.4788034793783772E-3</v>
      </c>
      <c r="W170" s="2"/>
      <c r="X170" s="7">
        <f t="shared" si="40"/>
        <v>-4841.66</v>
      </c>
      <c r="Y170" s="2"/>
      <c r="Z170" s="6">
        <f t="shared" si="41"/>
        <v>-0.22671193107323467</v>
      </c>
    </row>
    <row r="171" spans="1:26" s="28" customFormat="1" outlineLevel="1" collapsed="1" x14ac:dyDescent="0.25">
      <c r="A171" s="27"/>
      <c r="B171" s="14" t="str">
        <f>CONCATENATE("     ","Bad Debts/Over/Short                              ")</f>
        <v xml:space="preserve">     Bad Debts/Over/Short                              </v>
      </c>
      <c r="C171" s="14"/>
      <c r="D171" s="1">
        <f>SUM(OSRRefD22_3x_0)</f>
        <v>-3.6</v>
      </c>
      <c r="E171" s="1"/>
      <c r="F171" s="5">
        <f t="shared" si="34"/>
        <v>-7.4449802003853636E-6</v>
      </c>
      <c r="G171" s="1"/>
      <c r="H171" s="1">
        <f>SUM(OSRRefH22_3x_0)</f>
        <v>154</v>
      </c>
      <c r="I171" s="1"/>
      <c r="J171" s="5">
        <f t="shared" si="35"/>
        <v>1.8928243520456638E-4</v>
      </c>
      <c r="K171" s="1"/>
      <c r="L171" s="1">
        <f t="shared" si="36"/>
        <v>-157.6</v>
      </c>
      <c r="M171" s="1"/>
      <c r="N171" s="5">
        <f t="shared" si="37"/>
        <v>-1.0233766233766233</v>
      </c>
      <c r="O171" s="14"/>
      <c r="P171" s="1">
        <f>SUM(OSRRefP22_3x_0)</f>
        <v>127.8</v>
      </c>
      <c r="Q171" s="1"/>
      <c r="R171" s="5">
        <f t="shared" si="38"/>
        <v>2.484964066729326E-5</v>
      </c>
      <c r="S171" s="1"/>
      <c r="T171" s="1">
        <f>SUM(OSRRefT22_3x_0)</f>
        <v>944</v>
      </c>
      <c r="U171" s="1"/>
      <c r="V171" s="5">
        <f t="shared" si="39"/>
        <v>1.0957063516263288E-4</v>
      </c>
      <c r="W171" s="1"/>
      <c r="X171" s="1">
        <f t="shared" si="40"/>
        <v>-816.2</v>
      </c>
      <c r="Y171" s="1"/>
      <c r="Z171" s="5">
        <f t="shared" si="41"/>
        <v>-0.86461864406779665</v>
      </c>
    </row>
    <row r="172" spans="1:26" s="24" customFormat="1" hidden="1" outlineLevel="2" x14ac:dyDescent="0.25">
      <c r="A172" s="29"/>
      <c r="B172" s="11" t="str">
        <f>CONCATENATE("          ", "6272", " - ", "CASH (OVER/SHORT)")</f>
        <v xml:space="preserve">          6272 - CASH (OVER/SHORT)</v>
      </c>
      <c r="C172" s="11"/>
      <c r="D172" s="7">
        <v>-3.6</v>
      </c>
      <c r="E172" s="2"/>
      <c r="F172" s="6">
        <f t="shared" si="34"/>
        <v>-7.4449802003853636E-6</v>
      </c>
      <c r="G172" s="2"/>
      <c r="H172" s="7">
        <v>104</v>
      </c>
      <c r="I172" s="2"/>
      <c r="J172" s="6">
        <f t="shared" si="35"/>
        <v>1.2782709909918769E-4</v>
      </c>
      <c r="K172" s="2"/>
      <c r="L172" s="7">
        <f t="shared" si="36"/>
        <v>-107.6</v>
      </c>
      <c r="M172" s="2"/>
      <c r="N172" s="6">
        <f t="shared" si="37"/>
        <v>-1.0346153846153845</v>
      </c>
      <c r="O172" s="11"/>
      <c r="P172" s="7">
        <v>127.8</v>
      </c>
      <c r="Q172" s="2"/>
      <c r="R172" s="6">
        <f t="shared" si="38"/>
        <v>2.484964066729326E-5</v>
      </c>
      <c r="S172" s="2"/>
      <c r="T172" s="7">
        <v>644</v>
      </c>
      <c r="U172" s="2"/>
      <c r="V172" s="6">
        <f t="shared" si="39"/>
        <v>7.4749458733830055E-5</v>
      </c>
      <c r="W172" s="2"/>
      <c r="X172" s="7">
        <f t="shared" si="40"/>
        <v>-516.20000000000005</v>
      </c>
      <c r="Y172" s="2"/>
      <c r="Z172" s="6">
        <f t="shared" si="41"/>
        <v>-0.80155279503105592</v>
      </c>
    </row>
    <row r="173" spans="1:26" s="24" customFormat="1" hidden="1" outlineLevel="2" x14ac:dyDescent="0.25">
      <c r="A173" s="29"/>
      <c r="B173" s="11" t="str">
        <f>CONCATENATE("          ", "6342", " - ", "BAD DEBT")</f>
        <v xml:space="preserve">          6342 - BAD DEBT</v>
      </c>
      <c r="C173" s="11"/>
      <c r="D173" s="7"/>
      <c r="E173" s="2"/>
      <c r="F173" s="6">
        <f t="shared" si="34"/>
        <v>0</v>
      </c>
      <c r="G173" s="2"/>
      <c r="H173" s="7">
        <v>50</v>
      </c>
      <c r="I173" s="2"/>
      <c r="J173" s="6">
        <f t="shared" si="35"/>
        <v>6.1455336105378691E-5</v>
      </c>
      <c r="K173" s="2"/>
      <c r="L173" s="7">
        <f t="shared" si="36"/>
        <v>-50</v>
      </c>
      <c r="M173" s="2"/>
      <c r="N173" s="6">
        <f t="shared" si="37"/>
        <v>-1</v>
      </c>
      <c r="O173" s="11"/>
      <c r="P173" s="7"/>
      <c r="Q173" s="2"/>
      <c r="R173" s="6">
        <f t="shared" si="38"/>
        <v>0</v>
      </c>
      <c r="S173" s="2"/>
      <c r="T173" s="7">
        <v>300</v>
      </c>
      <c r="U173" s="2"/>
      <c r="V173" s="6">
        <f t="shared" si="39"/>
        <v>3.4821176428802826E-5</v>
      </c>
      <c r="W173" s="2"/>
      <c r="X173" s="7">
        <f t="shared" si="40"/>
        <v>-300</v>
      </c>
      <c r="Y173" s="2"/>
      <c r="Z173" s="6">
        <f t="shared" si="41"/>
        <v>-1</v>
      </c>
    </row>
    <row r="174" spans="1:26" s="28" customFormat="1" outlineLevel="1" collapsed="1" x14ac:dyDescent="0.25">
      <c r="A174" s="27"/>
      <c r="B174" s="14" t="str">
        <f>CONCATENATE("     ","Bank/card Fees                                    ")</f>
        <v xml:space="preserve">     Bank/card Fees                                    </v>
      </c>
      <c r="C174" s="14"/>
      <c r="D174" s="1">
        <f>SUM(OSRRefD22_4x_0)</f>
        <v>6198.4</v>
      </c>
      <c r="E174" s="1"/>
      <c r="F174" s="5">
        <f t="shared" ref="F174:F179" si="42">IF(D$12=0,0,D174/D$12)</f>
        <v>1.2818601465019064E-2</v>
      </c>
      <c r="G174" s="1"/>
      <c r="H174" s="1">
        <f>SUM(OSRRefH22_4x_0)</f>
        <v>41040</v>
      </c>
      <c r="I174" s="1"/>
      <c r="J174" s="5">
        <f t="shared" ref="J174:J179" si="43">IF(H$12=0,0,H174/H$12)</f>
        <v>5.0442539875294831E-2</v>
      </c>
      <c r="K174" s="1"/>
      <c r="L174" s="1">
        <f t="shared" ref="L174:L179" si="44">+D174-H174</f>
        <v>-34841.599999999999</v>
      </c>
      <c r="M174" s="1"/>
      <c r="N174" s="5">
        <f t="shared" ref="N174:N179" si="45">IF(H174=0,0,L174/H174)</f>
        <v>-0.84896686159844048</v>
      </c>
      <c r="O174" s="14"/>
      <c r="P174" s="1">
        <f>SUM(OSRRefP22_4x_0)</f>
        <v>51619.65</v>
      </c>
      <c r="Q174" s="1"/>
      <c r="R174" s="5">
        <f t="shared" ref="R174:R179" si="46">IF(P$12=0,0,P174/P$12)</f>
        <v>1.0037009028728049E-2</v>
      </c>
      <c r="S174" s="1"/>
      <c r="T174" s="1">
        <f>SUM(OSRRefT22_4x_0)</f>
        <v>172998</v>
      </c>
      <c r="U174" s="1"/>
      <c r="V174" s="5">
        <f t="shared" ref="V174:V179" si="47">IF(T$12=0,0,T174/T$12)</f>
        <v>2.0079979599433435E-2</v>
      </c>
      <c r="W174" s="1"/>
      <c r="X174" s="1">
        <f t="shared" ref="X174:X179" si="48">+P174-T174</f>
        <v>-121378.35</v>
      </c>
      <c r="Y174" s="1"/>
      <c r="Z174" s="5">
        <f t="shared" ref="Z174:Z179" si="49">IF(T174=0,0,X174/T174)</f>
        <v>-0.70161707071758062</v>
      </c>
    </row>
    <row r="175" spans="1:26" s="24" customFormat="1" hidden="1" outlineLevel="2" x14ac:dyDescent="0.25">
      <c r="A175" s="29"/>
      <c r="B175" s="11" t="str">
        <f>CONCATENATE("          ", "6381", " - ", "BANK/CREDIT CARD FEES")</f>
        <v xml:space="preserve">          6381 - BANK/CREDIT CARD FEES</v>
      </c>
      <c r="C175" s="11"/>
      <c r="D175" s="7">
        <v>6198.4</v>
      </c>
      <c r="E175" s="2"/>
      <c r="F175" s="6">
        <f t="shared" si="42"/>
        <v>1.2818601465019064E-2</v>
      </c>
      <c r="G175" s="2"/>
      <c r="H175" s="7">
        <v>41040</v>
      </c>
      <c r="I175" s="2"/>
      <c r="J175" s="6">
        <f t="shared" si="43"/>
        <v>5.0442539875294831E-2</v>
      </c>
      <c r="K175" s="2"/>
      <c r="L175" s="7">
        <f t="shared" si="44"/>
        <v>-34841.599999999999</v>
      </c>
      <c r="M175" s="2"/>
      <c r="N175" s="6">
        <f t="shared" si="45"/>
        <v>-0.84896686159844048</v>
      </c>
      <c r="O175" s="11"/>
      <c r="P175" s="7">
        <v>51619.65</v>
      </c>
      <c r="Q175" s="2"/>
      <c r="R175" s="6">
        <f t="shared" si="46"/>
        <v>1.0037009028728049E-2</v>
      </c>
      <c r="S175" s="2"/>
      <c r="T175" s="7">
        <v>172998</v>
      </c>
      <c r="U175" s="2"/>
      <c r="V175" s="6">
        <f t="shared" si="47"/>
        <v>2.0079979599433435E-2</v>
      </c>
      <c r="W175" s="2"/>
      <c r="X175" s="7">
        <f t="shared" si="48"/>
        <v>-121378.35</v>
      </c>
      <c r="Y175" s="2"/>
      <c r="Z175" s="6">
        <f t="shared" si="49"/>
        <v>-0.70161707071758062</v>
      </c>
    </row>
    <row r="176" spans="1:26" s="28" customFormat="1" outlineLevel="1" collapsed="1" x14ac:dyDescent="0.25">
      <c r="A176" s="27"/>
      <c r="B176" s="14" t="str">
        <f>CONCATENATE("     ","Depreciation                                      ")</f>
        <v xml:space="preserve">     Depreciation                                      </v>
      </c>
      <c r="C176" s="14"/>
      <c r="D176" s="1">
        <f>SUM(OSRRefD22_5x_0)</f>
        <v>77647.64</v>
      </c>
      <c r="E176" s="1"/>
      <c r="F176" s="5">
        <f t="shared" si="42"/>
        <v>0.1605792062240696</v>
      </c>
      <c r="G176" s="1"/>
      <c r="H176" s="1">
        <f>SUM(OSRRefH22_5x_0)</f>
        <v>77087</v>
      </c>
      <c r="I176" s="1"/>
      <c r="J176" s="5">
        <f t="shared" si="43"/>
        <v>9.4748149887106545E-2</v>
      </c>
      <c r="K176" s="1"/>
      <c r="L176" s="1">
        <f t="shared" si="44"/>
        <v>560.63999999999942</v>
      </c>
      <c r="M176" s="1"/>
      <c r="N176" s="5">
        <f t="shared" si="45"/>
        <v>7.2728216171338801E-3</v>
      </c>
      <c r="O176" s="14"/>
      <c r="P176" s="1">
        <f>SUM(OSRRefP22_5x_0)</f>
        <v>468657.69</v>
      </c>
      <c r="Q176" s="1"/>
      <c r="R176" s="5">
        <f t="shared" si="46"/>
        <v>9.1126566451202803E-2</v>
      </c>
      <c r="S176" s="1"/>
      <c r="T176" s="1">
        <f>SUM(OSRRefT22_5x_0)</f>
        <v>466582</v>
      </c>
      <c r="U176" s="1"/>
      <c r="V176" s="5">
        <f t="shared" si="47"/>
        <v>5.4156447135012262E-2</v>
      </c>
      <c r="W176" s="1"/>
      <c r="X176" s="1">
        <f t="shared" si="48"/>
        <v>2075.6900000000023</v>
      </c>
      <c r="Y176" s="1"/>
      <c r="Z176" s="5">
        <f t="shared" si="49"/>
        <v>4.4487142667312546E-3</v>
      </c>
    </row>
    <row r="177" spans="1:26" s="24" customFormat="1" hidden="1" outlineLevel="2" x14ac:dyDescent="0.25">
      <c r="A177" s="29"/>
      <c r="B177" s="11" t="str">
        <f>CONCATENATE("          ", "6321", " - ", "BUILDING DEPRECIATION")</f>
        <v xml:space="preserve">          6321 - BUILDING DEPRECIATION</v>
      </c>
      <c r="C177" s="11"/>
      <c r="D177" s="7">
        <v>45060.52</v>
      </c>
      <c r="E177" s="2"/>
      <c r="F177" s="6">
        <f t="shared" si="42"/>
        <v>9.3187410894185738E-2</v>
      </c>
      <c r="G177" s="2"/>
      <c r="H177" s="7"/>
      <c r="I177" s="2"/>
      <c r="J177" s="6">
        <f t="shared" si="43"/>
        <v>0</v>
      </c>
      <c r="K177" s="2"/>
      <c r="L177" s="7">
        <f t="shared" si="44"/>
        <v>45060.52</v>
      </c>
      <c r="M177" s="2"/>
      <c r="N177" s="6">
        <f t="shared" si="45"/>
        <v>0</v>
      </c>
      <c r="O177" s="11"/>
      <c r="P177" s="7">
        <v>271147.31</v>
      </c>
      <c r="Q177" s="2"/>
      <c r="R177" s="6">
        <f t="shared" si="46"/>
        <v>5.2722325676081164E-2</v>
      </c>
      <c r="S177" s="2"/>
      <c r="T177" s="7"/>
      <c r="U177" s="2"/>
      <c r="V177" s="6">
        <f t="shared" si="47"/>
        <v>0</v>
      </c>
      <c r="W177" s="2"/>
      <c r="X177" s="7">
        <f t="shared" si="48"/>
        <v>271147.31</v>
      </c>
      <c r="Y177" s="2"/>
      <c r="Z177" s="6">
        <f t="shared" si="49"/>
        <v>0</v>
      </c>
    </row>
    <row r="178" spans="1:26" s="24" customFormat="1" hidden="1" outlineLevel="2" x14ac:dyDescent="0.25">
      <c r="A178" s="29"/>
      <c r="B178" s="11" t="str">
        <f>CONCATENATE("          ", "6322", " - ", "EQUIPMENT DEPRECIATION EXPENSE")</f>
        <v xml:space="preserve">          6322 - EQUIPMENT DEPRECIATION EXPENSE</v>
      </c>
      <c r="C178" s="11"/>
      <c r="D178" s="7">
        <v>32587.119999999999</v>
      </c>
      <c r="E178" s="2"/>
      <c r="F178" s="6">
        <f t="shared" si="42"/>
        <v>6.7391795329883847E-2</v>
      </c>
      <c r="G178" s="2"/>
      <c r="H178" s="7">
        <v>76537</v>
      </c>
      <c r="I178" s="2"/>
      <c r="J178" s="6">
        <f t="shared" si="43"/>
        <v>9.4072141189947375E-2</v>
      </c>
      <c r="K178" s="2"/>
      <c r="L178" s="7">
        <f t="shared" si="44"/>
        <v>-43949.880000000005</v>
      </c>
      <c r="M178" s="2"/>
      <c r="N178" s="6">
        <f t="shared" si="45"/>
        <v>-0.57423050289402522</v>
      </c>
      <c r="O178" s="11"/>
      <c r="P178" s="7">
        <v>197510.38</v>
      </c>
      <c r="Q178" s="2"/>
      <c r="R178" s="6">
        <f t="shared" si="46"/>
        <v>3.840424077512164E-2</v>
      </c>
      <c r="S178" s="2"/>
      <c r="T178" s="7">
        <v>463282</v>
      </c>
      <c r="U178" s="2"/>
      <c r="V178" s="6">
        <f t="shared" si="47"/>
        <v>5.3773414194295432E-2</v>
      </c>
      <c r="W178" s="2"/>
      <c r="X178" s="7">
        <f t="shared" si="48"/>
        <v>-265771.62</v>
      </c>
      <c r="Y178" s="2"/>
      <c r="Z178" s="6">
        <f t="shared" si="49"/>
        <v>-0.57367137078496466</v>
      </c>
    </row>
    <row r="179" spans="1:26" s="24" customFormat="1" hidden="1" outlineLevel="2" x14ac:dyDescent="0.25">
      <c r="A179" s="29"/>
      <c r="B179" s="11" t="str">
        <f>CONCATENATE("          ", "6326", " - ", "VEHICLES DEPRECIATION EXPENSE")</f>
        <v xml:space="preserve">          6326 - VEHICLES DEPRECIATION EXPENSE</v>
      </c>
      <c r="C179" s="11"/>
      <c r="D179" s="7"/>
      <c r="E179" s="2"/>
      <c r="F179" s="6">
        <f t="shared" si="42"/>
        <v>0</v>
      </c>
      <c r="G179" s="2"/>
      <c r="H179" s="7">
        <v>550</v>
      </c>
      <c r="I179" s="2"/>
      <c r="J179" s="6">
        <f t="shared" si="43"/>
        <v>6.7600869715916565E-4</v>
      </c>
      <c r="K179" s="2"/>
      <c r="L179" s="7">
        <f t="shared" si="44"/>
        <v>-550</v>
      </c>
      <c r="M179" s="2"/>
      <c r="N179" s="6">
        <f t="shared" si="45"/>
        <v>-1</v>
      </c>
      <c r="O179" s="11"/>
      <c r="P179" s="7"/>
      <c r="Q179" s="2"/>
      <c r="R179" s="6">
        <f t="shared" si="46"/>
        <v>0</v>
      </c>
      <c r="S179" s="2"/>
      <c r="T179" s="7">
        <v>3300</v>
      </c>
      <c r="U179" s="2"/>
      <c r="V179" s="6">
        <f t="shared" si="47"/>
        <v>3.8303294071683104E-4</v>
      </c>
      <c r="W179" s="2"/>
      <c r="X179" s="7">
        <f t="shared" si="48"/>
        <v>-3300</v>
      </c>
      <c r="Y179" s="2"/>
      <c r="Z179" s="6">
        <f t="shared" si="49"/>
        <v>-1</v>
      </c>
    </row>
    <row r="180" spans="1:26" s="28" customFormat="1" outlineLevel="1" collapsed="1" x14ac:dyDescent="0.25">
      <c r="A180" s="27"/>
      <c r="B180" s="14" t="str">
        <f>CONCATENATE("     ","Discounts and Markdowns                           ")</f>
        <v xml:space="preserve">     Discounts and Markdowns                           </v>
      </c>
      <c r="C180" s="14"/>
      <c r="D180" s="1">
        <f>SUM(OSRRefD22_6x_0)</f>
        <v>0</v>
      </c>
      <c r="E180" s="1"/>
      <c r="F180" s="5">
        <f t="shared" ref="F180:F182" si="50">IF(D$12=0,0,D180/D$12)</f>
        <v>0</v>
      </c>
      <c r="G180" s="1"/>
      <c r="H180" s="1">
        <f>SUM(OSRRefH22_6x_0)</f>
        <v>25907</v>
      </c>
      <c r="I180" s="1"/>
      <c r="J180" s="5">
        <f t="shared" ref="J180:J182" si="51">IF(H$12=0,0,H180/H$12)</f>
        <v>3.1842467849640919E-2</v>
      </c>
      <c r="K180" s="1"/>
      <c r="L180" s="1">
        <f t="shared" ref="L180:L182" si="52">+D180-H180</f>
        <v>-25907</v>
      </c>
      <c r="M180" s="1"/>
      <c r="N180" s="5">
        <f t="shared" ref="N180:N182" si="53">IF(H180=0,0,L180/H180)</f>
        <v>-1</v>
      </c>
      <c r="O180" s="14"/>
      <c r="P180" s="1">
        <f>SUM(OSRRefP22_6x_0)</f>
        <v>0</v>
      </c>
      <c r="Q180" s="1"/>
      <c r="R180" s="5">
        <f t="shared" ref="R180:R182" si="54">IF(P$12=0,0,P180/P$12)</f>
        <v>0</v>
      </c>
      <c r="S180" s="1"/>
      <c r="T180" s="1">
        <f>SUM(OSRRefT22_6x_0)</f>
        <v>182489</v>
      </c>
      <c r="U180" s="1"/>
      <c r="V180" s="5">
        <f t="shared" ref="V180:V182" si="55">IF(T$12=0,0,T180/T$12)</f>
        <v>2.1181605551052661E-2</v>
      </c>
      <c r="W180" s="1"/>
      <c r="X180" s="1">
        <f t="shared" ref="X180:X182" si="56">+P180-T180</f>
        <v>-182489</v>
      </c>
      <c r="Y180" s="1"/>
      <c r="Z180" s="5">
        <f t="shared" ref="Z180:Z182" si="57">IF(T180=0,0,X180/T180)</f>
        <v>-1</v>
      </c>
    </row>
    <row r="181" spans="1:26" s="24" customFormat="1" hidden="1" outlineLevel="2" x14ac:dyDescent="0.25">
      <c r="A181" s="29"/>
      <c r="B181" s="11" t="str">
        <f>CONCATENATE("          ", "6382", " - ", "DISCOUNTS/MARK DOWNS")</f>
        <v xml:space="preserve">          6382 - DISCOUNTS/MARK DOWNS</v>
      </c>
      <c r="C181" s="11"/>
      <c r="D181" s="7"/>
      <c r="E181" s="2"/>
      <c r="F181" s="6">
        <f t="shared" si="50"/>
        <v>0</v>
      </c>
      <c r="G181" s="2"/>
      <c r="H181" s="7">
        <v>25907</v>
      </c>
      <c r="I181" s="2"/>
      <c r="J181" s="6">
        <f t="shared" si="51"/>
        <v>3.1842467849640919E-2</v>
      </c>
      <c r="K181" s="2"/>
      <c r="L181" s="7">
        <f t="shared" si="52"/>
        <v>-25907</v>
      </c>
      <c r="M181" s="2"/>
      <c r="N181" s="6">
        <f t="shared" si="53"/>
        <v>-1</v>
      </c>
      <c r="O181" s="11"/>
      <c r="P181" s="7">
        <v>0</v>
      </c>
      <c r="Q181" s="2"/>
      <c r="R181" s="6">
        <f t="shared" si="54"/>
        <v>0</v>
      </c>
      <c r="S181" s="2"/>
      <c r="T181" s="7">
        <v>182489</v>
      </c>
      <c r="U181" s="2"/>
      <c r="V181" s="6">
        <f t="shared" si="55"/>
        <v>2.1181605551052661E-2</v>
      </c>
      <c r="W181" s="2"/>
      <c r="X181" s="7">
        <f t="shared" si="56"/>
        <v>-182489</v>
      </c>
      <c r="Y181" s="2"/>
      <c r="Z181" s="6">
        <f t="shared" si="57"/>
        <v>-1</v>
      </c>
    </row>
    <row r="182" spans="1:26" s="24" customFormat="1" hidden="1" outlineLevel="2" x14ac:dyDescent="0.25">
      <c r="A182" s="29"/>
      <c r="B182" s="11" t="str">
        <f>CONCATENATE("          ", "9175", " - ", "EARNED DISCOUNTS")</f>
        <v xml:space="preserve">          9175 - EARNED DISCOUNTS</v>
      </c>
      <c r="C182" s="11"/>
      <c r="D182" s="7"/>
      <c r="E182" s="2"/>
      <c r="F182" s="6">
        <f t="shared" si="50"/>
        <v>0</v>
      </c>
      <c r="G182" s="2"/>
      <c r="H182" s="7"/>
      <c r="I182" s="2"/>
      <c r="J182" s="6">
        <f t="shared" si="51"/>
        <v>0</v>
      </c>
      <c r="K182" s="2"/>
      <c r="L182" s="7">
        <f t="shared" si="52"/>
        <v>0</v>
      </c>
      <c r="M182" s="2"/>
      <c r="N182" s="6">
        <f t="shared" si="53"/>
        <v>0</v>
      </c>
      <c r="O182" s="11"/>
      <c r="P182" s="7">
        <v>0</v>
      </c>
      <c r="Q182" s="2"/>
      <c r="R182" s="6">
        <f t="shared" si="54"/>
        <v>0</v>
      </c>
      <c r="S182" s="2"/>
      <c r="T182" s="7"/>
      <c r="U182" s="2"/>
      <c r="V182" s="6">
        <f t="shared" si="55"/>
        <v>0</v>
      </c>
      <c r="W182" s="2"/>
      <c r="X182" s="7">
        <f t="shared" si="56"/>
        <v>0</v>
      </c>
      <c r="Y182" s="2"/>
      <c r="Z182" s="6">
        <f t="shared" si="57"/>
        <v>0</v>
      </c>
    </row>
    <row r="183" spans="1:26" s="28" customFormat="1" outlineLevel="1" collapsed="1" x14ac:dyDescent="0.25">
      <c r="A183" s="27"/>
      <c r="B183" s="14" t="str">
        <f>CONCATENATE("     ","Donations                                         ")</f>
        <v xml:space="preserve">     Donations                                         </v>
      </c>
      <c r="C183" s="14"/>
      <c r="D183" s="1">
        <f>SUM(OSRRefD22_7x_0)</f>
        <v>6666.05</v>
      </c>
      <c r="E183" s="1"/>
      <c r="F183" s="5">
        <f t="shared" ref="F183:F185" si="58">IF(D$12=0,0,D183/D$12)</f>
        <v>1.3785725073549681E-2</v>
      </c>
      <c r="G183" s="1"/>
      <c r="H183" s="1">
        <f>SUM(OSRRefH22_7x_0)</f>
        <v>14773</v>
      </c>
      <c r="I183" s="1"/>
      <c r="J183" s="5">
        <f t="shared" ref="J183:J185" si="59">IF(H$12=0,0,H183/H$12)</f>
        <v>1.8157593605695188E-2</v>
      </c>
      <c r="K183" s="1"/>
      <c r="L183" s="1">
        <f t="shared" ref="L183:L185" si="60">+D183-H183</f>
        <v>-8106.95</v>
      </c>
      <c r="M183" s="1"/>
      <c r="N183" s="5">
        <f t="shared" ref="N183:N185" si="61">IF(H183=0,0,L183/H183)</f>
        <v>-0.54876802274419545</v>
      </c>
      <c r="O183" s="14"/>
      <c r="P183" s="1">
        <f>SUM(OSRRefP22_7x_0)</f>
        <v>36822.009999999995</v>
      </c>
      <c r="Q183" s="1"/>
      <c r="R183" s="5">
        <f t="shared" ref="R183:R185" si="62">IF(P$12=0,0,P183/P$12)</f>
        <v>7.1597317460679105E-3</v>
      </c>
      <c r="S183" s="1"/>
      <c r="T183" s="1">
        <f>SUM(OSRRefT22_7x_0)</f>
        <v>73865</v>
      </c>
      <c r="U183" s="1"/>
      <c r="V183" s="5">
        <f t="shared" ref="V183:V185" si="63">IF(T$12=0,0,T183/T$12)</f>
        <v>8.5735539897117356E-3</v>
      </c>
      <c r="W183" s="1"/>
      <c r="X183" s="1">
        <f t="shared" ref="X183:X185" si="64">+P183-T183</f>
        <v>-37042.990000000005</v>
      </c>
      <c r="Y183" s="1"/>
      <c r="Z183" s="5">
        <f t="shared" ref="Z183:Z185" si="65">IF(T183=0,0,X183/T183)</f>
        <v>-0.50149583699993239</v>
      </c>
    </row>
    <row r="184" spans="1:26" s="24" customFormat="1" hidden="1" outlineLevel="2" x14ac:dyDescent="0.25">
      <c r="A184" s="29"/>
      <c r="B184" s="11" t="str">
        <f>CONCATENATE("          ", "6395", " - ", "DONATION-OFF CAMPUS")</f>
        <v xml:space="preserve">          6395 - DONATION-OFF CAMPUS</v>
      </c>
      <c r="C184" s="11"/>
      <c r="D184" s="7"/>
      <c r="E184" s="2"/>
      <c r="F184" s="6">
        <f t="shared" si="58"/>
        <v>0</v>
      </c>
      <c r="G184" s="2"/>
      <c r="H184" s="7"/>
      <c r="I184" s="2"/>
      <c r="J184" s="6">
        <f t="shared" si="59"/>
        <v>0</v>
      </c>
      <c r="K184" s="2"/>
      <c r="L184" s="7">
        <f t="shared" si="60"/>
        <v>0</v>
      </c>
      <c r="M184" s="2"/>
      <c r="N184" s="6">
        <f t="shared" si="61"/>
        <v>0</v>
      </c>
      <c r="O184" s="11"/>
      <c r="P184" s="7"/>
      <c r="Q184" s="2"/>
      <c r="R184" s="6">
        <f t="shared" si="62"/>
        <v>0</v>
      </c>
      <c r="S184" s="2"/>
      <c r="T184" s="7">
        <v>0</v>
      </c>
      <c r="U184" s="2"/>
      <c r="V184" s="6">
        <f t="shared" si="63"/>
        <v>0</v>
      </c>
      <c r="W184" s="2"/>
      <c r="X184" s="7">
        <f t="shared" si="64"/>
        <v>0</v>
      </c>
      <c r="Y184" s="2"/>
      <c r="Z184" s="6">
        <f t="shared" si="65"/>
        <v>0</v>
      </c>
    </row>
    <row r="185" spans="1:26" s="24" customFormat="1" hidden="1" outlineLevel="2" x14ac:dyDescent="0.25">
      <c r="A185" s="29"/>
      <c r="B185" s="11" t="str">
        <f>CONCATENATE("          ", "6399", " - ", "DONATION-ON CAMPUS")</f>
        <v xml:space="preserve">          6399 - DONATION-ON CAMPUS</v>
      </c>
      <c r="C185" s="11"/>
      <c r="D185" s="7">
        <v>6666.05</v>
      </c>
      <c r="E185" s="2"/>
      <c r="F185" s="6">
        <f t="shared" si="58"/>
        <v>1.3785725073549681E-2</v>
      </c>
      <c r="G185" s="2"/>
      <c r="H185" s="7">
        <v>14773</v>
      </c>
      <c r="I185" s="2"/>
      <c r="J185" s="6">
        <f t="shared" si="59"/>
        <v>1.8157593605695188E-2</v>
      </c>
      <c r="K185" s="2"/>
      <c r="L185" s="7">
        <f t="shared" si="60"/>
        <v>-8106.95</v>
      </c>
      <c r="M185" s="2"/>
      <c r="N185" s="6">
        <f t="shared" si="61"/>
        <v>-0.54876802274419545</v>
      </c>
      <c r="O185" s="11"/>
      <c r="P185" s="7">
        <v>36822.009999999995</v>
      </c>
      <c r="Q185" s="2"/>
      <c r="R185" s="6">
        <f t="shared" si="62"/>
        <v>7.1597317460679105E-3</v>
      </c>
      <c r="S185" s="2"/>
      <c r="T185" s="7">
        <v>73865</v>
      </c>
      <c r="U185" s="2"/>
      <c r="V185" s="6">
        <f t="shared" si="63"/>
        <v>8.5735539897117356E-3</v>
      </c>
      <c r="W185" s="2"/>
      <c r="X185" s="7">
        <f t="shared" si="64"/>
        <v>-37042.990000000005</v>
      </c>
      <c r="Y185" s="2"/>
      <c r="Z185" s="6">
        <f t="shared" si="65"/>
        <v>-0.50149583699993239</v>
      </c>
    </row>
    <row r="186" spans="1:26" s="28" customFormat="1" outlineLevel="1" collapsed="1" x14ac:dyDescent="0.25">
      <c r="A186" s="27"/>
      <c r="B186" s="14" t="str">
        <f>CONCATENATE("     ","Employees' Appreciation                           ")</f>
        <v xml:space="preserve">     Employees' Appreciation                           </v>
      </c>
      <c r="C186" s="14"/>
      <c r="D186" s="1">
        <f>SUM(OSRRefD22_8x_0)</f>
        <v>10</v>
      </c>
      <c r="E186" s="1"/>
      <c r="F186" s="5">
        <f t="shared" ref="F186:F192" si="66">IF(D$12=0,0,D186/D$12)</f>
        <v>2.068050055662601E-5</v>
      </c>
      <c r="G186" s="1"/>
      <c r="H186" s="1">
        <f>SUM(OSRRefH22_8x_0)</f>
        <v>890</v>
      </c>
      <c r="I186" s="1"/>
      <c r="J186" s="5">
        <f t="shared" ref="J186:J192" si="67">IF(H$12=0,0,H186/H$12)</f>
        <v>1.0939049826757408E-3</v>
      </c>
      <c r="K186" s="1"/>
      <c r="L186" s="1">
        <f t="shared" ref="L186:L192" si="68">+D186-H186</f>
        <v>-880</v>
      </c>
      <c r="M186" s="1"/>
      <c r="N186" s="5">
        <f t="shared" ref="N186:N192" si="69">IF(H186=0,0,L186/H186)</f>
        <v>-0.9887640449438202</v>
      </c>
      <c r="O186" s="14"/>
      <c r="P186" s="1">
        <f>SUM(OSRRefP22_8x_0)</f>
        <v>117.7</v>
      </c>
      <c r="Q186" s="1"/>
      <c r="R186" s="5">
        <f t="shared" ref="R186:R192" si="70">IF(P$12=0,0,P186/P$12)</f>
        <v>2.2885780176372587E-5</v>
      </c>
      <c r="S186" s="1"/>
      <c r="T186" s="1">
        <f>SUM(OSRRefT22_8x_0)</f>
        <v>4440</v>
      </c>
      <c r="U186" s="1"/>
      <c r="V186" s="5">
        <f t="shared" ref="V186:V192" si="71">IF(T$12=0,0,T186/T$12)</f>
        <v>5.1535341114628181E-4</v>
      </c>
      <c r="W186" s="1"/>
      <c r="X186" s="1">
        <f t="shared" ref="X186:X192" si="72">+P186-T186</f>
        <v>-4322.3</v>
      </c>
      <c r="Y186" s="1"/>
      <c r="Z186" s="5">
        <f t="shared" ref="Z186:Z192" si="73">IF(T186=0,0,X186/T186)</f>
        <v>-0.97349099099099101</v>
      </c>
    </row>
    <row r="187" spans="1:26" s="24" customFormat="1" hidden="1" outlineLevel="2" x14ac:dyDescent="0.25">
      <c r="A187" s="29"/>
      <c r="B187" s="11" t="str">
        <f>CONCATENATE("          ", "6277", " - ", "EMPLOYEE APPRECIATION")</f>
        <v xml:space="preserve">          6277 - EMPLOYEE APPRECIATION</v>
      </c>
      <c r="C187" s="11"/>
      <c r="D187" s="7">
        <v>10</v>
      </c>
      <c r="E187" s="2"/>
      <c r="F187" s="6">
        <f t="shared" si="66"/>
        <v>2.068050055662601E-5</v>
      </c>
      <c r="G187" s="2"/>
      <c r="H187" s="7">
        <v>890</v>
      </c>
      <c r="I187" s="2"/>
      <c r="J187" s="6">
        <f t="shared" si="67"/>
        <v>1.0939049826757408E-3</v>
      </c>
      <c r="K187" s="2"/>
      <c r="L187" s="7">
        <f t="shared" si="68"/>
        <v>-880</v>
      </c>
      <c r="M187" s="2"/>
      <c r="N187" s="6">
        <f t="shared" si="69"/>
        <v>-0.9887640449438202</v>
      </c>
      <c r="O187" s="11"/>
      <c r="P187" s="7">
        <v>117.7</v>
      </c>
      <c r="Q187" s="2"/>
      <c r="R187" s="6">
        <f t="shared" si="70"/>
        <v>2.2885780176372587E-5</v>
      </c>
      <c r="S187" s="2"/>
      <c r="T187" s="7">
        <v>4440</v>
      </c>
      <c r="U187" s="2"/>
      <c r="V187" s="6">
        <f t="shared" si="71"/>
        <v>5.1535341114628181E-4</v>
      </c>
      <c r="W187" s="2"/>
      <c r="X187" s="7">
        <f t="shared" si="72"/>
        <v>-4322.3</v>
      </c>
      <c r="Y187" s="2"/>
      <c r="Z187" s="6">
        <f t="shared" si="73"/>
        <v>-0.97349099099099101</v>
      </c>
    </row>
    <row r="188" spans="1:26" s="28" customFormat="1" outlineLevel="1" collapsed="1" x14ac:dyDescent="0.25">
      <c r="A188" s="27"/>
      <c r="B188" s="14" t="str">
        <f>CONCATENATE("     ","Equipment Rental                                  ")</f>
        <v xml:space="preserve">     Equipment Rental                                  </v>
      </c>
      <c r="C188" s="14"/>
      <c r="D188" s="1">
        <f>SUM(OSRRefD22_9x_0)</f>
        <v>2069.89</v>
      </c>
      <c r="E188" s="1"/>
      <c r="F188" s="5">
        <f t="shared" si="66"/>
        <v>4.2806361297154606E-3</v>
      </c>
      <c r="G188" s="1"/>
      <c r="H188" s="1">
        <f>SUM(OSRRefH22_9x_0)</f>
        <v>4145.333333333333</v>
      </c>
      <c r="I188" s="1"/>
      <c r="J188" s="5">
        <f t="shared" si="67"/>
        <v>5.0950570653765957E-3</v>
      </c>
      <c r="K188" s="1"/>
      <c r="L188" s="1">
        <f t="shared" si="68"/>
        <v>-2075.4433333333332</v>
      </c>
      <c r="M188" s="1"/>
      <c r="N188" s="5">
        <f t="shared" si="69"/>
        <v>-0.5006698295271792</v>
      </c>
      <c r="O188" s="14"/>
      <c r="P188" s="1">
        <f>SUM(OSRRefP22_9x_0)</f>
        <v>16366.04</v>
      </c>
      <c r="Q188" s="1"/>
      <c r="R188" s="5">
        <f t="shared" si="70"/>
        <v>3.1822395394878575E-3</v>
      </c>
      <c r="S188" s="1"/>
      <c r="T188" s="1">
        <f>SUM(OSRRefT22_9x_0)</f>
        <v>24532.999999999996</v>
      </c>
      <c r="U188" s="1"/>
      <c r="V188" s="5">
        <f t="shared" si="71"/>
        <v>2.8475597377593987E-3</v>
      </c>
      <c r="W188" s="1"/>
      <c r="X188" s="1">
        <f t="shared" si="72"/>
        <v>-8166.9599999999955</v>
      </c>
      <c r="Y188" s="1"/>
      <c r="Z188" s="5">
        <f t="shared" si="73"/>
        <v>-0.33289691436024932</v>
      </c>
    </row>
    <row r="189" spans="1:26" s="24" customFormat="1" hidden="1" outlineLevel="2" x14ac:dyDescent="0.25">
      <c r="A189" s="29"/>
      <c r="B189" s="11" t="str">
        <f>CONCATENATE("          ", "6351", " - ", "EQUIPMENT RENTAL")</f>
        <v xml:space="preserve">          6351 - EQUIPMENT RENTAL</v>
      </c>
      <c r="C189" s="11"/>
      <c r="D189" s="7">
        <v>2069.89</v>
      </c>
      <c r="E189" s="2"/>
      <c r="F189" s="6">
        <f t="shared" si="66"/>
        <v>4.2806361297154606E-3</v>
      </c>
      <c r="G189" s="2"/>
      <c r="H189" s="7">
        <v>4145.333333333333</v>
      </c>
      <c r="I189" s="2"/>
      <c r="J189" s="6">
        <f t="shared" si="67"/>
        <v>5.0950570653765957E-3</v>
      </c>
      <c r="K189" s="2"/>
      <c r="L189" s="7">
        <f t="shared" si="68"/>
        <v>-2075.4433333333332</v>
      </c>
      <c r="M189" s="2"/>
      <c r="N189" s="6">
        <f t="shared" si="69"/>
        <v>-0.5006698295271792</v>
      </c>
      <c r="O189" s="11"/>
      <c r="P189" s="7">
        <v>16366.04</v>
      </c>
      <c r="Q189" s="2"/>
      <c r="R189" s="6">
        <f t="shared" si="70"/>
        <v>3.1822395394878575E-3</v>
      </c>
      <c r="S189" s="2"/>
      <c r="T189" s="7">
        <v>24532.999999999996</v>
      </c>
      <c r="U189" s="2"/>
      <c r="V189" s="6">
        <f t="shared" si="71"/>
        <v>2.8475597377593987E-3</v>
      </c>
      <c r="W189" s="2"/>
      <c r="X189" s="7">
        <f t="shared" si="72"/>
        <v>-8166.9599999999955</v>
      </c>
      <c r="Y189" s="2"/>
      <c r="Z189" s="6">
        <f t="shared" si="73"/>
        <v>-0.33289691436024932</v>
      </c>
    </row>
    <row r="190" spans="1:26" s="28" customFormat="1" outlineLevel="1" collapsed="1" x14ac:dyDescent="0.25">
      <c r="A190" s="27"/>
      <c r="B190" s="14" t="str">
        <f>CONCATENATE("     ","Freight out/Postage                               ")</f>
        <v xml:space="preserve">     Freight out/Postage                               </v>
      </c>
      <c r="C190" s="14"/>
      <c r="D190" s="1">
        <f>SUM(OSRRefD22_10x_0)</f>
        <v>4353.43</v>
      </c>
      <c r="E190" s="1"/>
      <c r="F190" s="5">
        <f t="shared" si="66"/>
        <v>9.0031111538232365E-3</v>
      </c>
      <c r="G190" s="1"/>
      <c r="H190" s="1">
        <f>SUM(OSRRefH22_10x_0)</f>
        <v>8603</v>
      </c>
      <c r="I190" s="1"/>
      <c r="J190" s="5">
        <f t="shared" si="67"/>
        <v>1.0574005130291457E-2</v>
      </c>
      <c r="K190" s="1"/>
      <c r="L190" s="1">
        <f t="shared" si="68"/>
        <v>-4249.57</v>
      </c>
      <c r="M190" s="1"/>
      <c r="N190" s="5">
        <f t="shared" si="69"/>
        <v>-0.49396373358130879</v>
      </c>
      <c r="O190" s="14"/>
      <c r="P190" s="1">
        <f>SUM(OSRRefP22_10x_0)</f>
        <v>-14071.719999999987</v>
      </c>
      <c r="Q190" s="1"/>
      <c r="R190" s="5">
        <f t="shared" si="70"/>
        <v>-2.736128212603784E-3</v>
      </c>
      <c r="S190" s="1"/>
      <c r="T190" s="1">
        <f>SUM(OSRRefT22_10x_0)</f>
        <v>52225</v>
      </c>
      <c r="U190" s="1"/>
      <c r="V190" s="5">
        <f t="shared" si="71"/>
        <v>6.0617864633140915E-3</v>
      </c>
      <c r="W190" s="1"/>
      <c r="X190" s="1">
        <f t="shared" si="72"/>
        <v>-66296.719999999987</v>
      </c>
      <c r="Y190" s="1"/>
      <c r="Z190" s="5">
        <f t="shared" si="73"/>
        <v>-1.2694441359502151</v>
      </c>
    </row>
    <row r="191" spans="1:26" s="24" customFormat="1" hidden="1" outlineLevel="2" x14ac:dyDescent="0.25">
      <c r="A191" s="29"/>
      <c r="B191" s="11" t="str">
        <f>CONCATENATE("          ", "6305", " - ", "FREIGHT OUT")</f>
        <v xml:space="preserve">          6305 - FREIGHT OUT</v>
      </c>
      <c r="C191" s="11"/>
      <c r="D191" s="7">
        <v>13760</v>
      </c>
      <c r="E191" s="2"/>
      <c r="F191" s="6">
        <f t="shared" si="66"/>
        <v>2.8456368765917388E-2</v>
      </c>
      <c r="G191" s="2"/>
      <c r="H191" s="7">
        <v>5073</v>
      </c>
      <c r="I191" s="2"/>
      <c r="J191" s="6">
        <f t="shared" si="67"/>
        <v>6.2352584012517224E-3</v>
      </c>
      <c r="K191" s="2"/>
      <c r="L191" s="7">
        <f t="shared" si="68"/>
        <v>8687</v>
      </c>
      <c r="M191" s="2"/>
      <c r="N191" s="6">
        <f t="shared" si="69"/>
        <v>1.7123989749655038</v>
      </c>
      <c r="O191" s="11"/>
      <c r="P191" s="7">
        <v>117742.96</v>
      </c>
      <c r="Q191" s="2"/>
      <c r="R191" s="6">
        <f t="shared" si="70"/>
        <v>2.289413338891615E-2</v>
      </c>
      <c r="S191" s="2"/>
      <c r="T191" s="7">
        <v>32795</v>
      </c>
      <c r="U191" s="2"/>
      <c r="V191" s="6">
        <f t="shared" si="71"/>
        <v>3.8065349366086286E-3</v>
      </c>
      <c r="W191" s="2"/>
      <c r="X191" s="7">
        <f t="shared" si="72"/>
        <v>84947.96</v>
      </c>
      <c r="Y191" s="2"/>
      <c r="Z191" s="6">
        <f t="shared" si="73"/>
        <v>2.5902716877572804</v>
      </c>
    </row>
    <row r="192" spans="1:26" s="24" customFormat="1" hidden="1" outlineLevel="2" x14ac:dyDescent="0.25">
      <c r="A192" s="29"/>
      <c r="B192" s="11" t="str">
        <f>CONCATENATE("          ", "6307", " - ", "POSTAGE")</f>
        <v xml:space="preserve">          6307 - POSTAGE</v>
      </c>
      <c r="C192" s="11"/>
      <c r="D192" s="7">
        <v>-9406.57</v>
      </c>
      <c r="E192" s="2"/>
      <c r="F192" s="6">
        <f t="shared" si="66"/>
        <v>-1.9453257612094151E-2</v>
      </c>
      <c r="G192" s="2"/>
      <c r="H192" s="7">
        <v>3530</v>
      </c>
      <c r="I192" s="2"/>
      <c r="J192" s="6">
        <f t="shared" si="67"/>
        <v>4.3387467290397358E-3</v>
      </c>
      <c r="K192" s="2"/>
      <c r="L192" s="7">
        <f t="shared" si="68"/>
        <v>-12936.57</v>
      </c>
      <c r="M192" s="2"/>
      <c r="N192" s="6">
        <f t="shared" si="69"/>
        <v>-3.6647507082152972</v>
      </c>
      <c r="O192" s="11"/>
      <c r="P192" s="7">
        <v>-131814.68</v>
      </c>
      <c r="Q192" s="2"/>
      <c r="R192" s="6">
        <f t="shared" si="70"/>
        <v>-2.5630261601519932E-2</v>
      </c>
      <c r="S192" s="2"/>
      <c r="T192" s="7">
        <v>19430</v>
      </c>
      <c r="U192" s="2"/>
      <c r="V192" s="6">
        <f t="shared" si="71"/>
        <v>2.2552515267054629E-3</v>
      </c>
      <c r="W192" s="2"/>
      <c r="X192" s="7">
        <f t="shared" si="72"/>
        <v>-151244.68</v>
      </c>
      <c r="Y192" s="2"/>
      <c r="Z192" s="6">
        <f t="shared" si="73"/>
        <v>-7.7840802882141018</v>
      </c>
    </row>
    <row r="193" spans="1:26" s="28" customFormat="1" outlineLevel="1" collapsed="1" x14ac:dyDescent="0.25">
      <c r="A193" s="27"/>
      <c r="B193" s="14" t="str">
        <f>CONCATENATE("     ","General                                           ")</f>
        <v xml:space="preserve">     General                                           </v>
      </c>
      <c r="C193" s="14"/>
      <c r="D193" s="1">
        <f>SUM(OSRRefD22_11x_0)</f>
        <v>4229.33</v>
      </c>
      <c r="E193" s="1"/>
      <c r="F193" s="5">
        <f t="shared" ref="F193:F196" si="74">IF(D$12=0,0,D193/D$12)</f>
        <v>8.7464661419155067E-3</v>
      </c>
      <c r="G193" s="1"/>
      <c r="H193" s="1">
        <f>SUM(OSRRefH22_11x_0)</f>
        <v>1665</v>
      </c>
      <c r="I193" s="1"/>
      <c r="J193" s="5">
        <f t="shared" ref="J193:J196" si="75">IF(H$12=0,0,H193/H$12)</f>
        <v>2.0464626923091104E-3</v>
      </c>
      <c r="K193" s="1"/>
      <c r="L193" s="1">
        <f t="shared" ref="L193:L196" si="76">+D193-H193</f>
        <v>2564.33</v>
      </c>
      <c r="M193" s="1"/>
      <c r="N193" s="5">
        <f t="shared" ref="N193:N196" si="77">IF(H193=0,0,L193/H193)</f>
        <v>1.540138138138138</v>
      </c>
      <c r="O193" s="14"/>
      <c r="P193" s="1">
        <f>SUM(OSRRefP22_11x_0)</f>
        <v>17309.580000000002</v>
      </c>
      <c r="Q193" s="1"/>
      <c r="R193" s="5">
        <f t="shared" ref="R193:R196" si="78">IF(P$12=0,0,P193/P$12)</f>
        <v>3.3657029976664017E-3</v>
      </c>
      <c r="S193" s="1"/>
      <c r="T193" s="1">
        <f>SUM(OSRRefT22_11x_0)</f>
        <v>22515</v>
      </c>
      <c r="U193" s="1"/>
      <c r="V193" s="5">
        <f t="shared" ref="V193:V196" si="79">IF(T$12=0,0,T193/T$12)</f>
        <v>2.6133292909816517E-3</v>
      </c>
      <c r="W193" s="1"/>
      <c r="X193" s="1">
        <f t="shared" ref="X193:X196" si="80">+P193-T193</f>
        <v>-5205.4199999999983</v>
      </c>
      <c r="Y193" s="1"/>
      <c r="Z193" s="5">
        <f t="shared" ref="Z193:Z196" si="81">IF(T193=0,0,X193/T193)</f>
        <v>-0.23119786808794129</v>
      </c>
    </row>
    <row r="194" spans="1:26" s="24" customFormat="1" hidden="1" outlineLevel="2" x14ac:dyDescent="0.25">
      <c r="A194" s="29"/>
      <c r="B194" s="11" t="str">
        <f>CONCATENATE("          ", "6269", " - ", "ENTERTAINMENT")</f>
        <v xml:space="preserve">          6269 - ENTERTAINMENT</v>
      </c>
      <c r="C194" s="11"/>
      <c r="D194" s="7"/>
      <c r="E194" s="2"/>
      <c r="F194" s="6">
        <f t="shared" si="74"/>
        <v>0</v>
      </c>
      <c r="G194" s="2"/>
      <c r="H194" s="7">
        <v>0</v>
      </c>
      <c r="I194" s="2"/>
      <c r="J194" s="6">
        <f t="shared" si="75"/>
        <v>0</v>
      </c>
      <c r="K194" s="2"/>
      <c r="L194" s="7">
        <f t="shared" si="76"/>
        <v>0</v>
      </c>
      <c r="M194" s="2"/>
      <c r="N194" s="6">
        <f t="shared" si="77"/>
        <v>0</v>
      </c>
      <c r="O194" s="11"/>
      <c r="P194" s="7"/>
      <c r="Q194" s="2"/>
      <c r="R194" s="6">
        <f t="shared" si="78"/>
        <v>0</v>
      </c>
      <c r="S194" s="2"/>
      <c r="T194" s="7">
        <v>1375</v>
      </c>
      <c r="U194" s="2"/>
      <c r="V194" s="6">
        <f t="shared" si="79"/>
        <v>1.5959705863201294E-4</v>
      </c>
      <c r="W194" s="2"/>
      <c r="X194" s="7">
        <f t="shared" si="80"/>
        <v>-1375</v>
      </c>
      <c r="Y194" s="2"/>
      <c r="Z194" s="6">
        <f t="shared" si="81"/>
        <v>-1</v>
      </c>
    </row>
    <row r="195" spans="1:26" s="24" customFormat="1" hidden="1" outlineLevel="2" x14ac:dyDescent="0.25">
      <c r="A195" s="29"/>
      <c r="B195" s="11" t="str">
        <f>CONCATENATE("          ", "6276", " - ", "PROPERTY TAX")</f>
        <v xml:space="preserve">          6276 - PROPERTY TAX</v>
      </c>
      <c r="C195" s="11"/>
      <c r="D195" s="7"/>
      <c r="E195" s="2"/>
      <c r="F195" s="6">
        <f t="shared" si="74"/>
        <v>0</v>
      </c>
      <c r="G195" s="2"/>
      <c r="H195" s="7"/>
      <c r="I195" s="2"/>
      <c r="J195" s="6">
        <f t="shared" si="75"/>
        <v>0</v>
      </c>
      <c r="K195" s="2"/>
      <c r="L195" s="7">
        <f t="shared" si="76"/>
        <v>0</v>
      </c>
      <c r="M195" s="2"/>
      <c r="N195" s="6">
        <f t="shared" si="77"/>
        <v>0</v>
      </c>
      <c r="O195" s="11"/>
      <c r="P195" s="7"/>
      <c r="Q195" s="2"/>
      <c r="R195" s="6">
        <f t="shared" si="78"/>
        <v>0</v>
      </c>
      <c r="S195" s="2"/>
      <c r="T195" s="7">
        <v>150</v>
      </c>
      <c r="U195" s="2"/>
      <c r="V195" s="6">
        <f t="shared" si="79"/>
        <v>1.7410588214401413E-5</v>
      </c>
      <c r="W195" s="2"/>
      <c r="X195" s="7">
        <f t="shared" si="80"/>
        <v>-150</v>
      </c>
      <c r="Y195" s="2"/>
      <c r="Z195" s="6">
        <f t="shared" si="81"/>
        <v>-1</v>
      </c>
    </row>
    <row r="196" spans="1:26" s="24" customFormat="1" hidden="1" outlineLevel="2" x14ac:dyDescent="0.25">
      <c r="A196" s="29"/>
      <c r="B196" s="11" t="str">
        <f>CONCATENATE("          ", "6279", " - ", "GENERAL EXPENSE")</f>
        <v xml:space="preserve">          6279 - GENERAL EXPENSE</v>
      </c>
      <c r="C196" s="11"/>
      <c r="D196" s="7">
        <v>4229.33</v>
      </c>
      <c r="E196" s="2"/>
      <c r="F196" s="6">
        <f t="shared" si="74"/>
        <v>8.7464661419155067E-3</v>
      </c>
      <c r="G196" s="2"/>
      <c r="H196" s="7">
        <v>1665</v>
      </c>
      <c r="I196" s="2"/>
      <c r="J196" s="6">
        <f t="shared" si="75"/>
        <v>2.0464626923091104E-3</v>
      </c>
      <c r="K196" s="2"/>
      <c r="L196" s="7">
        <f t="shared" si="76"/>
        <v>2564.33</v>
      </c>
      <c r="M196" s="2"/>
      <c r="N196" s="6">
        <f t="shared" si="77"/>
        <v>1.540138138138138</v>
      </c>
      <c r="O196" s="11"/>
      <c r="P196" s="7">
        <v>17309.580000000002</v>
      </c>
      <c r="Q196" s="2"/>
      <c r="R196" s="6">
        <f t="shared" si="78"/>
        <v>3.3657029976664017E-3</v>
      </c>
      <c r="S196" s="2"/>
      <c r="T196" s="7">
        <v>20990</v>
      </c>
      <c r="U196" s="2"/>
      <c r="V196" s="6">
        <f t="shared" si="79"/>
        <v>2.4363216441352377E-3</v>
      </c>
      <c r="W196" s="2"/>
      <c r="X196" s="7">
        <f t="shared" si="80"/>
        <v>-3680.4199999999983</v>
      </c>
      <c r="Y196" s="2"/>
      <c r="Z196" s="6">
        <f t="shared" si="81"/>
        <v>-0.17534159123392082</v>
      </c>
    </row>
    <row r="197" spans="1:26" s="28" customFormat="1" outlineLevel="1" collapsed="1" x14ac:dyDescent="0.25">
      <c r="A197" s="27"/>
      <c r="B197" s="14" t="str">
        <f>CONCATENATE("     ","Insurance                                         ")</f>
        <v xml:space="preserve">     Insurance                                         </v>
      </c>
      <c r="C197" s="14"/>
      <c r="D197" s="1">
        <f>SUM(OSRRefD22_12x_0)</f>
        <v>8563.32</v>
      </c>
      <c r="E197" s="1"/>
      <c r="F197" s="5">
        <f t="shared" ref="F197:F213" si="82">IF(D$12=0,0,D197/D$12)</f>
        <v>1.7709374402656661E-2</v>
      </c>
      <c r="G197" s="1"/>
      <c r="H197" s="1">
        <f>SUM(OSRRefH22_12x_0)</f>
        <v>9321</v>
      </c>
      <c r="I197" s="1"/>
      <c r="J197" s="5">
        <f t="shared" ref="J197:J213" si="83">IF(H$12=0,0,H197/H$12)</f>
        <v>1.1456503756764696E-2</v>
      </c>
      <c r="K197" s="1"/>
      <c r="L197" s="1">
        <f t="shared" ref="L197:L213" si="84">+D197-H197</f>
        <v>-757.68000000000029</v>
      </c>
      <c r="M197" s="1"/>
      <c r="N197" s="5">
        <f t="shared" ref="N197:N213" si="85">IF(H197=0,0,L197/H197)</f>
        <v>-8.128741551335697E-2</v>
      </c>
      <c r="O197" s="14"/>
      <c r="P197" s="1">
        <f>SUM(OSRRefP22_12x_0)</f>
        <v>57491.92</v>
      </c>
      <c r="Q197" s="1"/>
      <c r="R197" s="5">
        <f t="shared" ref="R197:R213" si="86">IF(P$12=0,0,P197/P$12)</f>
        <v>1.1178822795561587E-2</v>
      </c>
      <c r="S197" s="1"/>
      <c r="T197" s="1">
        <f>SUM(OSRRefT22_12x_0)</f>
        <v>55926</v>
      </c>
      <c r="U197" s="1"/>
      <c r="V197" s="5">
        <f t="shared" ref="V197:V213" si="87">IF(T$12=0,0,T197/T$12)</f>
        <v>6.491363709857422E-3</v>
      </c>
      <c r="W197" s="1"/>
      <c r="X197" s="1">
        <f t="shared" ref="X197:X213" si="88">+P197-T197</f>
        <v>1565.9199999999983</v>
      </c>
      <c r="Y197" s="1"/>
      <c r="Z197" s="5">
        <f t="shared" ref="Z197:Z213" si="89">IF(T197=0,0,X197/T197)</f>
        <v>2.7999856953831819E-2</v>
      </c>
    </row>
    <row r="198" spans="1:26" s="24" customFormat="1" hidden="1" outlineLevel="2" x14ac:dyDescent="0.25">
      <c r="A198" s="29"/>
      <c r="B198" s="11" t="str">
        <f>CONCATENATE("          ", "6314", " - ", "LIABILITY INSURANCE")</f>
        <v xml:space="preserve">          6314 - LIABILITY INSURANCE</v>
      </c>
      <c r="C198" s="11"/>
      <c r="D198" s="7">
        <v>8563.32</v>
      </c>
      <c r="E198" s="2"/>
      <c r="F198" s="6">
        <f t="shared" si="82"/>
        <v>1.7709374402656661E-2</v>
      </c>
      <c r="G198" s="2"/>
      <c r="H198" s="7">
        <v>9321</v>
      </c>
      <c r="I198" s="2"/>
      <c r="J198" s="6">
        <f t="shared" si="83"/>
        <v>1.1456503756764696E-2</v>
      </c>
      <c r="K198" s="2"/>
      <c r="L198" s="7">
        <f t="shared" si="84"/>
        <v>-757.68000000000029</v>
      </c>
      <c r="M198" s="2"/>
      <c r="N198" s="6">
        <f t="shared" si="85"/>
        <v>-8.128741551335697E-2</v>
      </c>
      <c r="O198" s="11"/>
      <c r="P198" s="7">
        <v>57491.92</v>
      </c>
      <c r="Q198" s="2"/>
      <c r="R198" s="6">
        <f t="shared" si="86"/>
        <v>1.1178822795561587E-2</v>
      </c>
      <c r="S198" s="2"/>
      <c r="T198" s="7">
        <v>55926</v>
      </c>
      <c r="U198" s="2"/>
      <c r="V198" s="6">
        <f t="shared" si="87"/>
        <v>6.491363709857422E-3</v>
      </c>
      <c r="W198" s="2"/>
      <c r="X198" s="7">
        <f t="shared" si="88"/>
        <v>1565.9199999999983</v>
      </c>
      <c r="Y198" s="2"/>
      <c r="Z198" s="6">
        <f t="shared" si="89"/>
        <v>2.7999856953831819E-2</v>
      </c>
    </row>
    <row r="199" spans="1:26" s="28" customFormat="1" outlineLevel="1" collapsed="1" x14ac:dyDescent="0.25">
      <c r="A199" s="27"/>
      <c r="B199" s="14" t="str">
        <f>CONCATENATE("     ","Interest                                          ")</f>
        <v xml:space="preserve">     Interest                                          </v>
      </c>
      <c r="C199" s="14"/>
      <c r="D199" s="1">
        <f>SUM(OSRRefD22_13x_0)</f>
        <v>11554</v>
      </c>
      <c r="E199" s="1"/>
      <c r="F199" s="5">
        <f t="shared" si="82"/>
        <v>2.389425034312569E-2</v>
      </c>
      <c r="G199" s="1"/>
      <c r="H199" s="1">
        <f>SUM(OSRRefH22_13x_0)</f>
        <v>11554</v>
      </c>
      <c r="I199" s="1"/>
      <c r="J199" s="5">
        <f t="shared" si="83"/>
        <v>1.4201099067230908E-2</v>
      </c>
      <c r="K199" s="1"/>
      <c r="L199" s="1">
        <f t="shared" si="84"/>
        <v>0</v>
      </c>
      <c r="M199" s="1"/>
      <c r="N199" s="5">
        <f t="shared" si="85"/>
        <v>0</v>
      </c>
      <c r="O199" s="14"/>
      <c r="P199" s="1">
        <f>SUM(OSRRefP22_13x_0)</f>
        <v>68575</v>
      </c>
      <c r="Q199" s="1"/>
      <c r="R199" s="5">
        <f t="shared" si="86"/>
        <v>1.3333834966820307E-2</v>
      </c>
      <c r="S199" s="1"/>
      <c r="T199" s="1">
        <f>SUM(OSRRefT22_13x_0)</f>
        <v>69324</v>
      </c>
      <c r="U199" s="1"/>
      <c r="V199" s="5">
        <f t="shared" si="87"/>
        <v>8.0464774491677566E-3</v>
      </c>
      <c r="W199" s="1"/>
      <c r="X199" s="1">
        <f t="shared" si="88"/>
        <v>-749</v>
      </c>
      <c r="Y199" s="1"/>
      <c r="Z199" s="5">
        <f t="shared" si="89"/>
        <v>-1.080433904564076E-2</v>
      </c>
    </row>
    <row r="200" spans="1:26" s="24" customFormat="1" hidden="1" outlineLevel="2" x14ac:dyDescent="0.25">
      <c r="A200" s="29"/>
      <c r="B200" s="11" t="str">
        <f>CONCATENATE("          ", "6401", " - ", "INTEREST EXPENSE")</f>
        <v xml:space="preserve">          6401 - INTEREST EXPENSE</v>
      </c>
      <c r="C200" s="11"/>
      <c r="D200" s="7">
        <v>11554</v>
      </c>
      <c r="E200" s="2"/>
      <c r="F200" s="6">
        <f t="shared" si="82"/>
        <v>2.389425034312569E-2</v>
      </c>
      <c r="G200" s="2"/>
      <c r="H200" s="7">
        <v>11554</v>
      </c>
      <c r="I200" s="2"/>
      <c r="J200" s="6">
        <f t="shared" si="83"/>
        <v>1.4201099067230908E-2</v>
      </c>
      <c r="K200" s="2"/>
      <c r="L200" s="7">
        <f t="shared" si="84"/>
        <v>0</v>
      </c>
      <c r="M200" s="2"/>
      <c r="N200" s="6">
        <f t="shared" si="85"/>
        <v>0</v>
      </c>
      <c r="O200" s="11"/>
      <c r="P200" s="7">
        <v>68575</v>
      </c>
      <c r="Q200" s="2"/>
      <c r="R200" s="6">
        <f t="shared" si="86"/>
        <v>1.3333834966820307E-2</v>
      </c>
      <c r="S200" s="2"/>
      <c r="T200" s="7">
        <v>69324</v>
      </c>
      <c r="U200" s="2"/>
      <c r="V200" s="6">
        <f t="shared" si="87"/>
        <v>8.0464774491677566E-3</v>
      </c>
      <c r="W200" s="2"/>
      <c r="X200" s="7">
        <f t="shared" si="88"/>
        <v>-749</v>
      </c>
      <c r="Y200" s="2"/>
      <c r="Z200" s="6">
        <f t="shared" si="89"/>
        <v>-1.080433904564076E-2</v>
      </c>
    </row>
    <row r="201" spans="1:26" s="28" customFormat="1" outlineLevel="1" collapsed="1" x14ac:dyDescent="0.25">
      <c r="A201" s="27"/>
      <c r="B201" s="14" t="str">
        <f>CONCATENATE("     ","Inventory Adjustment                              ")</f>
        <v xml:space="preserve">     Inventory Adjustment                              </v>
      </c>
      <c r="C201" s="14"/>
      <c r="D201" s="1">
        <f>SUM(OSRRefD22_14x_0)</f>
        <v>8350</v>
      </c>
      <c r="E201" s="1"/>
      <c r="F201" s="5">
        <f t="shared" si="82"/>
        <v>1.7268217964782718E-2</v>
      </c>
      <c r="G201" s="1"/>
      <c r="H201" s="1">
        <f>SUM(OSRRefH22_14x_0)</f>
        <v>9350</v>
      </c>
      <c r="I201" s="1"/>
      <c r="J201" s="5">
        <f t="shared" si="83"/>
        <v>1.1492147851705816E-2</v>
      </c>
      <c r="K201" s="1"/>
      <c r="L201" s="1">
        <f t="shared" si="84"/>
        <v>-1000</v>
      </c>
      <c r="M201" s="1"/>
      <c r="N201" s="5">
        <f t="shared" si="85"/>
        <v>-0.10695187165775401</v>
      </c>
      <c r="O201" s="14"/>
      <c r="P201" s="1">
        <f>SUM(OSRRefP22_14x_0)</f>
        <v>25100</v>
      </c>
      <c r="Q201" s="1"/>
      <c r="R201" s="5">
        <f t="shared" si="86"/>
        <v>4.8804849823870173E-3</v>
      </c>
      <c r="S201" s="1"/>
      <c r="T201" s="1">
        <f>SUM(OSRRefT22_14x_0)</f>
        <v>31100</v>
      </c>
      <c r="U201" s="1"/>
      <c r="V201" s="5">
        <f t="shared" si="87"/>
        <v>3.6097952897858926E-3</v>
      </c>
      <c r="W201" s="1"/>
      <c r="X201" s="1">
        <f t="shared" si="88"/>
        <v>-6000</v>
      </c>
      <c r="Y201" s="1"/>
      <c r="Z201" s="5">
        <f t="shared" si="89"/>
        <v>-0.19292604501607716</v>
      </c>
    </row>
    <row r="202" spans="1:26" s="24" customFormat="1" hidden="1" outlineLevel="2" x14ac:dyDescent="0.25">
      <c r="A202" s="29"/>
      <c r="B202" s="11" t="str">
        <f>CONCATENATE("          ", "6408", " - ", "INVENTORY ADJUSTMENT")</f>
        <v xml:space="preserve">          6408 - INVENTORY ADJUSTMENT</v>
      </c>
      <c r="C202" s="11"/>
      <c r="D202" s="7">
        <v>8350</v>
      </c>
      <c r="E202" s="2"/>
      <c r="F202" s="6">
        <f t="shared" si="82"/>
        <v>1.7268217964782718E-2</v>
      </c>
      <c r="G202" s="2"/>
      <c r="H202" s="7">
        <v>9350</v>
      </c>
      <c r="I202" s="2"/>
      <c r="J202" s="6">
        <f t="shared" si="83"/>
        <v>1.1492147851705816E-2</v>
      </c>
      <c r="K202" s="2"/>
      <c r="L202" s="7">
        <f t="shared" si="84"/>
        <v>-1000</v>
      </c>
      <c r="M202" s="2"/>
      <c r="N202" s="6">
        <f t="shared" si="85"/>
        <v>-0.10695187165775401</v>
      </c>
      <c r="O202" s="11"/>
      <c r="P202" s="7">
        <v>25100</v>
      </c>
      <c r="Q202" s="2"/>
      <c r="R202" s="6">
        <f t="shared" si="86"/>
        <v>4.8804849823870173E-3</v>
      </c>
      <c r="S202" s="2"/>
      <c r="T202" s="7">
        <v>31100</v>
      </c>
      <c r="U202" s="2"/>
      <c r="V202" s="6">
        <f t="shared" si="87"/>
        <v>3.6097952897858926E-3</v>
      </c>
      <c r="W202" s="2"/>
      <c r="X202" s="7">
        <f t="shared" si="88"/>
        <v>-6000</v>
      </c>
      <c r="Y202" s="2"/>
      <c r="Z202" s="6">
        <f t="shared" si="89"/>
        <v>-0.19292604501607716</v>
      </c>
    </row>
    <row r="203" spans="1:26" s="28" customFormat="1" outlineLevel="1" collapsed="1" x14ac:dyDescent="0.25">
      <c r="A203" s="27"/>
      <c r="B203" s="14" t="str">
        <f>CONCATENATE("     ","Professional Services                             ")</f>
        <v xml:space="preserve">     Professional Services                             </v>
      </c>
      <c r="C203" s="14"/>
      <c r="D203" s="1">
        <f>SUM(OSRRefD22_15x_0)</f>
        <v>0</v>
      </c>
      <c r="E203" s="1"/>
      <c r="F203" s="5">
        <f t="shared" si="82"/>
        <v>0</v>
      </c>
      <c r="G203" s="1"/>
      <c r="H203" s="1">
        <f>SUM(OSRRefH22_15x_0)</f>
        <v>0</v>
      </c>
      <c r="I203" s="1"/>
      <c r="J203" s="5">
        <f t="shared" si="83"/>
        <v>0</v>
      </c>
      <c r="K203" s="1"/>
      <c r="L203" s="1">
        <f t="shared" si="84"/>
        <v>0</v>
      </c>
      <c r="M203" s="1"/>
      <c r="N203" s="5">
        <f t="shared" si="85"/>
        <v>0</v>
      </c>
      <c r="O203" s="14"/>
      <c r="P203" s="1">
        <f>SUM(OSRRefP22_15x_0)</f>
        <v>0</v>
      </c>
      <c r="Q203" s="1"/>
      <c r="R203" s="5">
        <f t="shared" si="86"/>
        <v>0</v>
      </c>
      <c r="S203" s="1"/>
      <c r="T203" s="1">
        <f>SUM(OSRRefT22_15x_0)</f>
        <v>6800</v>
      </c>
      <c r="U203" s="1"/>
      <c r="V203" s="5">
        <f t="shared" si="87"/>
        <v>7.8927999905286403E-4</v>
      </c>
      <c r="W203" s="1"/>
      <c r="X203" s="1">
        <f t="shared" si="88"/>
        <v>-6800</v>
      </c>
      <c r="Y203" s="1"/>
      <c r="Z203" s="5">
        <f t="shared" si="89"/>
        <v>-1</v>
      </c>
    </row>
    <row r="204" spans="1:26" s="24" customFormat="1" hidden="1" outlineLevel="2" x14ac:dyDescent="0.25">
      <c r="A204" s="29"/>
      <c r="B204" s="11" t="str">
        <f>CONCATENATE("          ", "6336", " - ", "PROFESSIONAL SERVICES")</f>
        <v xml:space="preserve">          6336 - PROFESSIONAL SERVICES</v>
      </c>
      <c r="C204" s="11"/>
      <c r="D204" s="7"/>
      <c r="E204" s="2"/>
      <c r="F204" s="6">
        <f t="shared" si="82"/>
        <v>0</v>
      </c>
      <c r="G204" s="2"/>
      <c r="H204" s="7">
        <v>0</v>
      </c>
      <c r="I204" s="2"/>
      <c r="J204" s="6">
        <f t="shared" si="83"/>
        <v>0</v>
      </c>
      <c r="K204" s="2"/>
      <c r="L204" s="7">
        <f t="shared" si="84"/>
        <v>0</v>
      </c>
      <c r="M204" s="2"/>
      <c r="N204" s="6">
        <f t="shared" si="85"/>
        <v>0</v>
      </c>
      <c r="O204" s="11"/>
      <c r="P204" s="7"/>
      <c r="Q204" s="2"/>
      <c r="R204" s="6">
        <f t="shared" si="86"/>
        <v>0</v>
      </c>
      <c r="S204" s="2"/>
      <c r="T204" s="7">
        <v>6800</v>
      </c>
      <c r="U204" s="2"/>
      <c r="V204" s="6">
        <f t="shared" si="87"/>
        <v>7.8927999905286403E-4</v>
      </c>
      <c r="W204" s="2"/>
      <c r="X204" s="7">
        <f t="shared" si="88"/>
        <v>-6800</v>
      </c>
      <c r="Y204" s="2"/>
      <c r="Z204" s="6">
        <f t="shared" si="89"/>
        <v>-1</v>
      </c>
    </row>
    <row r="205" spans="1:26" s="28" customFormat="1" outlineLevel="1" collapsed="1" x14ac:dyDescent="0.25">
      <c r="A205" s="27"/>
      <c r="B205" s="14" t="str">
        <f>CONCATENATE("     ","R/H Commissions                                   ")</f>
        <v xml:space="preserve">     R/H Commissions                                   </v>
      </c>
      <c r="C205" s="14"/>
      <c r="D205" s="1">
        <f>SUM(OSRRefD22_16x_0)</f>
        <v>38313.420000000006</v>
      </c>
      <c r="E205" s="1"/>
      <c r="F205" s="5">
        <f t="shared" si="82"/>
        <v>7.923407036362462E-2</v>
      </c>
      <c r="G205" s="1"/>
      <c r="H205" s="1">
        <f>SUM(OSRRefH22_16x_0)</f>
        <v>25727</v>
      </c>
      <c r="I205" s="1"/>
      <c r="J205" s="5">
        <f t="shared" si="83"/>
        <v>3.1621228639661554E-2</v>
      </c>
      <c r="K205" s="1"/>
      <c r="L205" s="1">
        <f t="shared" si="84"/>
        <v>12586.420000000006</v>
      </c>
      <c r="M205" s="1"/>
      <c r="N205" s="5">
        <f t="shared" si="85"/>
        <v>0.48922999183736954</v>
      </c>
      <c r="O205" s="14"/>
      <c r="P205" s="1">
        <f>SUM(OSRRefP22_16x_0)</f>
        <v>75016.490000000005</v>
      </c>
      <c r="Q205" s="1"/>
      <c r="R205" s="5">
        <f t="shared" si="86"/>
        <v>1.4586328799856012E-2</v>
      </c>
      <c r="S205" s="1"/>
      <c r="T205" s="1">
        <f>SUM(OSRRefT22_16x_0)</f>
        <v>148571</v>
      </c>
      <c r="U205" s="1"/>
      <c r="V205" s="5">
        <f t="shared" si="87"/>
        <v>1.7244723344012215E-2</v>
      </c>
      <c r="W205" s="1"/>
      <c r="X205" s="1">
        <f t="shared" si="88"/>
        <v>-73554.509999999995</v>
      </c>
      <c r="Y205" s="1"/>
      <c r="Z205" s="5">
        <f t="shared" si="89"/>
        <v>-0.49507986080729077</v>
      </c>
    </row>
    <row r="206" spans="1:26" s="24" customFormat="1" hidden="1" outlineLevel="2" x14ac:dyDescent="0.25">
      <c r="A206" s="29"/>
      <c r="B206" s="11" t="str">
        <f>CONCATENATE("          ", "6387", " - ", "COMMISSION DUE HOUSING")</f>
        <v xml:space="preserve">          6387 - COMMISSION DUE HOUSING</v>
      </c>
      <c r="C206" s="11"/>
      <c r="D206" s="7">
        <v>38313.420000000006</v>
      </c>
      <c r="E206" s="2"/>
      <c r="F206" s="6">
        <f t="shared" si="82"/>
        <v>7.923407036362462E-2</v>
      </c>
      <c r="G206" s="2"/>
      <c r="H206" s="7">
        <v>25727</v>
      </c>
      <c r="I206" s="2"/>
      <c r="J206" s="6">
        <f t="shared" si="83"/>
        <v>3.1621228639661554E-2</v>
      </c>
      <c r="K206" s="2"/>
      <c r="L206" s="7">
        <f t="shared" si="84"/>
        <v>12586.420000000006</v>
      </c>
      <c r="M206" s="2"/>
      <c r="N206" s="6">
        <f t="shared" si="85"/>
        <v>0.48922999183736954</v>
      </c>
      <c r="O206" s="11"/>
      <c r="P206" s="7">
        <v>75016.490000000005</v>
      </c>
      <c r="Q206" s="2"/>
      <c r="R206" s="6">
        <f t="shared" si="86"/>
        <v>1.4586328799856012E-2</v>
      </c>
      <c r="S206" s="2"/>
      <c r="T206" s="7">
        <v>148571</v>
      </c>
      <c r="U206" s="2"/>
      <c r="V206" s="6">
        <f t="shared" si="87"/>
        <v>1.7244723344012215E-2</v>
      </c>
      <c r="W206" s="2"/>
      <c r="X206" s="7">
        <f t="shared" si="88"/>
        <v>-73554.509999999995</v>
      </c>
      <c r="Y206" s="2"/>
      <c r="Z206" s="6">
        <f t="shared" si="89"/>
        <v>-0.49507986080729077</v>
      </c>
    </row>
    <row r="207" spans="1:26" s="28" customFormat="1" outlineLevel="1" collapsed="1" x14ac:dyDescent="0.25">
      <c r="A207" s="27"/>
      <c r="B207" s="14" t="str">
        <f>CONCATENATE("     ","Rent                                              ")</f>
        <v xml:space="preserve">     Rent                                              </v>
      </c>
      <c r="C207" s="14"/>
      <c r="D207" s="1">
        <f>SUM(OSRRefD22_17x_0)</f>
        <v>12450</v>
      </c>
      <c r="E207" s="1"/>
      <c r="F207" s="5">
        <f t="shared" si="82"/>
        <v>2.574722319299938E-2</v>
      </c>
      <c r="G207" s="1"/>
      <c r="H207" s="1">
        <f>SUM(OSRRefH22_17x_0)</f>
        <v>8843</v>
      </c>
      <c r="I207" s="1"/>
      <c r="J207" s="5">
        <f t="shared" si="83"/>
        <v>1.0868990743597276E-2</v>
      </c>
      <c r="K207" s="1"/>
      <c r="L207" s="1">
        <f t="shared" si="84"/>
        <v>3607</v>
      </c>
      <c r="M207" s="1"/>
      <c r="N207" s="5">
        <f t="shared" si="85"/>
        <v>0.407893248897433</v>
      </c>
      <c r="O207" s="14"/>
      <c r="P207" s="1">
        <f>SUM(OSRRefP22_17x_0)</f>
        <v>52500</v>
      </c>
      <c r="Q207" s="1"/>
      <c r="R207" s="5">
        <f t="shared" si="86"/>
        <v>1.0208185720132207E-2</v>
      </c>
      <c r="S207" s="1"/>
      <c r="T207" s="1">
        <f>SUM(OSRRefT22_17x_0)</f>
        <v>53059</v>
      </c>
      <c r="U207" s="1"/>
      <c r="V207" s="5">
        <f t="shared" si="87"/>
        <v>6.1585893337861635E-3</v>
      </c>
      <c r="W207" s="1"/>
      <c r="X207" s="1">
        <f t="shared" si="88"/>
        <v>-559</v>
      </c>
      <c r="Y207" s="1"/>
      <c r="Z207" s="5">
        <f t="shared" si="89"/>
        <v>-1.053544167813189E-2</v>
      </c>
    </row>
    <row r="208" spans="1:26" s="24" customFormat="1" hidden="1" outlineLevel="2" x14ac:dyDescent="0.25">
      <c r="A208" s="29"/>
      <c r="B208" s="11" t="str">
        <f>CONCATENATE("          ", "6273", " - ", "RENT")</f>
        <v xml:space="preserve">          6273 - RENT</v>
      </c>
      <c r="C208" s="11"/>
      <c r="D208" s="7">
        <v>12450</v>
      </c>
      <c r="E208" s="2"/>
      <c r="F208" s="6">
        <f t="shared" si="82"/>
        <v>2.574722319299938E-2</v>
      </c>
      <c r="G208" s="2"/>
      <c r="H208" s="7">
        <v>8843</v>
      </c>
      <c r="I208" s="2"/>
      <c r="J208" s="6">
        <f t="shared" si="83"/>
        <v>1.0868990743597276E-2</v>
      </c>
      <c r="K208" s="2"/>
      <c r="L208" s="7">
        <f t="shared" si="84"/>
        <v>3607</v>
      </c>
      <c r="M208" s="2"/>
      <c r="N208" s="6">
        <f t="shared" si="85"/>
        <v>0.407893248897433</v>
      </c>
      <c r="O208" s="11"/>
      <c r="P208" s="7">
        <v>52500</v>
      </c>
      <c r="Q208" s="2"/>
      <c r="R208" s="6">
        <f t="shared" si="86"/>
        <v>1.0208185720132207E-2</v>
      </c>
      <c r="S208" s="2"/>
      <c r="T208" s="7">
        <v>53059</v>
      </c>
      <c r="U208" s="2"/>
      <c r="V208" s="6">
        <f t="shared" si="87"/>
        <v>6.1585893337861635E-3</v>
      </c>
      <c r="W208" s="2"/>
      <c r="X208" s="7">
        <f t="shared" si="88"/>
        <v>-559</v>
      </c>
      <c r="Y208" s="2"/>
      <c r="Z208" s="6">
        <f t="shared" si="89"/>
        <v>-1.053544167813189E-2</v>
      </c>
    </row>
    <row r="209" spans="1:26" s="28" customFormat="1" outlineLevel="1" collapsed="1" x14ac:dyDescent="0.25">
      <c r="A209" s="27"/>
      <c r="B209" s="14" t="str">
        <f>CONCATENATE("     ","Repair and Maintenance                            ")</f>
        <v xml:space="preserve">     Repair and Maintenance                            </v>
      </c>
      <c r="C209" s="14"/>
      <c r="D209" s="1">
        <f>SUM(OSRRefD22_18x_0)</f>
        <v>16761.490000000002</v>
      </c>
      <c r="E209" s="1"/>
      <c r="F209" s="5">
        <f t="shared" si="82"/>
        <v>3.466360032748813E-2</v>
      </c>
      <c r="G209" s="1"/>
      <c r="H209" s="1">
        <f>SUM(OSRRefH22_18x_0)</f>
        <v>20338</v>
      </c>
      <c r="I209" s="1"/>
      <c r="J209" s="5">
        <f t="shared" si="83"/>
        <v>2.4997572514223836E-2</v>
      </c>
      <c r="K209" s="1"/>
      <c r="L209" s="1">
        <f t="shared" si="84"/>
        <v>-3576.5099999999984</v>
      </c>
      <c r="M209" s="1"/>
      <c r="N209" s="5">
        <f t="shared" si="85"/>
        <v>-0.1758535745894384</v>
      </c>
      <c r="O209" s="14"/>
      <c r="P209" s="1">
        <f>SUM(OSRRefP22_18x_0)</f>
        <v>266342.83999999997</v>
      </c>
      <c r="Q209" s="1"/>
      <c r="R209" s="5">
        <f t="shared" si="86"/>
        <v>5.1788136684713472E-2</v>
      </c>
      <c r="S209" s="1"/>
      <c r="T209" s="1">
        <f>SUM(OSRRefT22_18x_0)</f>
        <v>299815</v>
      </c>
      <c r="U209" s="1"/>
      <c r="V209" s="5">
        <f t="shared" si="87"/>
        <v>3.4799703370005063E-2</v>
      </c>
      <c r="W209" s="1"/>
      <c r="X209" s="1">
        <f t="shared" si="88"/>
        <v>-33472.160000000033</v>
      </c>
      <c r="Y209" s="1"/>
      <c r="Z209" s="5">
        <f t="shared" si="89"/>
        <v>-0.11164271300635403</v>
      </c>
    </row>
    <row r="210" spans="1:26" s="24" customFormat="1" hidden="1" outlineLevel="2" x14ac:dyDescent="0.25">
      <c r="A210" s="29"/>
      <c r="B210" s="11" t="str">
        <f>CONCATENATE("          ", "6371", " - ", "COMPUTER SOFTWARE MAINTENANCE")</f>
        <v xml:space="preserve">          6371 - COMPUTER SOFTWARE MAINTENANCE</v>
      </c>
      <c r="C210" s="11"/>
      <c r="D210" s="7">
        <v>3500</v>
      </c>
      <c r="E210" s="2"/>
      <c r="F210" s="6">
        <f t="shared" si="82"/>
        <v>7.238175194819103E-3</v>
      </c>
      <c r="G210" s="2"/>
      <c r="H210" s="7"/>
      <c r="I210" s="2"/>
      <c r="J210" s="6">
        <f t="shared" si="83"/>
        <v>0</v>
      </c>
      <c r="K210" s="2"/>
      <c r="L210" s="7">
        <f t="shared" si="84"/>
        <v>3500</v>
      </c>
      <c r="M210" s="2"/>
      <c r="N210" s="6">
        <f t="shared" si="85"/>
        <v>0</v>
      </c>
      <c r="O210" s="11"/>
      <c r="P210" s="7">
        <v>61936.47</v>
      </c>
      <c r="Q210" s="2"/>
      <c r="R210" s="6">
        <f t="shared" si="86"/>
        <v>1.2043028354464703E-2</v>
      </c>
      <c r="S210" s="2"/>
      <c r="T210" s="7">
        <v>178543</v>
      </c>
      <c r="U210" s="2"/>
      <c r="V210" s="6">
        <f t="shared" si="87"/>
        <v>2.0723591010425809E-2</v>
      </c>
      <c r="W210" s="2"/>
      <c r="X210" s="7">
        <f t="shared" si="88"/>
        <v>-116606.53</v>
      </c>
      <c r="Y210" s="2"/>
      <c r="Z210" s="6">
        <f t="shared" si="89"/>
        <v>-0.65310054160622366</v>
      </c>
    </row>
    <row r="211" spans="1:26" s="24" customFormat="1" hidden="1" outlineLevel="2" x14ac:dyDescent="0.25">
      <c r="A211" s="29"/>
      <c r="B211" s="11" t="str">
        <f>CONCATENATE("          ", "6372", " - ", "COMPUTER HARDWARE MAINTENANCE")</f>
        <v xml:space="preserve">          6372 - COMPUTER HARDWARE MAINTENANCE</v>
      </c>
      <c r="C211" s="11"/>
      <c r="D211" s="7"/>
      <c r="E211" s="2"/>
      <c r="F211" s="6">
        <f t="shared" si="82"/>
        <v>0</v>
      </c>
      <c r="G211" s="2"/>
      <c r="H211" s="7">
        <v>1500</v>
      </c>
      <c r="I211" s="2"/>
      <c r="J211" s="6">
        <f t="shared" si="83"/>
        <v>1.8436600831613608E-3</v>
      </c>
      <c r="K211" s="2"/>
      <c r="L211" s="7">
        <f t="shared" si="84"/>
        <v>-1500</v>
      </c>
      <c r="M211" s="2"/>
      <c r="N211" s="6">
        <f t="shared" si="85"/>
        <v>-1</v>
      </c>
      <c r="O211" s="11"/>
      <c r="P211" s="7">
        <v>0</v>
      </c>
      <c r="Q211" s="2"/>
      <c r="R211" s="6">
        <f t="shared" si="86"/>
        <v>0</v>
      </c>
      <c r="S211" s="2"/>
      <c r="T211" s="7">
        <v>12520</v>
      </c>
      <c r="U211" s="2"/>
      <c r="V211" s="6">
        <f t="shared" si="87"/>
        <v>1.4532037629620379E-3</v>
      </c>
      <c r="W211" s="2"/>
      <c r="X211" s="7">
        <f t="shared" si="88"/>
        <v>-12520</v>
      </c>
      <c r="Y211" s="2"/>
      <c r="Z211" s="6">
        <f t="shared" si="89"/>
        <v>-1</v>
      </c>
    </row>
    <row r="212" spans="1:26" s="24" customFormat="1" hidden="1" outlineLevel="2" x14ac:dyDescent="0.25">
      <c r="A212" s="29"/>
      <c r="B212" s="11" t="str">
        <f>CONCATENATE("          ", "6373", " - ", "MAINTENANCE CONTRACTS")</f>
        <v xml:space="preserve">          6373 - MAINTENANCE CONTRACTS</v>
      </c>
      <c r="C212" s="11"/>
      <c r="D212" s="7">
        <v>12774.02</v>
      </c>
      <c r="E212" s="2"/>
      <c r="F212" s="6">
        <f t="shared" si="82"/>
        <v>2.6417312772035177E-2</v>
      </c>
      <c r="G212" s="2"/>
      <c r="H212" s="7">
        <v>8066</v>
      </c>
      <c r="I212" s="2"/>
      <c r="J212" s="6">
        <f t="shared" si="83"/>
        <v>9.9139748205196911E-3</v>
      </c>
      <c r="K212" s="2"/>
      <c r="L212" s="7">
        <f t="shared" si="84"/>
        <v>4708.0200000000004</v>
      </c>
      <c r="M212" s="2"/>
      <c r="N212" s="6">
        <f t="shared" si="85"/>
        <v>0.5836870815769899</v>
      </c>
      <c r="O212" s="11"/>
      <c r="P212" s="7">
        <v>174233.09</v>
      </c>
      <c r="Q212" s="2"/>
      <c r="R212" s="6">
        <f t="shared" si="86"/>
        <v>3.387816650119066E-2</v>
      </c>
      <c r="S212" s="2"/>
      <c r="T212" s="7">
        <v>40867</v>
      </c>
      <c r="U212" s="2"/>
      <c r="V212" s="6">
        <f t="shared" si="87"/>
        <v>4.7434567237196164E-3</v>
      </c>
      <c r="W212" s="2"/>
      <c r="X212" s="7">
        <f t="shared" si="88"/>
        <v>133366.09</v>
      </c>
      <c r="Y212" s="2"/>
      <c r="Z212" s="6">
        <f t="shared" si="89"/>
        <v>3.2634176719602612</v>
      </c>
    </row>
    <row r="213" spans="1:26" s="24" customFormat="1" hidden="1" outlineLevel="2" x14ac:dyDescent="0.25">
      <c r="A213" s="29"/>
      <c r="B213" s="11" t="str">
        <f>CONCATENATE("          ", "6375", " - ", "OUTSIDE REPAIRS &amp; MAINTENANCE")</f>
        <v xml:space="preserve">          6375 - OUTSIDE REPAIRS &amp; MAINTENANCE</v>
      </c>
      <c r="C213" s="11"/>
      <c r="D213" s="7">
        <v>487.47</v>
      </c>
      <c r="E213" s="2"/>
      <c r="F213" s="6">
        <f t="shared" si="82"/>
        <v>1.0081123606338481E-3</v>
      </c>
      <c r="G213" s="2"/>
      <c r="H213" s="7">
        <v>10772</v>
      </c>
      <c r="I213" s="2"/>
      <c r="J213" s="6">
        <f t="shared" si="83"/>
        <v>1.3239937610542785E-2</v>
      </c>
      <c r="K213" s="2"/>
      <c r="L213" s="7">
        <f t="shared" si="84"/>
        <v>-10284.530000000001</v>
      </c>
      <c r="M213" s="2"/>
      <c r="N213" s="6">
        <f t="shared" si="85"/>
        <v>-0.95474656516895662</v>
      </c>
      <c r="O213" s="11"/>
      <c r="P213" s="7">
        <v>30173.279999999999</v>
      </c>
      <c r="Q213" s="2"/>
      <c r="R213" s="6">
        <f t="shared" si="86"/>
        <v>5.8669418290581091E-3</v>
      </c>
      <c r="S213" s="2"/>
      <c r="T213" s="7">
        <v>67885</v>
      </c>
      <c r="U213" s="2"/>
      <c r="V213" s="6">
        <f t="shared" si="87"/>
        <v>7.8794518728975988E-3</v>
      </c>
      <c r="W213" s="2"/>
      <c r="X213" s="7">
        <f t="shared" si="88"/>
        <v>-37711.72</v>
      </c>
      <c r="Y213" s="2"/>
      <c r="Z213" s="6">
        <f t="shared" si="89"/>
        <v>-0.55552360609854901</v>
      </c>
    </row>
    <row r="214" spans="1:26" s="28" customFormat="1" outlineLevel="1" collapsed="1" x14ac:dyDescent="0.25">
      <c r="A214" s="27"/>
      <c r="B214" s="14" t="str">
        <f>CONCATENATE("     ","Royalty &amp; Commissions                             ")</f>
        <v xml:space="preserve">     Royalty &amp; Commissions                             </v>
      </c>
      <c r="C214" s="14"/>
      <c r="D214" s="1">
        <f>SUM(OSRRefD22_19x_0)</f>
        <v>5.97</v>
      </c>
      <c r="E214" s="1"/>
      <c r="F214" s="5">
        <f t="shared" ref="F214:F218" si="90">IF(D$12=0,0,D214/D$12)</f>
        <v>1.2346258832305727E-5</v>
      </c>
      <c r="G214" s="1"/>
      <c r="H214" s="1">
        <f>SUM(OSRRefH22_19x_0)</f>
        <v>7604</v>
      </c>
      <c r="I214" s="1"/>
      <c r="J214" s="5">
        <f t="shared" ref="J214:J218" si="91">IF(H$12=0,0,H214/H$12)</f>
        <v>9.3461275149059921E-3</v>
      </c>
      <c r="K214" s="1"/>
      <c r="L214" s="1">
        <f t="shared" ref="L214:L218" si="92">+D214-H214</f>
        <v>-7598.03</v>
      </c>
      <c r="M214" s="1"/>
      <c r="N214" s="5">
        <f t="shared" ref="N214:N218" si="93">IF(H214=0,0,L214/H214)</f>
        <v>-0.99921488690163074</v>
      </c>
      <c r="O214" s="14"/>
      <c r="P214" s="1">
        <f>SUM(OSRRefP22_19x_0)</f>
        <v>28761.760000000002</v>
      </c>
      <c r="Q214" s="1"/>
      <c r="R214" s="5">
        <f t="shared" ref="R214:R218" si="94">IF(P$12=0,0,P214/P$12)</f>
        <v>5.5924835755784717E-3</v>
      </c>
      <c r="S214" s="1"/>
      <c r="T214" s="1">
        <f>SUM(OSRRefT22_19x_0)</f>
        <v>45134</v>
      </c>
      <c r="U214" s="1"/>
      <c r="V214" s="5">
        <f t="shared" ref="V214:V218" si="95">IF(T$12=0,0,T214/T$12)</f>
        <v>5.238729923125289E-3</v>
      </c>
      <c r="W214" s="1"/>
      <c r="X214" s="1">
        <f t="shared" ref="X214:X218" si="96">+P214-T214</f>
        <v>-16372.239999999998</v>
      </c>
      <c r="Y214" s="1"/>
      <c r="Z214" s="5">
        <f t="shared" ref="Z214:Z218" si="97">IF(T214=0,0,X214/T214)</f>
        <v>-0.36274737448486721</v>
      </c>
    </row>
    <row r="215" spans="1:26" s="24" customFormat="1" hidden="1" outlineLevel="2" x14ac:dyDescent="0.25">
      <c r="A215" s="29"/>
      <c r="B215" s="11" t="str">
        <f>CONCATENATE("          ", "6252", " - ", "ROYALTY DUE CSTV")</f>
        <v xml:space="preserve">          6252 - ROYALTY DUE CSTV</v>
      </c>
      <c r="C215" s="11"/>
      <c r="D215" s="7"/>
      <c r="E215" s="2"/>
      <c r="F215" s="6">
        <f t="shared" si="90"/>
        <v>0</v>
      </c>
      <c r="G215" s="2"/>
      <c r="H215" s="7">
        <v>1085</v>
      </c>
      <c r="I215" s="2"/>
      <c r="J215" s="6">
        <f t="shared" si="91"/>
        <v>1.3335807934867177E-3</v>
      </c>
      <c r="K215" s="2"/>
      <c r="L215" s="7">
        <f t="shared" si="92"/>
        <v>-1085</v>
      </c>
      <c r="M215" s="2"/>
      <c r="N215" s="6">
        <f t="shared" si="93"/>
        <v>-1</v>
      </c>
      <c r="O215" s="11"/>
      <c r="P215" s="7"/>
      <c r="Q215" s="2"/>
      <c r="R215" s="6">
        <f t="shared" si="94"/>
        <v>0</v>
      </c>
      <c r="S215" s="2"/>
      <c r="T215" s="7">
        <v>6510</v>
      </c>
      <c r="U215" s="2"/>
      <c r="V215" s="6">
        <f t="shared" si="95"/>
        <v>7.5561952850502123E-4</v>
      </c>
      <c r="W215" s="2"/>
      <c r="X215" s="7">
        <f t="shared" si="96"/>
        <v>-6510</v>
      </c>
      <c r="Y215" s="2"/>
      <c r="Z215" s="6">
        <f t="shared" si="97"/>
        <v>-1</v>
      </c>
    </row>
    <row r="216" spans="1:26" s="24" customFormat="1" hidden="1" outlineLevel="2" x14ac:dyDescent="0.25">
      <c r="A216" s="29"/>
      <c r="B216" s="11" t="str">
        <f>CONCATENATE("          ", "6253", " - ", "ROYALTY DUE ATHLETICS-LRG")</f>
        <v xml:space="preserve">          6253 - ROYALTY DUE ATHLETICS-LRG</v>
      </c>
      <c r="C216" s="11"/>
      <c r="D216" s="7"/>
      <c r="E216" s="2"/>
      <c r="F216" s="6">
        <f t="shared" si="90"/>
        <v>0</v>
      </c>
      <c r="G216" s="2"/>
      <c r="H216" s="7">
        <v>4037</v>
      </c>
      <c r="I216" s="2"/>
      <c r="J216" s="6">
        <f t="shared" si="91"/>
        <v>4.9619038371482753E-3</v>
      </c>
      <c r="K216" s="2"/>
      <c r="L216" s="7">
        <f t="shared" si="92"/>
        <v>-4037</v>
      </c>
      <c r="M216" s="2"/>
      <c r="N216" s="6">
        <f t="shared" si="93"/>
        <v>-1</v>
      </c>
      <c r="O216" s="11"/>
      <c r="P216" s="7">
        <v>18411.8</v>
      </c>
      <c r="Q216" s="2"/>
      <c r="R216" s="6">
        <f t="shared" si="94"/>
        <v>3.5800204541320034E-3</v>
      </c>
      <c r="S216" s="2"/>
      <c r="T216" s="7">
        <v>24222</v>
      </c>
      <c r="U216" s="2"/>
      <c r="V216" s="6">
        <f t="shared" si="95"/>
        <v>2.8114617848615398E-3</v>
      </c>
      <c r="W216" s="2"/>
      <c r="X216" s="7">
        <f t="shared" si="96"/>
        <v>-5810.2000000000007</v>
      </c>
      <c r="Y216" s="2"/>
      <c r="Z216" s="6">
        <f t="shared" si="97"/>
        <v>-0.23987284287011809</v>
      </c>
    </row>
    <row r="217" spans="1:26" s="24" customFormat="1" hidden="1" outlineLevel="2" x14ac:dyDescent="0.25">
      <c r="A217" s="29"/>
      <c r="B217" s="11" t="str">
        <f>CONCATENATE("          ", "6254", " - ", "ROYALTY &amp; COMMISSIONS")</f>
        <v xml:space="preserve">          6254 - ROYALTY &amp; COMMISSIONS</v>
      </c>
      <c r="C217" s="11"/>
      <c r="D217" s="7"/>
      <c r="E217" s="2"/>
      <c r="F217" s="6">
        <f t="shared" si="90"/>
        <v>0</v>
      </c>
      <c r="G217" s="2"/>
      <c r="H217" s="7">
        <v>1149</v>
      </c>
      <c r="I217" s="2"/>
      <c r="J217" s="6">
        <f t="shared" si="91"/>
        <v>1.4122436237016024E-3</v>
      </c>
      <c r="K217" s="2"/>
      <c r="L217" s="7">
        <f t="shared" si="92"/>
        <v>-1149</v>
      </c>
      <c r="M217" s="2"/>
      <c r="N217" s="6">
        <f t="shared" si="93"/>
        <v>-1</v>
      </c>
      <c r="O217" s="11"/>
      <c r="P217" s="7">
        <v>185.7</v>
      </c>
      <c r="Q217" s="2"/>
      <c r="R217" s="6">
        <f t="shared" si="94"/>
        <v>3.610781120435335E-5</v>
      </c>
      <c r="S217" s="2"/>
      <c r="T217" s="7">
        <v>6894</v>
      </c>
      <c r="U217" s="2"/>
      <c r="V217" s="6">
        <f t="shared" si="95"/>
        <v>8.001906343338889E-4</v>
      </c>
      <c r="W217" s="2"/>
      <c r="X217" s="7">
        <f t="shared" si="96"/>
        <v>-6708.3</v>
      </c>
      <c r="Y217" s="2"/>
      <c r="Z217" s="6">
        <f t="shared" si="97"/>
        <v>-0.97306353350739772</v>
      </c>
    </row>
    <row r="218" spans="1:26" s="24" customFormat="1" hidden="1" outlineLevel="2" x14ac:dyDescent="0.25">
      <c r="A218" s="29"/>
      <c r="B218" s="11" t="str">
        <f>CONCATENATE("          ", "6259", " - ", "ROYALTY &amp; COMMISSIONS")</f>
        <v xml:space="preserve">          6259 - ROYALTY &amp; COMMISSIONS</v>
      </c>
      <c r="C218" s="11"/>
      <c r="D218" s="7">
        <v>5.97</v>
      </c>
      <c r="E218" s="2"/>
      <c r="F218" s="6">
        <f t="shared" si="90"/>
        <v>1.2346258832305727E-5</v>
      </c>
      <c r="G218" s="2"/>
      <c r="H218" s="7">
        <v>1333</v>
      </c>
      <c r="I218" s="2"/>
      <c r="J218" s="6">
        <f t="shared" si="91"/>
        <v>1.6383992605693959E-3</v>
      </c>
      <c r="K218" s="2"/>
      <c r="L218" s="7">
        <f t="shared" si="92"/>
        <v>-1327.03</v>
      </c>
      <c r="M218" s="2"/>
      <c r="N218" s="6">
        <f t="shared" si="93"/>
        <v>-0.9955213803450863</v>
      </c>
      <c r="O218" s="11"/>
      <c r="P218" s="7">
        <v>10164.26</v>
      </c>
      <c r="Q218" s="2"/>
      <c r="R218" s="6">
        <f t="shared" si="94"/>
        <v>1.9763553102421141E-3</v>
      </c>
      <c r="S218" s="2"/>
      <c r="T218" s="7">
        <v>7508</v>
      </c>
      <c r="U218" s="2"/>
      <c r="V218" s="6">
        <f t="shared" si="95"/>
        <v>8.7145797542483863E-4</v>
      </c>
      <c r="W218" s="2"/>
      <c r="X218" s="7">
        <f t="shared" si="96"/>
        <v>2656.26</v>
      </c>
      <c r="Y218" s="2"/>
      <c r="Z218" s="6">
        <f t="shared" si="97"/>
        <v>0.35379062333510924</v>
      </c>
    </row>
    <row r="219" spans="1:26" s="28" customFormat="1" outlineLevel="1" collapsed="1" x14ac:dyDescent="0.25">
      <c r="A219" s="27"/>
      <c r="B219" s="14" t="str">
        <f>CONCATENATE("     ","Services                                          ")</f>
        <v xml:space="preserve">     Services                                          </v>
      </c>
      <c r="C219" s="14"/>
      <c r="D219" s="1">
        <f>SUM(OSRRefD22_20x_0)</f>
        <v>27262.82</v>
      </c>
      <c r="E219" s="1"/>
      <c r="F219" s="5">
        <f t="shared" ref="F219:F224" si="98">IF(D$12=0,0,D219/D$12)</f>
        <v>5.6380876418519466E-2</v>
      </c>
      <c r="G219" s="1"/>
      <c r="H219" s="1">
        <f>SUM(OSRRefH22_20x_0)</f>
        <v>35174</v>
      </c>
      <c r="I219" s="1"/>
      <c r="J219" s="5">
        <f t="shared" ref="J219:J224" si="99">IF(H$12=0,0,H219/H$12)</f>
        <v>4.3232599843411802E-2</v>
      </c>
      <c r="K219" s="1"/>
      <c r="L219" s="1">
        <f t="shared" ref="L219:L224" si="100">+D219-H219</f>
        <v>-7911.18</v>
      </c>
      <c r="M219" s="1"/>
      <c r="N219" s="5">
        <f t="shared" ref="N219:N224" si="101">IF(H219=0,0,L219/H219)</f>
        <v>-0.22491556263148918</v>
      </c>
      <c r="O219" s="14"/>
      <c r="P219" s="1">
        <f>SUM(OSRRefP22_20x_0)</f>
        <v>121752.89000000001</v>
      </c>
      <c r="Q219" s="1"/>
      <c r="R219" s="5">
        <f t="shared" ref="R219:R224" si="102">IF(P$12=0,0,P219/P$12)</f>
        <v>2.3673830725387195E-2</v>
      </c>
      <c r="S219" s="1"/>
      <c r="T219" s="1">
        <f>SUM(OSRRefT22_20x_0)</f>
        <v>191001</v>
      </c>
      <c r="U219" s="1"/>
      <c r="V219" s="5">
        <f t="shared" ref="V219:V224" si="103">IF(T$12=0,0,T219/T$12)</f>
        <v>2.2169598396925894E-2</v>
      </c>
      <c r="W219" s="1"/>
      <c r="X219" s="1">
        <f t="shared" ref="X219:X224" si="104">+P219-T219</f>
        <v>-69248.109999999986</v>
      </c>
      <c r="Y219" s="1"/>
      <c r="Z219" s="5">
        <f t="shared" ref="Z219:Z224" si="105">IF(T219=0,0,X219/T219)</f>
        <v>-0.36255365155156249</v>
      </c>
    </row>
    <row r="220" spans="1:26" s="24" customFormat="1" hidden="1" outlineLevel="2" x14ac:dyDescent="0.25">
      <c r="A220" s="29"/>
      <c r="B220" s="11" t="str">
        <f>CONCATENATE("          ", "6282", " - ", "JANITORIAL/EXTERMINATOR EXPENS")</f>
        <v xml:space="preserve">          6282 - JANITORIAL/EXTERMINATOR EXPENS</v>
      </c>
      <c r="C220" s="11"/>
      <c r="D220" s="7">
        <v>5210.84</v>
      </c>
      <c r="E220" s="2"/>
      <c r="F220" s="6">
        <f t="shared" si="98"/>
        <v>1.0776277952048907E-2</v>
      </c>
      <c r="G220" s="2"/>
      <c r="H220" s="7">
        <v>8119</v>
      </c>
      <c r="I220" s="2"/>
      <c r="J220" s="6">
        <f t="shared" si="99"/>
        <v>9.979117476791392E-3</v>
      </c>
      <c r="K220" s="2"/>
      <c r="L220" s="7">
        <f t="shared" si="100"/>
        <v>-2908.16</v>
      </c>
      <c r="M220" s="2"/>
      <c r="N220" s="6">
        <f t="shared" si="101"/>
        <v>-0.35819189555363962</v>
      </c>
      <c r="O220" s="11"/>
      <c r="P220" s="7">
        <v>16063.16</v>
      </c>
      <c r="Q220" s="2"/>
      <c r="R220" s="6">
        <f t="shared" si="102"/>
        <v>3.123347057756169E-3</v>
      </c>
      <c r="S220" s="2"/>
      <c r="T220" s="7">
        <v>41958</v>
      </c>
      <c r="U220" s="2"/>
      <c r="V220" s="6">
        <f t="shared" si="103"/>
        <v>4.8700897353323629E-3</v>
      </c>
      <c r="W220" s="2"/>
      <c r="X220" s="7">
        <f t="shared" si="104"/>
        <v>-25894.84</v>
      </c>
      <c r="Y220" s="2"/>
      <c r="Z220" s="6">
        <f t="shared" si="105"/>
        <v>-0.61716097049430385</v>
      </c>
    </row>
    <row r="221" spans="1:26" s="24" customFormat="1" hidden="1" outlineLevel="2" x14ac:dyDescent="0.25">
      <c r="A221" s="29"/>
      <c r="B221" s="11" t="str">
        <f>CONCATENATE("          ", "6283", " - ", "PLANT SERVICE")</f>
        <v xml:space="preserve">          6283 - PLANT SERVICE</v>
      </c>
      <c r="C221" s="11"/>
      <c r="D221" s="7"/>
      <c r="E221" s="2"/>
      <c r="F221" s="6">
        <f t="shared" si="98"/>
        <v>0</v>
      </c>
      <c r="G221" s="2"/>
      <c r="H221" s="7">
        <v>0</v>
      </c>
      <c r="I221" s="2"/>
      <c r="J221" s="6">
        <f t="shared" si="99"/>
        <v>0</v>
      </c>
      <c r="K221" s="2"/>
      <c r="L221" s="7">
        <f t="shared" si="100"/>
        <v>0</v>
      </c>
      <c r="M221" s="2"/>
      <c r="N221" s="6">
        <f t="shared" si="101"/>
        <v>0</v>
      </c>
      <c r="O221" s="11"/>
      <c r="P221" s="7">
        <v>171.31</v>
      </c>
      <c r="Q221" s="2"/>
      <c r="R221" s="6">
        <f t="shared" si="102"/>
        <v>3.3309796108873305E-5</v>
      </c>
      <c r="S221" s="2"/>
      <c r="T221" s="7">
        <v>248</v>
      </c>
      <c r="U221" s="2"/>
      <c r="V221" s="6">
        <f t="shared" si="103"/>
        <v>2.8785505847810335E-5</v>
      </c>
      <c r="W221" s="2"/>
      <c r="X221" s="7">
        <f t="shared" si="104"/>
        <v>-76.69</v>
      </c>
      <c r="Y221" s="2"/>
      <c r="Z221" s="6">
        <f t="shared" si="105"/>
        <v>-0.30923387096774191</v>
      </c>
    </row>
    <row r="222" spans="1:26" s="24" customFormat="1" hidden="1" outlineLevel="2" x14ac:dyDescent="0.25">
      <c r="A222" s="29"/>
      <c r="B222" s="11" t="str">
        <f>CONCATENATE("          ", "6284", " - ", "TRASH REMOVAL EXPENSE")</f>
        <v xml:space="preserve">          6284 - TRASH REMOVAL EXPENSE</v>
      </c>
      <c r="C222" s="11"/>
      <c r="D222" s="7">
        <v>6225.89</v>
      </c>
      <c r="E222" s="2"/>
      <c r="F222" s="6">
        <f t="shared" si="98"/>
        <v>1.287545216104923E-2</v>
      </c>
      <c r="G222" s="2"/>
      <c r="H222" s="7">
        <v>5961</v>
      </c>
      <c r="I222" s="2"/>
      <c r="J222" s="6">
        <f t="shared" si="99"/>
        <v>7.3267051704832475E-3</v>
      </c>
      <c r="K222" s="2"/>
      <c r="L222" s="7">
        <f t="shared" si="100"/>
        <v>264.89000000000033</v>
      </c>
      <c r="M222" s="2"/>
      <c r="N222" s="6">
        <f t="shared" si="101"/>
        <v>4.4437174970642562E-2</v>
      </c>
      <c r="O222" s="11"/>
      <c r="P222" s="7">
        <v>20599.190000000002</v>
      </c>
      <c r="Q222" s="2"/>
      <c r="R222" s="6">
        <f t="shared" si="102"/>
        <v>4.005340137224575E-3</v>
      </c>
      <c r="S222" s="2"/>
      <c r="T222" s="7">
        <v>22531</v>
      </c>
      <c r="U222" s="2"/>
      <c r="V222" s="6">
        <f t="shared" si="103"/>
        <v>2.6151864203911883E-3</v>
      </c>
      <c r="W222" s="2"/>
      <c r="X222" s="7">
        <f t="shared" si="104"/>
        <v>-1931.8099999999977</v>
      </c>
      <c r="Y222" s="2"/>
      <c r="Z222" s="6">
        <f t="shared" si="105"/>
        <v>-8.5740091429585802E-2</v>
      </c>
    </row>
    <row r="223" spans="1:26" s="24" customFormat="1" hidden="1" outlineLevel="2" x14ac:dyDescent="0.25">
      <c r="A223" s="29"/>
      <c r="B223" s="11" t="str">
        <f>CONCATENATE("          ", "6285", " - ", "JANITORIAL SERVICES")</f>
        <v xml:space="preserve">          6285 - JANITORIAL SERVICES</v>
      </c>
      <c r="C223" s="11"/>
      <c r="D223" s="7">
        <v>13739.48</v>
      </c>
      <c r="E223" s="2"/>
      <c r="F223" s="6">
        <f t="shared" si="98"/>
        <v>2.8413932378775191E-2</v>
      </c>
      <c r="G223" s="2"/>
      <c r="H223" s="7">
        <v>16490</v>
      </c>
      <c r="I223" s="2"/>
      <c r="J223" s="6">
        <f t="shared" si="99"/>
        <v>2.0267969847553892E-2</v>
      </c>
      <c r="K223" s="2"/>
      <c r="L223" s="7">
        <f t="shared" si="100"/>
        <v>-2750.5200000000004</v>
      </c>
      <c r="M223" s="2"/>
      <c r="N223" s="6">
        <f t="shared" si="101"/>
        <v>-0.16679927228623412</v>
      </c>
      <c r="O223" s="11"/>
      <c r="P223" s="7">
        <v>74070.070000000007</v>
      </c>
      <c r="Q223" s="2"/>
      <c r="R223" s="6">
        <f t="shared" si="102"/>
        <v>1.4402305349775107E-2</v>
      </c>
      <c r="S223" s="2"/>
      <c r="T223" s="7">
        <v>98679</v>
      </c>
      <c r="U223" s="2"/>
      <c r="V223" s="6">
        <f t="shared" si="103"/>
        <v>1.1453729562726113E-2</v>
      </c>
      <c r="W223" s="2"/>
      <c r="X223" s="7">
        <f t="shared" si="104"/>
        <v>-24608.929999999993</v>
      </c>
      <c r="Y223" s="2"/>
      <c r="Z223" s="6">
        <f t="shared" si="105"/>
        <v>-0.24938365812381552</v>
      </c>
    </row>
    <row r="224" spans="1:26" s="24" customFormat="1" hidden="1" outlineLevel="2" x14ac:dyDescent="0.25">
      <c r="A224" s="29"/>
      <c r="B224" s="11" t="str">
        <f>CONCATENATE("          ", "6286", " - ", "LAUNDRY EXPENSE")</f>
        <v xml:space="preserve">          6286 - LAUNDRY EXPENSE</v>
      </c>
      <c r="C224" s="11"/>
      <c r="D224" s="7">
        <v>2086.61</v>
      </c>
      <c r="E224" s="2"/>
      <c r="F224" s="6">
        <f t="shared" si="98"/>
        <v>4.3152139266461401E-3</v>
      </c>
      <c r="G224" s="2"/>
      <c r="H224" s="7">
        <v>4604</v>
      </c>
      <c r="I224" s="2"/>
      <c r="J224" s="6">
        <f t="shared" si="99"/>
        <v>5.65880734858327E-3</v>
      </c>
      <c r="K224" s="2"/>
      <c r="L224" s="7">
        <f t="shared" si="100"/>
        <v>-2517.39</v>
      </c>
      <c r="M224" s="2"/>
      <c r="N224" s="6">
        <f t="shared" si="101"/>
        <v>-0.54678323197219802</v>
      </c>
      <c r="O224" s="11"/>
      <c r="P224" s="7">
        <v>10849.16</v>
      </c>
      <c r="Q224" s="2"/>
      <c r="R224" s="6">
        <f t="shared" si="102"/>
        <v>2.1095283845224675E-3</v>
      </c>
      <c r="S224" s="2"/>
      <c r="T224" s="7">
        <v>27585</v>
      </c>
      <c r="U224" s="2"/>
      <c r="V224" s="6">
        <f t="shared" si="103"/>
        <v>3.2018071726284195E-3</v>
      </c>
      <c r="W224" s="2"/>
      <c r="X224" s="7">
        <f t="shared" si="104"/>
        <v>-16735.84</v>
      </c>
      <c r="Y224" s="2"/>
      <c r="Z224" s="6">
        <f t="shared" si="105"/>
        <v>-0.6067007431575131</v>
      </c>
    </row>
    <row r="225" spans="1:26" s="28" customFormat="1" outlineLevel="1" collapsed="1" x14ac:dyDescent="0.25">
      <c r="A225" s="27"/>
      <c r="B225" s="14" t="str">
        <f>CONCATENATE("     ","Subscriptions &amp; Dues                              ")</f>
        <v xml:space="preserve">     Subscriptions &amp; Dues                              </v>
      </c>
      <c r="C225" s="14"/>
      <c r="D225" s="1">
        <f>SUM(OSRRefD22_21x_0)</f>
        <v>343.27</v>
      </c>
      <c r="E225" s="1"/>
      <c r="F225" s="5">
        <f t="shared" ref="F225:F227" si="106">IF(D$12=0,0,D225/D$12)</f>
        <v>7.0989954260730094E-4</v>
      </c>
      <c r="G225" s="1"/>
      <c r="H225" s="1">
        <f>SUM(OSRRefH22_21x_0)</f>
        <v>2373</v>
      </c>
      <c r="I225" s="1"/>
      <c r="J225" s="5">
        <f t="shared" ref="J225:J227" si="107">IF(H$12=0,0,H225/H$12)</f>
        <v>2.9166702515612728E-3</v>
      </c>
      <c r="K225" s="1"/>
      <c r="L225" s="1">
        <f t="shared" ref="L225:L227" si="108">+D225-H225</f>
        <v>-2029.73</v>
      </c>
      <c r="M225" s="1"/>
      <c r="N225" s="5">
        <f t="shared" ref="N225:N227" si="109">IF(H225=0,0,L225/H225)</f>
        <v>-0.85534344711335863</v>
      </c>
      <c r="O225" s="14"/>
      <c r="P225" s="1">
        <f>SUM(OSRRefP22_21x_0)</f>
        <v>2784.61</v>
      </c>
      <c r="Q225" s="1"/>
      <c r="R225" s="5">
        <f t="shared" ref="R225:R227" si="110">IF(P$12=0,0,P225/P$12)</f>
        <v>5.4144411501213998E-4</v>
      </c>
      <c r="S225" s="1"/>
      <c r="T225" s="1">
        <f>SUM(OSRRefT22_21x_0)</f>
        <v>11133</v>
      </c>
      <c r="U225" s="1"/>
      <c r="V225" s="5">
        <f t="shared" ref="V225:V227" si="111">IF(T$12=0,0,T225/T$12)</f>
        <v>1.2922138572728729E-3</v>
      </c>
      <c r="W225" s="1"/>
      <c r="X225" s="1">
        <f t="shared" ref="X225:X227" si="112">+P225-T225</f>
        <v>-8348.39</v>
      </c>
      <c r="Y225" s="1"/>
      <c r="Z225" s="5">
        <f t="shared" ref="Z225:Z227" si="113">IF(T225=0,0,X225/T225)</f>
        <v>-0.74987784065391172</v>
      </c>
    </row>
    <row r="226" spans="1:26" s="24" customFormat="1" hidden="1" outlineLevel="2" x14ac:dyDescent="0.25">
      <c r="A226" s="29"/>
      <c r="B226" s="11" t="str">
        <f>CONCATENATE("          ", "6258", " - ", "MEMBERSHIP DUES")</f>
        <v xml:space="preserve">          6258 - MEMBERSHIP DUES</v>
      </c>
      <c r="C226" s="11"/>
      <c r="D226" s="7">
        <v>80.430000000000007</v>
      </c>
      <c r="E226" s="2"/>
      <c r="F226" s="6">
        <f t="shared" si="106"/>
        <v>1.6633326597694301E-4</v>
      </c>
      <c r="G226" s="2"/>
      <c r="H226" s="7">
        <v>2000</v>
      </c>
      <c r="I226" s="2"/>
      <c r="J226" s="6">
        <f t="shared" si="107"/>
        <v>2.4582134442151476E-3</v>
      </c>
      <c r="K226" s="2"/>
      <c r="L226" s="7">
        <f t="shared" si="108"/>
        <v>-1919.57</v>
      </c>
      <c r="M226" s="2"/>
      <c r="N226" s="6">
        <f t="shared" si="109"/>
        <v>-0.959785</v>
      </c>
      <c r="O226" s="11"/>
      <c r="P226" s="7">
        <v>2024.71</v>
      </c>
      <c r="Q226" s="2"/>
      <c r="R226" s="6">
        <f t="shared" si="110"/>
        <v>3.9368791827445494E-4</v>
      </c>
      <c r="S226" s="2"/>
      <c r="T226" s="7">
        <v>8895</v>
      </c>
      <c r="U226" s="2"/>
      <c r="V226" s="6">
        <f t="shared" si="111"/>
        <v>1.0324478811140037E-3</v>
      </c>
      <c r="W226" s="2"/>
      <c r="X226" s="7">
        <f t="shared" si="112"/>
        <v>-6870.29</v>
      </c>
      <c r="Y226" s="2"/>
      <c r="Z226" s="6">
        <f t="shared" si="113"/>
        <v>-0.77237661607644748</v>
      </c>
    </row>
    <row r="227" spans="1:26" s="24" customFormat="1" hidden="1" outlineLevel="2" x14ac:dyDescent="0.25">
      <c r="A227" s="29"/>
      <c r="B227" s="11" t="str">
        <f>CONCATENATE("          ", "6275", " - ", "SUBSCRIPTIONS")</f>
        <v xml:space="preserve">          6275 - SUBSCRIPTIONS</v>
      </c>
      <c r="C227" s="11"/>
      <c r="D227" s="7">
        <v>262.83999999999997</v>
      </c>
      <c r="E227" s="2"/>
      <c r="F227" s="6">
        <f t="shared" si="106"/>
        <v>5.4356627663035794E-4</v>
      </c>
      <c r="G227" s="2"/>
      <c r="H227" s="7">
        <v>373</v>
      </c>
      <c r="I227" s="2"/>
      <c r="J227" s="6">
        <f t="shared" si="107"/>
        <v>4.5845680734612506E-4</v>
      </c>
      <c r="K227" s="2"/>
      <c r="L227" s="7">
        <f t="shared" si="108"/>
        <v>-110.16000000000003</v>
      </c>
      <c r="M227" s="2"/>
      <c r="N227" s="6">
        <f t="shared" si="109"/>
        <v>-0.2953351206434317</v>
      </c>
      <c r="O227" s="11"/>
      <c r="P227" s="7">
        <v>759.9</v>
      </c>
      <c r="Q227" s="2"/>
      <c r="R227" s="6">
        <f t="shared" si="110"/>
        <v>1.4775619673768503E-4</v>
      </c>
      <c r="S227" s="2"/>
      <c r="T227" s="7">
        <v>2238</v>
      </c>
      <c r="U227" s="2"/>
      <c r="V227" s="6">
        <f t="shared" si="111"/>
        <v>2.5976597615886909E-4</v>
      </c>
      <c r="W227" s="2"/>
      <c r="X227" s="7">
        <f t="shared" si="112"/>
        <v>-1478.1</v>
      </c>
      <c r="Y227" s="2"/>
      <c r="Z227" s="6">
        <f t="shared" si="113"/>
        <v>-0.66045576407506701</v>
      </c>
    </row>
    <row r="228" spans="1:26" s="28" customFormat="1" outlineLevel="1" collapsed="1" x14ac:dyDescent="0.25">
      <c r="A228" s="27"/>
      <c r="B228" s="14" t="str">
        <f>CONCATENATE("     ","Supplies                                          ")</f>
        <v xml:space="preserve">     Supplies                                          </v>
      </c>
      <c r="C228" s="14"/>
      <c r="D228" s="1">
        <f>SUM(OSRRefD22_22x_0)</f>
        <v>20744.980000000003</v>
      </c>
      <c r="E228" s="1"/>
      <c r="F228" s="5">
        <f t="shared" ref="F228:F239" si="114">IF(D$12=0,0,D228/D$12)</f>
        <v>4.2901657043719552E-2</v>
      </c>
      <c r="G228" s="1"/>
      <c r="H228" s="1">
        <f>SUM(OSRRefH22_22x_0)</f>
        <v>46523</v>
      </c>
      <c r="I228" s="1"/>
      <c r="J228" s="5">
        <f t="shared" ref="J228:J239" si="115">IF(H$12=0,0,H228/H$12)</f>
        <v>5.7181732032610656E-2</v>
      </c>
      <c r="K228" s="1"/>
      <c r="L228" s="1">
        <f t="shared" ref="L228:L239" si="116">+D228-H228</f>
        <v>-25778.019999999997</v>
      </c>
      <c r="M228" s="1"/>
      <c r="N228" s="5">
        <f t="shared" ref="N228:N239" si="117">IF(H228=0,0,L228/H228)</f>
        <v>-0.55409195451712046</v>
      </c>
      <c r="O228" s="14"/>
      <c r="P228" s="1">
        <f>SUM(OSRRefP22_22x_0)</f>
        <v>190639.92</v>
      </c>
      <c r="Q228" s="1"/>
      <c r="R228" s="5">
        <f t="shared" ref="R228:R239" si="118">IF(P$12=0,0,P228/P$12)</f>
        <v>3.7068337314878984E-2</v>
      </c>
      <c r="S228" s="1"/>
      <c r="T228" s="1">
        <f>SUM(OSRRefT22_22x_0)</f>
        <v>327989</v>
      </c>
      <c r="U228" s="1"/>
      <c r="V228" s="5">
        <f t="shared" ref="V228:V239" si="119">IF(T$12=0,0,T228/T$12)</f>
        <v>3.8069876119022031E-2</v>
      </c>
      <c r="W228" s="1"/>
      <c r="X228" s="1">
        <f t="shared" ref="X228:X239" si="120">+P228-T228</f>
        <v>-137349.07999999999</v>
      </c>
      <c r="Y228" s="1"/>
      <c r="Z228" s="5">
        <f t="shared" ref="Z228:Z239" si="121">IF(T228=0,0,X228/T228)</f>
        <v>-0.41876123894398892</v>
      </c>
    </row>
    <row r="229" spans="1:26" s="24" customFormat="1" hidden="1" outlineLevel="2" x14ac:dyDescent="0.25">
      <c r="A229" s="29"/>
      <c r="B229" s="11" t="str">
        <f>CONCATENATE("          ", "6234", " - ", "EXPENDABLE SUPPLIES &amp; EQUIPMEN")</f>
        <v xml:space="preserve">          6234 - EXPENDABLE SUPPLIES &amp; EQUIPMEN</v>
      </c>
      <c r="C229" s="11"/>
      <c r="D229" s="7"/>
      <c r="E229" s="2"/>
      <c r="F229" s="6">
        <f t="shared" si="114"/>
        <v>0</v>
      </c>
      <c r="G229" s="2"/>
      <c r="H229" s="7">
        <v>7250</v>
      </c>
      <c r="I229" s="2"/>
      <c r="J229" s="6">
        <f t="shared" si="115"/>
        <v>8.9110237352799104E-3</v>
      </c>
      <c r="K229" s="2"/>
      <c r="L229" s="7">
        <f t="shared" si="116"/>
        <v>-7250</v>
      </c>
      <c r="M229" s="2"/>
      <c r="N229" s="6">
        <f t="shared" si="117"/>
        <v>-1</v>
      </c>
      <c r="O229" s="11"/>
      <c r="P229" s="7">
        <v>178.24</v>
      </c>
      <c r="Q229" s="2"/>
      <c r="R229" s="6">
        <f t="shared" si="118"/>
        <v>3.4657276623930756E-5</v>
      </c>
      <c r="S229" s="2"/>
      <c r="T229" s="7">
        <v>43596</v>
      </c>
      <c r="U229" s="2"/>
      <c r="V229" s="6">
        <f t="shared" si="119"/>
        <v>5.0602133586336263E-3</v>
      </c>
      <c r="W229" s="2"/>
      <c r="X229" s="7">
        <f t="shared" si="120"/>
        <v>-43417.760000000002</v>
      </c>
      <c r="Y229" s="2"/>
      <c r="Z229" s="6">
        <f t="shared" si="121"/>
        <v>-0.99591155151848798</v>
      </c>
    </row>
    <row r="230" spans="1:26" s="24" customFormat="1" hidden="1" outlineLevel="2" x14ac:dyDescent="0.25">
      <c r="A230" s="29"/>
      <c r="B230" s="11" t="str">
        <f>CONCATENATE("          ", "6235", " - ", "COVID-19 EXPENSES")</f>
        <v xml:space="preserve">          6235 - COVID-19 EXPENSES</v>
      </c>
      <c r="C230" s="11"/>
      <c r="D230" s="7">
        <v>7636.18</v>
      </c>
      <c r="E230" s="2"/>
      <c r="F230" s="6">
        <f t="shared" si="114"/>
        <v>1.5792002474049639E-2</v>
      </c>
      <c r="G230" s="2"/>
      <c r="H230" s="7">
        <v>13100</v>
      </c>
      <c r="I230" s="2"/>
      <c r="J230" s="6">
        <f t="shared" si="115"/>
        <v>1.6101298059609217E-2</v>
      </c>
      <c r="K230" s="2"/>
      <c r="L230" s="7">
        <f t="shared" si="116"/>
        <v>-5463.82</v>
      </c>
      <c r="M230" s="2"/>
      <c r="N230" s="6">
        <f t="shared" si="117"/>
        <v>-0.41708549618320606</v>
      </c>
      <c r="O230" s="11"/>
      <c r="P230" s="7">
        <v>86862.23</v>
      </c>
      <c r="Q230" s="2"/>
      <c r="R230" s="6">
        <f t="shared" si="118"/>
        <v>1.6889633826758847E-2</v>
      </c>
      <c r="S230" s="2"/>
      <c r="T230" s="7">
        <v>131700</v>
      </c>
      <c r="U230" s="2"/>
      <c r="V230" s="6">
        <f t="shared" si="119"/>
        <v>1.528649645224444E-2</v>
      </c>
      <c r="W230" s="2"/>
      <c r="X230" s="7">
        <f t="shared" si="120"/>
        <v>-44837.770000000004</v>
      </c>
      <c r="Y230" s="2"/>
      <c r="Z230" s="6">
        <f t="shared" si="121"/>
        <v>-0.34045383447228555</v>
      </c>
    </row>
    <row r="231" spans="1:26" s="24" customFormat="1" hidden="1" outlineLevel="2" x14ac:dyDescent="0.25">
      <c r="A231" s="29"/>
      <c r="B231" s="11" t="str">
        <f>CONCATENATE("          ", "6237", " - ", "JANITORIAL SUPPLIES")</f>
        <v xml:space="preserve">          6237 - JANITORIAL SUPPLIES</v>
      </c>
      <c r="C231" s="11"/>
      <c r="D231" s="7">
        <v>5239.58</v>
      </c>
      <c r="E231" s="2"/>
      <c r="F231" s="6">
        <f t="shared" si="114"/>
        <v>1.083571371064865E-2</v>
      </c>
      <c r="G231" s="2"/>
      <c r="H231" s="7">
        <v>11417</v>
      </c>
      <c r="I231" s="2"/>
      <c r="J231" s="6">
        <f t="shared" si="115"/>
        <v>1.403271144630217E-2</v>
      </c>
      <c r="K231" s="2"/>
      <c r="L231" s="7">
        <f t="shared" si="116"/>
        <v>-6177.42</v>
      </c>
      <c r="M231" s="2"/>
      <c r="N231" s="6">
        <f t="shared" si="117"/>
        <v>-0.54107208548655517</v>
      </c>
      <c r="O231" s="11"/>
      <c r="P231" s="7">
        <v>15674.809999999998</v>
      </c>
      <c r="Q231" s="2"/>
      <c r="R231" s="6">
        <f t="shared" si="118"/>
        <v>3.0478356496721048E-3</v>
      </c>
      <c r="S231" s="2"/>
      <c r="T231" s="7">
        <v>57719</v>
      </c>
      <c r="U231" s="2"/>
      <c r="V231" s="6">
        <f t="shared" si="119"/>
        <v>6.6994782743135676E-3</v>
      </c>
      <c r="W231" s="2"/>
      <c r="X231" s="7">
        <f t="shared" si="120"/>
        <v>-42044.19</v>
      </c>
      <c r="Y231" s="2"/>
      <c r="Z231" s="6">
        <f t="shared" si="121"/>
        <v>-0.72842894021032945</v>
      </c>
    </row>
    <row r="232" spans="1:26" s="24" customFormat="1" hidden="1" outlineLevel="2" x14ac:dyDescent="0.25">
      <c r="A232" s="29"/>
      <c r="B232" s="11" t="str">
        <f>CONCATENATE("          ", "6239", " - ", "KITCHEN SUPPLIES")</f>
        <v xml:space="preserve">          6239 - KITCHEN SUPPLIES</v>
      </c>
      <c r="C232" s="11"/>
      <c r="D232" s="7">
        <v>148.04</v>
      </c>
      <c r="E232" s="2"/>
      <c r="F232" s="6">
        <f t="shared" si="114"/>
        <v>3.0615413024029142E-4</v>
      </c>
      <c r="G232" s="2"/>
      <c r="H232" s="7">
        <v>2300</v>
      </c>
      <c r="I232" s="2"/>
      <c r="J232" s="6">
        <f t="shared" si="115"/>
        <v>2.8269454608474201E-3</v>
      </c>
      <c r="K232" s="2"/>
      <c r="L232" s="7">
        <f t="shared" si="116"/>
        <v>-2151.96</v>
      </c>
      <c r="M232" s="2"/>
      <c r="N232" s="6">
        <f t="shared" si="117"/>
        <v>-0.9356347826086957</v>
      </c>
      <c r="O232" s="11"/>
      <c r="P232" s="7">
        <v>5834.38</v>
      </c>
      <c r="Q232" s="2"/>
      <c r="R232" s="6">
        <f t="shared" si="118"/>
        <v>1.1344463733680944E-3</v>
      </c>
      <c r="S232" s="2"/>
      <c r="T232" s="7">
        <v>13232</v>
      </c>
      <c r="U232" s="2"/>
      <c r="V232" s="6">
        <f t="shared" si="119"/>
        <v>1.5358460216863966E-3</v>
      </c>
      <c r="W232" s="2"/>
      <c r="X232" s="7">
        <f t="shared" si="120"/>
        <v>-7397.62</v>
      </c>
      <c r="Y232" s="2"/>
      <c r="Z232" s="6">
        <f t="shared" si="121"/>
        <v>-0.55907043530834344</v>
      </c>
    </row>
    <row r="233" spans="1:26" s="24" customFormat="1" hidden="1" outlineLevel="2" x14ac:dyDescent="0.25">
      <c r="A233" s="29"/>
      <c r="B233" s="11" t="str">
        <f>CONCATENATE("          ", "6241", " - ", "OFFICE EXPENSE")</f>
        <v xml:space="preserve">          6241 - OFFICE EXPENSE</v>
      </c>
      <c r="C233" s="11"/>
      <c r="D233" s="7">
        <v>2093.0700000000002</v>
      </c>
      <c r="E233" s="2"/>
      <c r="F233" s="6">
        <f t="shared" si="114"/>
        <v>4.3285735300057204E-3</v>
      </c>
      <c r="G233" s="2"/>
      <c r="H233" s="7">
        <v>2060</v>
      </c>
      <c r="I233" s="2"/>
      <c r="J233" s="6">
        <f t="shared" si="115"/>
        <v>2.5319598475416023E-3</v>
      </c>
      <c r="K233" s="2"/>
      <c r="L233" s="7">
        <f t="shared" si="116"/>
        <v>33.070000000000164</v>
      </c>
      <c r="M233" s="2"/>
      <c r="N233" s="6">
        <f t="shared" si="117"/>
        <v>1.6053398058252507E-2</v>
      </c>
      <c r="O233" s="11"/>
      <c r="P233" s="7">
        <v>26446.17</v>
      </c>
      <c r="Q233" s="2"/>
      <c r="R233" s="6">
        <f t="shared" si="118"/>
        <v>5.1422364751655004E-3</v>
      </c>
      <c r="S233" s="2"/>
      <c r="T233" s="7">
        <v>15172</v>
      </c>
      <c r="U233" s="2"/>
      <c r="V233" s="6">
        <f t="shared" si="119"/>
        <v>1.7610229625926548E-3</v>
      </c>
      <c r="W233" s="2"/>
      <c r="X233" s="7">
        <f t="shared" si="120"/>
        <v>11274.169999999998</v>
      </c>
      <c r="Y233" s="2"/>
      <c r="Z233" s="6">
        <f t="shared" si="121"/>
        <v>0.74309056156076969</v>
      </c>
    </row>
    <row r="234" spans="1:26" s="24" customFormat="1" hidden="1" outlineLevel="2" x14ac:dyDescent="0.25">
      <c r="A234" s="29"/>
      <c r="B234" s="11" t="str">
        <f>CONCATENATE("          ", "6243", " - ", "PAPER SUPPLIES")</f>
        <v xml:space="preserve">          6243 - PAPER SUPPLIES</v>
      </c>
      <c r="C234" s="11"/>
      <c r="D234" s="7">
        <v>3777.57</v>
      </c>
      <c r="E234" s="2"/>
      <c r="F234" s="6">
        <f t="shared" si="114"/>
        <v>7.8122038487693718E-3</v>
      </c>
      <c r="G234" s="2"/>
      <c r="H234" s="7">
        <v>4106</v>
      </c>
      <c r="I234" s="2"/>
      <c r="J234" s="6">
        <f t="shared" si="115"/>
        <v>5.0467122009736987E-3</v>
      </c>
      <c r="K234" s="2"/>
      <c r="L234" s="7">
        <f t="shared" si="116"/>
        <v>-328.42999999999984</v>
      </c>
      <c r="M234" s="2"/>
      <c r="N234" s="6">
        <f t="shared" si="117"/>
        <v>-7.9987822698489974E-2</v>
      </c>
      <c r="O234" s="11"/>
      <c r="P234" s="7">
        <v>20439.560000000001</v>
      </c>
      <c r="Q234" s="2"/>
      <c r="R234" s="6">
        <f t="shared" si="118"/>
        <v>3.9743014193863906E-3</v>
      </c>
      <c r="S234" s="2"/>
      <c r="T234" s="7">
        <v>15524</v>
      </c>
      <c r="U234" s="2"/>
      <c r="V234" s="6">
        <f t="shared" si="119"/>
        <v>1.8018798096024501E-3</v>
      </c>
      <c r="W234" s="2"/>
      <c r="X234" s="7">
        <f t="shared" si="120"/>
        <v>4915.5600000000013</v>
      </c>
      <c r="Y234" s="2"/>
      <c r="Z234" s="6">
        <f t="shared" si="121"/>
        <v>0.31664261788198927</v>
      </c>
    </row>
    <row r="235" spans="1:26" s="24" customFormat="1" hidden="1" outlineLevel="2" x14ac:dyDescent="0.25">
      <c r="A235" s="29"/>
      <c r="B235" s="11" t="str">
        <f>CONCATENATE("          ", "6244", " - ", "SAFETY SUPPLY EXPENSE")</f>
        <v xml:space="preserve">          6244 - SAFETY SUPPLY EXPENSE</v>
      </c>
      <c r="C235" s="11"/>
      <c r="D235" s="7"/>
      <c r="E235" s="2"/>
      <c r="F235" s="6">
        <f t="shared" si="114"/>
        <v>0</v>
      </c>
      <c r="G235" s="2"/>
      <c r="H235" s="7">
        <v>120</v>
      </c>
      <c r="I235" s="2"/>
      <c r="J235" s="6">
        <f t="shared" si="115"/>
        <v>1.4749280665290887E-4</v>
      </c>
      <c r="K235" s="2"/>
      <c r="L235" s="7">
        <f t="shared" si="116"/>
        <v>-120</v>
      </c>
      <c r="M235" s="2"/>
      <c r="N235" s="6">
        <f t="shared" si="117"/>
        <v>-1</v>
      </c>
      <c r="O235" s="11"/>
      <c r="P235" s="7"/>
      <c r="Q235" s="2"/>
      <c r="R235" s="6">
        <f t="shared" si="118"/>
        <v>0</v>
      </c>
      <c r="S235" s="2"/>
      <c r="T235" s="7">
        <v>850</v>
      </c>
      <c r="U235" s="2"/>
      <c r="V235" s="6">
        <f t="shared" si="119"/>
        <v>9.8659999881608003E-5</v>
      </c>
      <c r="W235" s="2"/>
      <c r="X235" s="7">
        <f t="shared" si="120"/>
        <v>-850</v>
      </c>
      <c r="Y235" s="2"/>
      <c r="Z235" s="6">
        <f t="shared" si="121"/>
        <v>-1</v>
      </c>
    </row>
    <row r="236" spans="1:26" s="24" customFormat="1" hidden="1" outlineLevel="2" x14ac:dyDescent="0.25">
      <c r="A236" s="29"/>
      <c r="B236" s="11" t="str">
        <f>CONCATENATE("          ", "6245", " - ", "PRINTING")</f>
        <v xml:space="preserve">          6245 - PRINTING</v>
      </c>
      <c r="C236" s="11"/>
      <c r="D236" s="7"/>
      <c r="E236" s="2"/>
      <c r="F236" s="6">
        <f t="shared" si="114"/>
        <v>0</v>
      </c>
      <c r="G236" s="2"/>
      <c r="H236" s="7">
        <v>800</v>
      </c>
      <c r="I236" s="2"/>
      <c r="J236" s="6">
        <f t="shared" si="115"/>
        <v>9.8328537768605905E-4</v>
      </c>
      <c r="K236" s="2"/>
      <c r="L236" s="7">
        <f t="shared" si="116"/>
        <v>-800</v>
      </c>
      <c r="M236" s="2"/>
      <c r="N236" s="6">
        <f t="shared" si="117"/>
        <v>-1</v>
      </c>
      <c r="O236" s="11"/>
      <c r="P236" s="7">
        <v>508.27</v>
      </c>
      <c r="Q236" s="2"/>
      <c r="R236" s="6">
        <f t="shared" si="118"/>
        <v>9.8828848685173282E-5</v>
      </c>
      <c r="S236" s="2"/>
      <c r="T236" s="7">
        <v>4700</v>
      </c>
      <c r="U236" s="2"/>
      <c r="V236" s="6">
        <f t="shared" si="119"/>
        <v>5.4553176405124429E-4</v>
      </c>
      <c r="W236" s="2"/>
      <c r="X236" s="7">
        <f t="shared" si="120"/>
        <v>-4191.7299999999996</v>
      </c>
      <c r="Y236" s="2"/>
      <c r="Z236" s="6">
        <f t="shared" si="121"/>
        <v>-0.89185744680851053</v>
      </c>
    </row>
    <row r="237" spans="1:26" s="24" customFormat="1" hidden="1" outlineLevel="2" x14ac:dyDescent="0.25">
      <c r="A237" s="29"/>
      <c r="B237" s="11" t="str">
        <f>CONCATENATE("          ", "6246", " - ", "REPLACEMENTS")</f>
        <v xml:space="preserve">          6246 - REPLACEMENTS</v>
      </c>
      <c r="C237" s="11"/>
      <c r="D237" s="7"/>
      <c r="E237" s="2"/>
      <c r="F237" s="6">
        <f t="shared" si="114"/>
        <v>0</v>
      </c>
      <c r="G237" s="2"/>
      <c r="H237" s="7">
        <v>0</v>
      </c>
      <c r="I237" s="2"/>
      <c r="J237" s="6">
        <f t="shared" si="115"/>
        <v>0</v>
      </c>
      <c r="K237" s="2"/>
      <c r="L237" s="7">
        <f t="shared" si="116"/>
        <v>0</v>
      </c>
      <c r="M237" s="2"/>
      <c r="N237" s="6">
        <f t="shared" si="117"/>
        <v>0</v>
      </c>
      <c r="O237" s="11"/>
      <c r="P237" s="7"/>
      <c r="Q237" s="2"/>
      <c r="R237" s="6">
        <f t="shared" si="118"/>
        <v>0</v>
      </c>
      <c r="S237" s="2"/>
      <c r="T237" s="7">
        <v>0</v>
      </c>
      <c r="U237" s="2"/>
      <c r="V237" s="6">
        <f t="shared" si="119"/>
        <v>0</v>
      </c>
      <c r="W237" s="2"/>
      <c r="X237" s="7">
        <f t="shared" si="120"/>
        <v>0</v>
      </c>
      <c r="Y237" s="2"/>
      <c r="Z237" s="6">
        <f t="shared" si="121"/>
        <v>0</v>
      </c>
    </row>
    <row r="238" spans="1:26" s="24" customFormat="1" hidden="1" outlineLevel="2" x14ac:dyDescent="0.25">
      <c r="A238" s="29"/>
      <c r="B238" s="11" t="str">
        <f>CONCATENATE("          ", "6247", " - ", "STORE SUPPLIES")</f>
        <v xml:space="preserve">          6247 - STORE SUPPLIES</v>
      </c>
      <c r="C238" s="11"/>
      <c r="D238" s="7">
        <v>1850.54</v>
      </c>
      <c r="E238" s="2"/>
      <c r="F238" s="6">
        <f t="shared" si="114"/>
        <v>3.8270093500058695E-3</v>
      </c>
      <c r="G238" s="2"/>
      <c r="H238" s="7">
        <v>3370</v>
      </c>
      <c r="I238" s="2"/>
      <c r="J238" s="6">
        <f t="shared" si="115"/>
        <v>4.1420896535025236E-3</v>
      </c>
      <c r="K238" s="2"/>
      <c r="L238" s="7">
        <f t="shared" si="116"/>
        <v>-1519.46</v>
      </c>
      <c r="M238" s="2"/>
      <c r="N238" s="6">
        <f t="shared" si="117"/>
        <v>-0.45087833827893176</v>
      </c>
      <c r="O238" s="11"/>
      <c r="P238" s="7">
        <v>30195.670000000002</v>
      </c>
      <c r="Q238" s="2"/>
      <c r="R238" s="6">
        <f t="shared" si="118"/>
        <v>5.8712953772157052E-3</v>
      </c>
      <c r="S238" s="2"/>
      <c r="T238" s="7">
        <v>28946</v>
      </c>
      <c r="U238" s="2"/>
      <c r="V238" s="6">
        <f t="shared" si="119"/>
        <v>3.3597792430270883E-3</v>
      </c>
      <c r="W238" s="2"/>
      <c r="X238" s="7">
        <f t="shared" si="120"/>
        <v>1249.6700000000019</v>
      </c>
      <c r="Y238" s="2"/>
      <c r="Z238" s="6">
        <f t="shared" si="121"/>
        <v>4.3172459061701161E-2</v>
      </c>
    </row>
    <row r="239" spans="1:26" s="24" customFormat="1" hidden="1" outlineLevel="2" x14ac:dyDescent="0.25">
      <c r="A239" s="29"/>
      <c r="B239" s="11" t="str">
        <f>CONCATENATE("          ", "6248", " - ", "UNIFORMS")</f>
        <v xml:space="preserve">          6248 - UNIFORMS</v>
      </c>
      <c r="C239" s="11"/>
      <c r="D239" s="7"/>
      <c r="E239" s="2"/>
      <c r="F239" s="6">
        <f t="shared" si="114"/>
        <v>0</v>
      </c>
      <c r="G239" s="2"/>
      <c r="H239" s="7">
        <v>2000</v>
      </c>
      <c r="I239" s="2"/>
      <c r="J239" s="6">
        <f t="shared" si="115"/>
        <v>2.4582134442151476E-3</v>
      </c>
      <c r="K239" s="2"/>
      <c r="L239" s="7">
        <f t="shared" si="116"/>
        <v>-2000</v>
      </c>
      <c r="M239" s="2"/>
      <c r="N239" s="6">
        <f t="shared" si="117"/>
        <v>-1</v>
      </c>
      <c r="O239" s="11"/>
      <c r="P239" s="7">
        <v>4500.59</v>
      </c>
      <c r="Q239" s="2"/>
      <c r="R239" s="6">
        <f t="shared" si="118"/>
        <v>8.7510206800323455E-4</v>
      </c>
      <c r="S239" s="2"/>
      <c r="T239" s="7">
        <v>16550</v>
      </c>
      <c r="U239" s="2"/>
      <c r="V239" s="6">
        <f t="shared" si="119"/>
        <v>1.9209682329889557E-3</v>
      </c>
      <c r="W239" s="2"/>
      <c r="X239" s="7">
        <f t="shared" si="120"/>
        <v>-12049.41</v>
      </c>
      <c r="Y239" s="2"/>
      <c r="Z239" s="6">
        <f t="shared" si="121"/>
        <v>-0.72806102719033228</v>
      </c>
    </row>
    <row r="240" spans="1:26" s="28" customFormat="1" outlineLevel="1" collapsed="1" x14ac:dyDescent="0.25">
      <c r="A240" s="27"/>
      <c r="B240" s="14" t="str">
        <f>CONCATENATE("     ","Telephone/Data Lines                              ")</f>
        <v xml:space="preserve">     Telephone/Data Lines                              </v>
      </c>
      <c r="C240" s="14"/>
      <c r="D240" s="1">
        <f>SUM(OSRRefD22_23x_0)</f>
        <v>3757.29</v>
      </c>
      <c r="E240" s="1"/>
      <c r="F240" s="5">
        <f t="shared" ref="F240:F242" si="122">IF(D$12=0,0,D240/D$12)</f>
        <v>7.7702637936405338E-3</v>
      </c>
      <c r="G240" s="1"/>
      <c r="H240" s="1">
        <f>SUM(OSRRefH22_23x_0)</f>
        <v>4889</v>
      </c>
      <c r="I240" s="1"/>
      <c r="J240" s="5">
        <f t="shared" ref="J240:J242" si="123">IF(H$12=0,0,H240/H$12)</f>
        <v>6.0091027643839291E-3</v>
      </c>
      <c r="K240" s="1"/>
      <c r="L240" s="1">
        <f t="shared" ref="L240:L242" si="124">+D240-H240</f>
        <v>-1131.71</v>
      </c>
      <c r="M240" s="1"/>
      <c r="N240" s="5">
        <f t="shared" ref="N240:N242" si="125">IF(H240=0,0,L240/H240)</f>
        <v>-0.23148087543464921</v>
      </c>
      <c r="O240" s="14"/>
      <c r="P240" s="1">
        <f>SUM(OSRRefP22_23x_0)</f>
        <v>29428.2</v>
      </c>
      <c r="Q240" s="1"/>
      <c r="R240" s="5">
        <f t="shared" ref="R240:R242" si="126">IF(P$12=0,0,P240/P$12)</f>
        <v>5.7220672573179933E-3</v>
      </c>
      <c r="S240" s="1"/>
      <c r="T240" s="1">
        <f>SUM(OSRRefT22_23x_0)</f>
        <v>29387</v>
      </c>
      <c r="U240" s="1"/>
      <c r="V240" s="5">
        <f t="shared" ref="V240:V242" si="127">IF(T$12=0,0,T240/T$12)</f>
        <v>3.4109663723774285E-3</v>
      </c>
      <c r="W240" s="1"/>
      <c r="X240" s="1">
        <f t="shared" ref="X240:X242" si="128">+P240-T240</f>
        <v>41.200000000000728</v>
      </c>
      <c r="Y240" s="1"/>
      <c r="Z240" s="5">
        <f t="shared" ref="Z240:Z242" si="129">IF(T240=0,0,X240/T240)</f>
        <v>1.4019804675537049E-3</v>
      </c>
    </row>
    <row r="241" spans="1:26" s="24" customFormat="1" hidden="1" outlineLevel="2" x14ac:dyDescent="0.25">
      <c r="A241" s="29"/>
      <c r="B241" s="11" t="str">
        <f>CONCATENATE("          ", "6303", " - ", "DATA PHONE LINES")</f>
        <v xml:space="preserve">          6303 - DATA PHONE LINES</v>
      </c>
      <c r="C241" s="11"/>
      <c r="D241" s="7"/>
      <c r="E241" s="2"/>
      <c r="F241" s="6">
        <f t="shared" si="122"/>
        <v>0</v>
      </c>
      <c r="G241" s="2"/>
      <c r="H241" s="7">
        <v>1499</v>
      </c>
      <c r="I241" s="2"/>
      <c r="J241" s="6">
        <f t="shared" si="123"/>
        <v>1.8424309764392532E-3</v>
      </c>
      <c r="K241" s="2"/>
      <c r="L241" s="7">
        <f t="shared" si="124"/>
        <v>-1499</v>
      </c>
      <c r="M241" s="2"/>
      <c r="N241" s="6">
        <f t="shared" si="125"/>
        <v>-1</v>
      </c>
      <c r="O241" s="11"/>
      <c r="P241" s="7">
        <v>2065</v>
      </c>
      <c r="Q241" s="2"/>
      <c r="R241" s="6">
        <f t="shared" si="126"/>
        <v>4.0152197165853353E-4</v>
      </c>
      <c r="S241" s="2"/>
      <c r="T241" s="7">
        <v>9037</v>
      </c>
      <c r="U241" s="2"/>
      <c r="V241" s="6">
        <f t="shared" si="127"/>
        <v>1.0489299046236372E-3</v>
      </c>
      <c r="W241" s="2"/>
      <c r="X241" s="7">
        <f t="shared" si="128"/>
        <v>-6972</v>
      </c>
      <c r="Y241" s="2"/>
      <c r="Z241" s="6">
        <f t="shared" si="129"/>
        <v>-0.77149496514329974</v>
      </c>
    </row>
    <row r="242" spans="1:26" s="24" customFormat="1" hidden="1" outlineLevel="2" x14ac:dyDescent="0.25">
      <c r="A242" s="29"/>
      <c r="B242" s="11" t="str">
        <f>CONCATENATE("          ", "6309", " - ", "TELEPHONE")</f>
        <v xml:space="preserve">          6309 - TELEPHONE</v>
      </c>
      <c r="C242" s="11"/>
      <c r="D242" s="7">
        <v>3757.29</v>
      </c>
      <c r="E242" s="2"/>
      <c r="F242" s="6">
        <f t="shared" si="122"/>
        <v>7.7702637936405338E-3</v>
      </c>
      <c r="G242" s="2"/>
      <c r="H242" s="7">
        <v>3390</v>
      </c>
      <c r="I242" s="2"/>
      <c r="J242" s="6">
        <f t="shared" si="123"/>
        <v>4.166671787944675E-3</v>
      </c>
      <c r="K242" s="2"/>
      <c r="L242" s="7">
        <f t="shared" si="124"/>
        <v>367.28999999999996</v>
      </c>
      <c r="M242" s="2"/>
      <c r="N242" s="6">
        <f t="shared" si="125"/>
        <v>0.10834513274336283</v>
      </c>
      <c r="O242" s="11"/>
      <c r="P242" s="7">
        <v>27363.200000000001</v>
      </c>
      <c r="Q242" s="2"/>
      <c r="R242" s="6">
        <f t="shared" si="126"/>
        <v>5.3205452856594599E-3</v>
      </c>
      <c r="S242" s="2"/>
      <c r="T242" s="7">
        <v>20350</v>
      </c>
      <c r="U242" s="2"/>
      <c r="V242" s="6">
        <f t="shared" si="127"/>
        <v>2.3620364677537915E-3</v>
      </c>
      <c r="W242" s="2"/>
      <c r="X242" s="7">
        <f t="shared" si="128"/>
        <v>7013.2000000000007</v>
      </c>
      <c r="Y242" s="2"/>
      <c r="Z242" s="6">
        <f t="shared" si="129"/>
        <v>0.34462899262899266</v>
      </c>
    </row>
    <row r="243" spans="1:26" s="28" customFormat="1" outlineLevel="1" collapsed="1" x14ac:dyDescent="0.25">
      <c r="A243" s="27"/>
      <c r="B243" s="14" t="str">
        <f>CONCATENATE("     ","Training                                          ")</f>
        <v xml:space="preserve">     Training                                          </v>
      </c>
      <c r="C243" s="14"/>
      <c r="D243" s="1">
        <f>SUM(OSRRefD22_24x_0)</f>
        <v>0</v>
      </c>
      <c r="E243" s="1"/>
      <c r="F243" s="5">
        <f t="shared" ref="F243:F248" si="130">IF(D$12=0,0,D243/D$12)</f>
        <v>0</v>
      </c>
      <c r="G243" s="1"/>
      <c r="H243" s="1">
        <f>SUM(OSRRefH22_24x_0)</f>
        <v>2550</v>
      </c>
      <c r="I243" s="1"/>
      <c r="J243" s="5">
        <f t="shared" ref="J243:J248" si="131">IF(H$12=0,0,H243/H$12)</f>
        <v>3.1342221413743132E-3</v>
      </c>
      <c r="K243" s="1"/>
      <c r="L243" s="1">
        <f t="shared" ref="L243:L248" si="132">+D243-H243</f>
        <v>-2550</v>
      </c>
      <c r="M243" s="1"/>
      <c r="N243" s="5">
        <f t="shared" ref="N243:N248" si="133">IF(H243=0,0,L243/H243)</f>
        <v>-1</v>
      </c>
      <c r="O243" s="14"/>
      <c r="P243" s="1">
        <f>SUM(OSRRefP22_24x_0)</f>
        <v>1380.63</v>
      </c>
      <c r="Q243" s="1"/>
      <c r="R243" s="5">
        <f t="shared" ref="R243:R248" si="134">IF(P$12=0,0,P243/P$12)</f>
        <v>2.6845195144354538E-4</v>
      </c>
      <c r="S243" s="1"/>
      <c r="T243" s="1">
        <f>SUM(OSRRefT22_24x_0)</f>
        <v>9380</v>
      </c>
      <c r="U243" s="1"/>
      <c r="V243" s="5">
        <f t="shared" ref="V243:V248" si="135">IF(T$12=0,0,T243/T$12)</f>
        <v>1.0887421163405682E-3</v>
      </c>
      <c r="W243" s="1"/>
      <c r="X243" s="1">
        <f t="shared" ref="X243:X248" si="136">+P243-T243</f>
        <v>-7999.37</v>
      </c>
      <c r="Y243" s="1"/>
      <c r="Z243" s="5">
        <f t="shared" ref="Z243:Z248" si="137">IF(T243=0,0,X243/T243)</f>
        <v>-0.85281130063965882</v>
      </c>
    </row>
    <row r="244" spans="1:26" s="24" customFormat="1" hidden="1" outlineLevel="2" x14ac:dyDescent="0.25">
      <c r="A244" s="29"/>
      <c r="B244" s="11" t="str">
        <f>CONCATENATE("          ", "6376", " - ", "TRAINING")</f>
        <v xml:space="preserve">          6376 - TRAINING</v>
      </c>
      <c r="C244" s="11"/>
      <c r="D244" s="7"/>
      <c r="E244" s="2"/>
      <c r="F244" s="6">
        <f t="shared" si="130"/>
        <v>0</v>
      </c>
      <c r="G244" s="2"/>
      <c r="H244" s="7">
        <v>2550</v>
      </c>
      <c r="I244" s="2"/>
      <c r="J244" s="6">
        <f t="shared" si="131"/>
        <v>3.1342221413743132E-3</v>
      </c>
      <c r="K244" s="2"/>
      <c r="L244" s="7">
        <f t="shared" si="132"/>
        <v>-2550</v>
      </c>
      <c r="M244" s="2"/>
      <c r="N244" s="6">
        <f t="shared" si="133"/>
        <v>-1</v>
      </c>
      <c r="O244" s="11"/>
      <c r="P244" s="7">
        <v>1380.63</v>
      </c>
      <c r="Q244" s="2"/>
      <c r="R244" s="6">
        <f t="shared" si="134"/>
        <v>2.6845195144354538E-4</v>
      </c>
      <c r="S244" s="2"/>
      <c r="T244" s="7">
        <v>9380</v>
      </c>
      <c r="U244" s="2"/>
      <c r="V244" s="6">
        <f t="shared" si="135"/>
        <v>1.0887421163405682E-3</v>
      </c>
      <c r="W244" s="2"/>
      <c r="X244" s="7">
        <f t="shared" si="136"/>
        <v>-7999.37</v>
      </c>
      <c r="Y244" s="2"/>
      <c r="Z244" s="6">
        <f t="shared" si="137"/>
        <v>-0.85281130063965882</v>
      </c>
    </row>
    <row r="245" spans="1:26" s="28" customFormat="1" outlineLevel="1" collapsed="1" x14ac:dyDescent="0.25">
      <c r="A245" s="27"/>
      <c r="B245" s="14" t="str">
        <f>CONCATENATE("     ","Travel                                            ")</f>
        <v xml:space="preserve">     Travel                                            </v>
      </c>
      <c r="C245" s="14"/>
      <c r="D245" s="1">
        <f>SUM(OSRRefD22_25x_0)</f>
        <v>0</v>
      </c>
      <c r="E245" s="1"/>
      <c r="F245" s="5">
        <f t="shared" si="130"/>
        <v>0</v>
      </c>
      <c r="G245" s="1"/>
      <c r="H245" s="1">
        <f>SUM(OSRRefH22_25x_0)</f>
        <v>525</v>
      </c>
      <c r="I245" s="1"/>
      <c r="J245" s="5">
        <f t="shared" si="131"/>
        <v>6.4528102910647628E-4</v>
      </c>
      <c r="K245" s="1"/>
      <c r="L245" s="1">
        <f t="shared" si="132"/>
        <v>-525</v>
      </c>
      <c r="M245" s="1"/>
      <c r="N245" s="5">
        <f t="shared" si="133"/>
        <v>-1</v>
      </c>
      <c r="O245" s="14"/>
      <c r="P245" s="1">
        <f>SUM(OSRRefP22_25x_0)</f>
        <v>1013.14</v>
      </c>
      <c r="Q245" s="1"/>
      <c r="R245" s="5">
        <f t="shared" si="134"/>
        <v>1.9699659581894752E-4</v>
      </c>
      <c r="S245" s="1"/>
      <c r="T245" s="1">
        <f>SUM(OSRRefT22_25x_0)</f>
        <v>3775</v>
      </c>
      <c r="U245" s="1"/>
      <c r="V245" s="5">
        <f t="shared" si="135"/>
        <v>4.3816647006243551E-4</v>
      </c>
      <c r="W245" s="1"/>
      <c r="X245" s="1">
        <f t="shared" si="136"/>
        <v>-2761.86</v>
      </c>
      <c r="Y245" s="1"/>
      <c r="Z245" s="5">
        <f t="shared" si="137"/>
        <v>-0.73161854304635765</v>
      </c>
    </row>
    <row r="246" spans="1:26" s="24" customFormat="1" hidden="1" outlineLevel="2" x14ac:dyDescent="0.25">
      <c r="A246" s="29"/>
      <c r="B246" s="11" t="str">
        <f>CONCATENATE("          ", "6292", " - ", "TRAVEL/CONFERENCE")</f>
        <v xml:space="preserve">          6292 - TRAVEL/CONFERENCE</v>
      </c>
      <c r="C246" s="11"/>
      <c r="D246" s="7"/>
      <c r="E246" s="2"/>
      <c r="F246" s="6">
        <f t="shared" si="130"/>
        <v>0</v>
      </c>
      <c r="G246" s="2"/>
      <c r="H246" s="7">
        <v>300</v>
      </c>
      <c r="I246" s="2"/>
      <c r="J246" s="6">
        <f t="shared" si="131"/>
        <v>3.6873201663227214E-4</v>
      </c>
      <c r="K246" s="2"/>
      <c r="L246" s="7">
        <f t="shared" si="132"/>
        <v>-300</v>
      </c>
      <c r="M246" s="2"/>
      <c r="N246" s="6">
        <f t="shared" si="133"/>
        <v>-1</v>
      </c>
      <c r="O246" s="11"/>
      <c r="P246" s="7">
        <v>299.16000000000003</v>
      </c>
      <c r="Q246" s="2"/>
      <c r="R246" s="6">
        <f t="shared" si="134"/>
        <v>5.8169158857804791E-5</v>
      </c>
      <c r="S246" s="2"/>
      <c r="T246" s="7">
        <v>3300</v>
      </c>
      <c r="U246" s="2"/>
      <c r="V246" s="6">
        <f t="shared" si="135"/>
        <v>3.8303294071683104E-4</v>
      </c>
      <c r="W246" s="2"/>
      <c r="X246" s="7">
        <f t="shared" si="136"/>
        <v>-3000.84</v>
      </c>
      <c r="Y246" s="2"/>
      <c r="Z246" s="6">
        <f t="shared" si="137"/>
        <v>-0.90934545454545457</v>
      </c>
    </row>
    <row r="247" spans="1:26" s="24" customFormat="1" hidden="1" outlineLevel="2" x14ac:dyDescent="0.25">
      <c r="A247" s="29"/>
      <c r="B247" s="11" t="str">
        <f>CONCATENATE("          ", "6294", " - ", "TRAVEL OPERATIONAL")</f>
        <v xml:space="preserve">          6294 - TRAVEL OPERATIONAL</v>
      </c>
      <c r="C247" s="11"/>
      <c r="D247" s="7"/>
      <c r="E247" s="2"/>
      <c r="F247" s="6">
        <f t="shared" si="130"/>
        <v>0</v>
      </c>
      <c r="G247" s="2"/>
      <c r="H247" s="7">
        <v>25</v>
      </c>
      <c r="I247" s="2"/>
      <c r="J247" s="6">
        <f t="shared" si="131"/>
        <v>3.0727668052689345E-5</v>
      </c>
      <c r="K247" s="2"/>
      <c r="L247" s="7">
        <f t="shared" si="132"/>
        <v>-25</v>
      </c>
      <c r="M247" s="2"/>
      <c r="N247" s="6">
        <f t="shared" si="133"/>
        <v>-1</v>
      </c>
      <c r="O247" s="11"/>
      <c r="P247" s="7">
        <v>321.88</v>
      </c>
      <c r="Q247" s="2"/>
      <c r="R247" s="6">
        <f t="shared" si="134"/>
        <v>6.2586872754212474E-5</v>
      </c>
      <c r="S247" s="2"/>
      <c r="T247" s="7">
        <v>150</v>
      </c>
      <c r="U247" s="2"/>
      <c r="V247" s="6">
        <f t="shared" si="135"/>
        <v>1.7410588214401413E-5</v>
      </c>
      <c r="W247" s="2"/>
      <c r="X247" s="7">
        <f t="shared" si="136"/>
        <v>171.88</v>
      </c>
      <c r="Y247" s="2"/>
      <c r="Z247" s="6">
        <f t="shared" si="137"/>
        <v>1.1458666666666666</v>
      </c>
    </row>
    <row r="248" spans="1:26" s="24" customFormat="1" hidden="1" outlineLevel="2" x14ac:dyDescent="0.25">
      <c r="A248" s="29"/>
      <c r="B248" s="11" t="str">
        <f>CONCATENATE("          ", "6298", " - ", "VEHICLE MILEAGE")</f>
        <v xml:space="preserve">          6298 - VEHICLE MILEAGE</v>
      </c>
      <c r="C248" s="11"/>
      <c r="D248" s="7"/>
      <c r="E248" s="2"/>
      <c r="F248" s="6">
        <f t="shared" si="130"/>
        <v>0</v>
      </c>
      <c r="G248" s="2"/>
      <c r="H248" s="7">
        <v>200</v>
      </c>
      <c r="I248" s="2"/>
      <c r="J248" s="6">
        <f t="shared" si="131"/>
        <v>2.4582134442151476E-4</v>
      </c>
      <c r="K248" s="2"/>
      <c r="L248" s="7">
        <f t="shared" si="132"/>
        <v>-200</v>
      </c>
      <c r="M248" s="2"/>
      <c r="N248" s="6">
        <f t="shared" si="133"/>
        <v>-1</v>
      </c>
      <c r="O248" s="11"/>
      <c r="P248" s="7">
        <v>392.1</v>
      </c>
      <c r="Q248" s="2"/>
      <c r="R248" s="6">
        <f t="shared" si="134"/>
        <v>7.6240564206930269E-5</v>
      </c>
      <c r="S248" s="2"/>
      <c r="T248" s="7">
        <v>325</v>
      </c>
      <c r="U248" s="2"/>
      <c r="V248" s="6">
        <f t="shared" si="135"/>
        <v>3.7722941131203062E-5</v>
      </c>
      <c r="W248" s="2"/>
      <c r="X248" s="7">
        <f t="shared" si="136"/>
        <v>67.100000000000023</v>
      </c>
      <c r="Y248" s="2"/>
      <c r="Z248" s="6">
        <f t="shared" si="137"/>
        <v>0.20646153846153853</v>
      </c>
    </row>
    <row r="249" spans="1:26" s="28" customFormat="1" outlineLevel="1" collapsed="1" x14ac:dyDescent="0.25">
      <c r="A249" s="27"/>
      <c r="B249" s="14" t="str">
        <f>CONCATENATE("     ","Utilities                                         ")</f>
        <v xml:space="preserve">     Utilities                                         </v>
      </c>
      <c r="C249" s="14"/>
      <c r="D249" s="1">
        <f>SUM(OSRRefD22_26x_0)</f>
        <v>10971.61</v>
      </c>
      <c r="E249" s="1"/>
      <c r="F249" s="5">
        <f t="shared" ref="F249:F250" si="138">IF(D$12=0,0,D249/D$12)</f>
        <v>2.268983867120835E-2</v>
      </c>
      <c r="G249" s="1"/>
      <c r="H249" s="1">
        <f>SUM(OSRRefH22_26x_0)</f>
        <v>11507</v>
      </c>
      <c r="I249" s="1"/>
      <c r="J249" s="5">
        <f t="shared" ref="J249:J250" si="139">IF(H$12=0,0,H249/H$12)</f>
        <v>1.4143331051291853E-2</v>
      </c>
      <c r="K249" s="1"/>
      <c r="L249" s="1">
        <f t="shared" ref="L249:L250" si="140">+D249-H249</f>
        <v>-535.38999999999942</v>
      </c>
      <c r="M249" s="1"/>
      <c r="N249" s="5">
        <f t="shared" ref="N249:N250" si="141">IF(H249=0,0,L249/H249)</f>
        <v>-4.6527331189710558E-2</v>
      </c>
      <c r="O249" s="14"/>
      <c r="P249" s="1">
        <f>SUM(OSRRefP22_26x_0)</f>
        <v>41311.420000000006</v>
      </c>
      <c r="Q249" s="1"/>
      <c r="R249" s="5">
        <f t="shared" ref="R249:R250" si="142">IF(P$12=0,0,P249/P$12)</f>
        <v>8.0326599566168406E-3</v>
      </c>
      <c r="S249" s="1"/>
      <c r="T249" s="1">
        <f>SUM(OSRRefT22_26x_0)</f>
        <v>61866</v>
      </c>
      <c r="U249" s="1"/>
      <c r="V249" s="5">
        <f t="shared" ref="V249:V250" si="143">IF(T$12=0,0,T249/T$12)</f>
        <v>7.1808230031477184E-3</v>
      </c>
      <c r="W249" s="1"/>
      <c r="X249" s="1">
        <f t="shared" ref="X249:X250" si="144">+P249-T249</f>
        <v>-20554.579999999994</v>
      </c>
      <c r="Y249" s="1"/>
      <c r="Z249" s="5">
        <f t="shared" ref="Z249:Z250" si="145">IF(T249=0,0,X249/T249)</f>
        <v>-0.33224355865903721</v>
      </c>
    </row>
    <row r="250" spans="1:26" s="24" customFormat="1" hidden="1" outlineLevel="2" x14ac:dyDescent="0.25">
      <c r="A250" s="29"/>
      <c r="B250" s="11" t="str">
        <f>CONCATENATE("          ", "6274", " - ", "UTILITIES")</f>
        <v xml:space="preserve">          6274 - UTILITIES</v>
      </c>
      <c r="C250" s="11"/>
      <c r="D250" s="7">
        <v>10971.61</v>
      </c>
      <c r="E250" s="2"/>
      <c r="F250" s="6">
        <f t="shared" si="138"/>
        <v>2.268983867120835E-2</v>
      </c>
      <c r="G250" s="2"/>
      <c r="H250" s="7">
        <v>11507</v>
      </c>
      <c r="I250" s="2"/>
      <c r="J250" s="6">
        <f t="shared" si="139"/>
        <v>1.4143331051291853E-2</v>
      </c>
      <c r="K250" s="2"/>
      <c r="L250" s="7">
        <f t="shared" si="140"/>
        <v>-535.38999999999942</v>
      </c>
      <c r="M250" s="2"/>
      <c r="N250" s="6">
        <f t="shared" si="141"/>
        <v>-4.6527331189710558E-2</v>
      </c>
      <c r="O250" s="11"/>
      <c r="P250" s="7">
        <v>41311.420000000006</v>
      </c>
      <c r="Q250" s="2"/>
      <c r="R250" s="6">
        <f t="shared" si="142"/>
        <v>8.0326599566168406E-3</v>
      </c>
      <c r="S250" s="2"/>
      <c r="T250" s="7">
        <v>61866</v>
      </c>
      <c r="U250" s="2"/>
      <c r="V250" s="6">
        <f t="shared" si="143"/>
        <v>7.1808230031477184E-3</v>
      </c>
      <c r="W250" s="2"/>
      <c r="X250" s="7">
        <f t="shared" si="144"/>
        <v>-20554.579999999994</v>
      </c>
      <c r="Y250" s="2"/>
      <c r="Z250" s="6">
        <f t="shared" si="145"/>
        <v>-0.33224355865903721</v>
      </c>
    </row>
    <row r="251" spans="1:26" s="53" customFormat="1" x14ac:dyDescent="0.25">
      <c r="A251" s="36"/>
      <c r="B251" s="36"/>
      <c r="C251" s="36"/>
      <c r="D251" s="1"/>
      <c r="E251" s="1"/>
      <c r="F251" s="5"/>
      <c r="G251" s="1"/>
      <c r="H251" s="1"/>
      <c r="I251" s="1"/>
      <c r="J251" s="5"/>
      <c r="K251" s="1"/>
      <c r="L251" s="1"/>
      <c r="M251" s="1"/>
      <c r="N251" s="5"/>
      <c r="O251" s="36"/>
      <c r="P251" s="1"/>
      <c r="Q251" s="1"/>
      <c r="R251" s="5"/>
      <c r="S251" s="1"/>
      <c r="T251" s="1"/>
      <c r="U251" s="1"/>
      <c r="V251" s="5"/>
      <c r="W251" s="1"/>
      <c r="X251" s="1"/>
      <c r="Y251" s="1"/>
      <c r="Z251" s="5"/>
    </row>
    <row r="252" spans="1:26" s="23" customFormat="1" collapsed="1" x14ac:dyDescent="0.25">
      <c r="A252" s="10"/>
      <c r="B252" s="26" t="s">
        <v>0</v>
      </c>
      <c r="C252" s="10"/>
      <c r="D252" s="4">
        <f>SUM(OSRRefD25x_0)</f>
        <v>30857.81</v>
      </c>
      <c r="E252" s="4"/>
      <c r="F252" s="12">
        <f t="shared" ref="F252:F259" si="146">IF(D$12=0,0,D252/D$12)</f>
        <v>6.3815495688125959E-2</v>
      </c>
      <c r="G252" s="4"/>
      <c r="H252" s="4">
        <f>SUM(OSRRefH25x_0)</f>
        <v>221803</v>
      </c>
      <c r="I252" s="4"/>
      <c r="J252" s="12">
        <f t="shared" ref="J252:J259" si="147">IF(H$12=0,0,H252/H$12)</f>
        <v>0.27261955828362622</v>
      </c>
      <c r="K252" s="4"/>
      <c r="L252" s="4">
        <f t="shared" ref="L252:L259" si="148">+D252-H252</f>
        <v>-190945.19</v>
      </c>
      <c r="M252" s="4"/>
      <c r="N252" s="12">
        <f t="shared" ref="N252:N259" si="149">IF(H252=0,0,L252/H252)</f>
        <v>-0.86087740021550652</v>
      </c>
      <c r="O252" s="10"/>
      <c r="P252" s="4">
        <f>SUM(OSRRefP25x_0)</f>
        <v>561364.04</v>
      </c>
      <c r="Q252" s="4"/>
      <c r="R252" s="12">
        <f t="shared" ref="R252:R259" si="150">IF(P$12=0,0,P252/P$12)</f>
        <v>0.10915254051283288</v>
      </c>
      <c r="S252" s="4"/>
      <c r="T252" s="4">
        <f>SUM(OSRRefT25x_0)</f>
        <v>529416</v>
      </c>
      <c r="U252" s="4"/>
      <c r="V252" s="12">
        <f t="shared" ref="V252:V259" si="151">IF(T$12=0,0,T252/T$12)</f>
        <v>6.1449626467436916E-2</v>
      </c>
      <c r="W252" s="4"/>
      <c r="X252" s="4">
        <f t="shared" ref="X252:X259" si="152">+P252-T252</f>
        <v>31948.040000000037</v>
      </c>
      <c r="Y252" s="4"/>
      <c r="Z252" s="12">
        <f t="shared" ref="Z252:Z259" si="153">IF(T252=0,0,X252/T252)</f>
        <v>6.0345815011257756E-2</v>
      </c>
    </row>
    <row r="253" spans="1:26" s="24" customFormat="1" hidden="1" outlineLevel="1" x14ac:dyDescent="0.25">
      <c r="A253" s="51"/>
      <c r="B253" s="11" t="str">
        <f>CONCATENATE("          ", "4187", " - ", "NON-TAXABLE SALES-COMPUTER REP")</f>
        <v xml:space="preserve">          4187 - NON-TAXABLE SALES-COMPUTER REP</v>
      </c>
      <c r="C253" s="11"/>
      <c r="D253" s="2">
        <f>--471.29</f>
        <v>471.29</v>
      </c>
      <c r="E253" s="2"/>
      <c r="F253" s="22">
        <f t="shared" si="146"/>
        <v>9.7465131073322722E-4</v>
      </c>
      <c r="G253" s="2"/>
      <c r="H253" s="2"/>
      <c r="I253" s="2"/>
      <c r="J253" s="22">
        <f t="shared" si="147"/>
        <v>0</v>
      </c>
      <c r="K253" s="2"/>
      <c r="L253" s="2">
        <f t="shared" si="148"/>
        <v>471.29</v>
      </c>
      <c r="M253" s="2"/>
      <c r="N253" s="22">
        <f t="shared" si="149"/>
        <v>0</v>
      </c>
      <c r="O253" s="11"/>
      <c r="P253" s="2">
        <f>--1034.5</f>
        <v>1034.5</v>
      </c>
      <c r="Q253" s="2"/>
      <c r="R253" s="22">
        <f t="shared" si="150"/>
        <v>2.0114986909479561E-4</v>
      </c>
      <c r="S253" s="2"/>
      <c r="T253" s="2"/>
      <c r="U253" s="2"/>
      <c r="V253" s="22">
        <f t="shared" si="151"/>
        <v>0</v>
      </c>
      <c r="W253" s="2"/>
      <c r="X253" s="2">
        <f t="shared" si="152"/>
        <v>1034.5</v>
      </c>
      <c r="Y253" s="2"/>
      <c r="Z253" s="22">
        <f t="shared" si="153"/>
        <v>0</v>
      </c>
    </row>
    <row r="254" spans="1:26" s="24" customFormat="1" hidden="1" outlineLevel="1" x14ac:dyDescent="0.25">
      <c r="A254" s="51"/>
      <c r="B254" s="11" t="str">
        <f>CONCATENATE("          ", "9150", " - ", "MISC. INCOME")</f>
        <v xml:space="preserve">          9150 - MISC. INCOME</v>
      </c>
      <c r="C254" s="11"/>
      <c r="D254" s="2">
        <f>--19590.3</f>
        <v>19590.3</v>
      </c>
      <c r="E254" s="2"/>
      <c r="F254" s="22">
        <f t="shared" si="146"/>
        <v>4.0513721005447048E-2</v>
      </c>
      <c r="G254" s="2"/>
      <c r="H254" s="2">
        <v>27119</v>
      </c>
      <c r="I254" s="2"/>
      <c r="J254" s="22">
        <f t="shared" si="147"/>
        <v>3.3332145196835299E-2</v>
      </c>
      <c r="K254" s="2"/>
      <c r="L254" s="2">
        <f t="shared" si="148"/>
        <v>-7528.7000000000007</v>
      </c>
      <c r="M254" s="2"/>
      <c r="N254" s="22">
        <f t="shared" si="149"/>
        <v>-0.27761716877465986</v>
      </c>
      <c r="O254" s="11"/>
      <c r="P254" s="2">
        <f>--220908.96</f>
        <v>220908.96</v>
      </c>
      <c r="Q254" s="2"/>
      <c r="R254" s="22">
        <f t="shared" si="150"/>
        <v>4.2953898874690609E-2</v>
      </c>
      <c r="S254" s="2"/>
      <c r="T254" s="2">
        <v>156434</v>
      </c>
      <c r="U254" s="2"/>
      <c r="V254" s="22">
        <f t="shared" si="151"/>
        <v>1.8157386378211137E-2</v>
      </c>
      <c r="W254" s="2"/>
      <c r="X254" s="2">
        <f t="shared" si="152"/>
        <v>64474.959999999992</v>
      </c>
      <c r="Y254" s="2"/>
      <c r="Z254" s="22">
        <f t="shared" si="153"/>
        <v>0.41215439098917112</v>
      </c>
    </row>
    <row r="255" spans="1:26" s="24" customFormat="1" hidden="1" outlineLevel="1" x14ac:dyDescent="0.25">
      <c r="A255" s="51"/>
      <c r="B255" s="11" t="str">
        <f>CONCATENATE("          ", "9151", " - ", "MISC. INCOME")</f>
        <v xml:space="preserve">          9151 - MISC. INCOME</v>
      </c>
      <c r="C255" s="11"/>
      <c r="D255" s="2">
        <f>0</f>
        <v>0</v>
      </c>
      <c r="E255" s="2"/>
      <c r="F255" s="22">
        <f t="shared" si="146"/>
        <v>0</v>
      </c>
      <c r="G255" s="2"/>
      <c r="H255" s="2">
        <v>191507</v>
      </c>
      <c r="I255" s="2"/>
      <c r="J255" s="22">
        <f t="shared" si="147"/>
        <v>0.23538254103065515</v>
      </c>
      <c r="K255" s="2"/>
      <c r="L255" s="2">
        <f t="shared" si="148"/>
        <v>-191507</v>
      </c>
      <c r="M255" s="2"/>
      <c r="N255" s="22">
        <f t="shared" si="149"/>
        <v>-1</v>
      </c>
      <c r="O255" s="11"/>
      <c r="P255" s="2">
        <f>--147285.39</f>
        <v>147285.39000000001</v>
      </c>
      <c r="Q255" s="2"/>
      <c r="R255" s="22">
        <f t="shared" si="150"/>
        <v>2.8638411713944822E-2</v>
      </c>
      <c r="S255" s="2"/>
      <c r="T255" s="2">
        <v>368059</v>
      </c>
      <c r="U255" s="2"/>
      <c r="V255" s="22">
        <f t="shared" si="151"/>
        <v>4.2720824584029128E-2</v>
      </c>
      <c r="W255" s="2"/>
      <c r="X255" s="2">
        <f t="shared" si="152"/>
        <v>-220773.61</v>
      </c>
      <c r="Y255" s="2"/>
      <c r="Z255" s="22">
        <f t="shared" si="153"/>
        <v>-0.5998321193069589</v>
      </c>
    </row>
    <row r="256" spans="1:26" s="24" customFormat="1" hidden="1" outlineLevel="1" x14ac:dyDescent="0.25">
      <c r="A256" s="51"/>
      <c r="B256" s="11" t="str">
        <f>CONCATENATE("          ", "9152", " - ", "MISC. INCOME")</f>
        <v xml:space="preserve">          9152 - MISC. INCOME</v>
      </c>
      <c r="C256" s="11"/>
      <c r="D256" s="2">
        <f>--479.7</f>
        <v>479.7</v>
      </c>
      <c r="E256" s="2"/>
      <c r="F256" s="22">
        <f t="shared" si="146"/>
        <v>9.9204361170134969E-4</v>
      </c>
      <c r="G256" s="2"/>
      <c r="H256" s="2"/>
      <c r="I256" s="2"/>
      <c r="J256" s="22">
        <f t="shared" si="147"/>
        <v>0</v>
      </c>
      <c r="K256" s="2"/>
      <c r="L256" s="2">
        <f t="shared" si="148"/>
        <v>479.7</v>
      </c>
      <c r="M256" s="2"/>
      <c r="N256" s="22">
        <f t="shared" si="149"/>
        <v>0</v>
      </c>
      <c r="O256" s="11"/>
      <c r="P256" s="2">
        <f>--3085.93</f>
        <v>3085.93</v>
      </c>
      <c r="Q256" s="2"/>
      <c r="R256" s="22">
        <f t="shared" si="150"/>
        <v>6.0003326779671583E-4</v>
      </c>
      <c r="S256" s="2"/>
      <c r="T256" s="2"/>
      <c r="U256" s="2"/>
      <c r="V256" s="22">
        <f t="shared" si="151"/>
        <v>0</v>
      </c>
      <c r="W256" s="2"/>
      <c r="X256" s="2">
        <f t="shared" si="152"/>
        <v>3085.93</v>
      </c>
      <c r="Y256" s="2"/>
      <c r="Z256" s="22">
        <f t="shared" si="153"/>
        <v>0</v>
      </c>
    </row>
    <row r="257" spans="1:26" s="24" customFormat="1" hidden="1" outlineLevel="1" x14ac:dyDescent="0.25">
      <c r="A257" s="51"/>
      <c r="B257" s="11" t="str">
        <f>CONCATENATE("          ", "9160", " - ", "MISC. INCOME")</f>
        <v xml:space="preserve">          9160 - MISC. INCOME</v>
      </c>
      <c r="C257" s="11"/>
      <c r="D257" s="2">
        <f>--10000</f>
        <v>10000</v>
      </c>
      <c r="E257" s="2"/>
      <c r="F257" s="22">
        <f t="shared" si="146"/>
        <v>2.068050055662601E-2</v>
      </c>
      <c r="G257" s="2"/>
      <c r="H257" s="2">
        <v>3177</v>
      </c>
      <c r="I257" s="2"/>
      <c r="J257" s="22">
        <f t="shared" si="147"/>
        <v>3.904872056135762E-3</v>
      </c>
      <c r="K257" s="2"/>
      <c r="L257" s="2">
        <f t="shared" si="148"/>
        <v>6823</v>
      </c>
      <c r="M257" s="2"/>
      <c r="N257" s="22">
        <f t="shared" si="149"/>
        <v>2.1476235442241109</v>
      </c>
      <c r="O257" s="11"/>
      <c r="P257" s="2">
        <f>--12328.25</f>
        <v>12328.25</v>
      </c>
      <c r="Q257" s="2"/>
      <c r="R257" s="22">
        <f t="shared" si="150"/>
        <v>2.397125059127998E-3</v>
      </c>
      <c r="S257" s="2"/>
      <c r="T257" s="2">
        <v>4923</v>
      </c>
      <c r="U257" s="2"/>
      <c r="V257" s="22">
        <f t="shared" si="151"/>
        <v>5.7141550519665429E-4</v>
      </c>
      <c r="W257" s="2"/>
      <c r="X257" s="2">
        <f t="shared" si="152"/>
        <v>7405.25</v>
      </c>
      <c r="Y257" s="2"/>
      <c r="Z257" s="22">
        <f t="shared" si="153"/>
        <v>1.5042149096079627</v>
      </c>
    </row>
    <row r="258" spans="1:26" s="24" customFormat="1" hidden="1" outlineLevel="1" x14ac:dyDescent="0.25">
      <c r="A258" s="51"/>
      <c r="B258" s="11" t="str">
        <f>CONCATENATE("          ", "9163", " - ", "MISC. INCOME")</f>
        <v xml:space="preserve">          9163 - MISC. INCOME</v>
      </c>
      <c r="C258" s="11"/>
      <c r="D258" s="2">
        <f>0</f>
        <v>0</v>
      </c>
      <c r="E258" s="2"/>
      <c r="F258" s="22">
        <f t="shared" si="146"/>
        <v>0</v>
      </c>
      <c r="G258" s="2"/>
      <c r="H258" s="2"/>
      <c r="I258" s="2"/>
      <c r="J258" s="22">
        <f t="shared" si="147"/>
        <v>0</v>
      </c>
      <c r="K258" s="2"/>
      <c r="L258" s="2">
        <f t="shared" si="148"/>
        <v>0</v>
      </c>
      <c r="M258" s="2"/>
      <c r="N258" s="22">
        <f t="shared" si="149"/>
        <v>0</v>
      </c>
      <c r="O258" s="11"/>
      <c r="P258" s="2">
        <f>--175405.84</f>
        <v>175405.84</v>
      </c>
      <c r="Q258" s="2"/>
      <c r="R258" s="22">
        <f t="shared" si="150"/>
        <v>3.4106197926015137E-2</v>
      </c>
      <c r="S258" s="2"/>
      <c r="T258" s="2"/>
      <c r="U258" s="2"/>
      <c r="V258" s="22">
        <f t="shared" si="151"/>
        <v>0</v>
      </c>
      <c r="W258" s="2"/>
      <c r="X258" s="2">
        <f t="shared" si="152"/>
        <v>175405.84</v>
      </c>
      <c r="Y258" s="2"/>
      <c r="Z258" s="22">
        <f t="shared" si="153"/>
        <v>0</v>
      </c>
    </row>
    <row r="259" spans="1:26" s="24" customFormat="1" hidden="1" outlineLevel="1" x14ac:dyDescent="0.25">
      <c r="A259" s="51"/>
      <c r="B259" s="11" t="str">
        <f>CONCATENATE("          ", "9165", " - ", "OTHER INCOME")</f>
        <v xml:space="preserve">          9165 - OTHER INCOME</v>
      </c>
      <c r="C259" s="11"/>
      <c r="D259" s="2">
        <f>--316.52</f>
        <v>316.52</v>
      </c>
      <c r="E259" s="2"/>
      <c r="F259" s="22">
        <f t="shared" si="146"/>
        <v>6.5457920361832638E-4</v>
      </c>
      <c r="G259" s="2"/>
      <c r="H259" s="2"/>
      <c r="I259" s="2"/>
      <c r="J259" s="22">
        <f t="shared" si="147"/>
        <v>0</v>
      </c>
      <c r="K259" s="2"/>
      <c r="L259" s="2">
        <f t="shared" si="148"/>
        <v>316.52</v>
      </c>
      <c r="M259" s="2"/>
      <c r="N259" s="22">
        <f t="shared" si="149"/>
        <v>0</v>
      </c>
      <c r="O259" s="11"/>
      <c r="P259" s="2">
        <f>--1315.17</f>
        <v>1315.17</v>
      </c>
      <c r="Q259" s="2"/>
      <c r="R259" s="22">
        <f t="shared" si="150"/>
        <v>2.5572380216278625E-4</v>
      </c>
      <c r="S259" s="2"/>
      <c r="T259" s="2"/>
      <c r="U259" s="2"/>
      <c r="V259" s="22">
        <f t="shared" si="151"/>
        <v>0</v>
      </c>
      <c r="W259" s="2"/>
      <c r="X259" s="2">
        <f t="shared" si="152"/>
        <v>1315.17</v>
      </c>
      <c r="Y259" s="2"/>
      <c r="Z259" s="22">
        <f t="shared" si="153"/>
        <v>0</v>
      </c>
    </row>
    <row r="260" spans="1:26" x14ac:dyDescent="0.25">
      <c r="A260" s="9"/>
      <c r="B260" s="10"/>
      <c r="C260" s="10"/>
      <c r="D260" s="3"/>
      <c r="E260" s="3"/>
      <c r="F260" s="8"/>
      <c r="G260" s="3"/>
      <c r="H260" s="3"/>
      <c r="I260" s="3"/>
      <c r="J260" s="8"/>
      <c r="K260" s="3"/>
      <c r="L260" s="3"/>
      <c r="M260" s="3"/>
      <c r="N260" s="8"/>
      <c r="O260" s="10"/>
      <c r="P260" s="3"/>
      <c r="Q260" s="3"/>
      <c r="R260" s="8"/>
      <c r="S260" s="3"/>
      <c r="T260" s="3"/>
      <c r="U260" s="3"/>
      <c r="V260" s="8"/>
      <c r="W260" s="3"/>
      <c r="X260" s="3"/>
      <c r="Y260" s="3"/>
      <c r="Z260" s="8"/>
    </row>
    <row r="261" spans="1:26" s="23" customFormat="1" x14ac:dyDescent="0.25">
      <c r="A261" s="10"/>
      <c r="B261" s="25" t="s">
        <v>3</v>
      </c>
      <c r="C261" s="25"/>
      <c r="D261" s="21">
        <f>+D144-D146+D252</f>
        <v>-399384.99</v>
      </c>
      <c r="E261" s="13"/>
      <c r="F261" s="19">
        <f>IF(D$12=0,0,D261/D$12)</f>
        <v>-0.82594815080030726</v>
      </c>
      <c r="G261" s="13"/>
      <c r="H261" s="21">
        <f>+H144-H146+H252</f>
        <v>-192924.60886835563</v>
      </c>
      <c r="I261" s="13"/>
      <c r="J261" s="19">
        <f>IF(H$12=0,0,H261/H$12)</f>
        <v>-0.23712493362007037</v>
      </c>
      <c r="K261" s="16"/>
      <c r="L261" s="21">
        <f>+D261-H261</f>
        <v>-206460.38113164436</v>
      </c>
      <c r="M261" s="16"/>
      <c r="N261" s="19">
        <f>IF(H261=0,0,L261/H261)</f>
        <v>1.0701609418450346</v>
      </c>
      <c r="O261" s="26"/>
      <c r="P261" s="21">
        <f>+P144-P146+P252</f>
        <v>-1748813.3799999966</v>
      </c>
      <c r="Q261" s="13"/>
      <c r="R261" s="19">
        <f>IF(P$12=0,0,P261/P$12)</f>
        <v>-0.34004212900746866</v>
      </c>
      <c r="S261" s="13"/>
      <c r="T261" s="21">
        <f>+T144-T146+T252</f>
        <v>-1125954.0570695316</v>
      </c>
      <c r="U261" s="13"/>
      <c r="V261" s="19">
        <f>IF(T$12=0,0,T261/T$12)</f>
        <v>-0.13069014957314828</v>
      </c>
      <c r="W261" s="16"/>
      <c r="X261" s="21">
        <f>+P261-T261</f>
        <v>-622859.32293046499</v>
      </c>
      <c r="Y261" s="16"/>
      <c r="Z261" s="19">
        <f>IF(T261=0,0,X261/T261)</f>
        <v>0.55318360373561959</v>
      </c>
    </row>
    <row r="262" spans="1:26" x14ac:dyDescent="0.25">
      <c r="A262" s="9"/>
      <c r="B262" s="10"/>
      <c r="C262" s="9"/>
      <c r="D262" s="3"/>
      <c r="E262" s="3"/>
      <c r="F262" s="8"/>
      <c r="G262" s="3"/>
      <c r="H262" s="3"/>
      <c r="I262" s="3"/>
      <c r="J262" s="8"/>
      <c r="K262" s="3"/>
      <c r="L262" s="3"/>
      <c r="M262" s="3"/>
      <c r="N262" s="8"/>
      <c r="P262" s="3"/>
      <c r="Q262" s="3"/>
      <c r="R262" s="8"/>
      <c r="S262" s="3"/>
      <c r="T262" s="3"/>
      <c r="U262" s="3"/>
      <c r="V262" s="8"/>
      <c r="W262" s="3"/>
      <c r="X262" s="3"/>
      <c r="Y262" s="3"/>
      <c r="Z262" s="8"/>
    </row>
    <row r="263" spans="1:26" s="23" customFormat="1" x14ac:dyDescent="0.25">
      <c r="A263" s="52"/>
      <c r="B263" s="10" t="s">
        <v>14</v>
      </c>
      <c r="C263" s="10"/>
      <c r="D263" s="4">
        <v>211174.95</v>
      </c>
      <c r="E263" s="4"/>
      <c r="F263" s="12">
        <f>IF(D$12=0,0,D263/D$12)</f>
        <v>0.43672036710204698</v>
      </c>
      <c r="G263" s="4"/>
      <c r="H263" s="4">
        <v>246984</v>
      </c>
      <c r="I263" s="4"/>
      <c r="J263" s="12">
        <f>IF(H$12=0,0,H263/H$12)</f>
        <v>0.30356969465301703</v>
      </c>
      <c r="K263" s="4"/>
      <c r="L263" s="4">
        <f>+D263-H263</f>
        <v>-35809.049999999988</v>
      </c>
      <c r="M263" s="4"/>
      <c r="N263" s="12">
        <f>IF(H263=0,0,L263/H263)</f>
        <v>-0.14498530269167229</v>
      </c>
      <c r="O263" s="10"/>
      <c r="P263" s="4">
        <v>951551.21</v>
      </c>
      <c r="Q263" s="4"/>
      <c r="R263" s="12">
        <f>IF(P$12=0,0,P263/P$12)</f>
        <v>0.18502117093136236</v>
      </c>
      <c r="S263" s="4"/>
      <c r="T263" s="4">
        <v>1639217</v>
      </c>
      <c r="U263" s="4"/>
      <c r="V263" s="12">
        <f>IF(T$12=0,0,T263/T$12)</f>
        <v>0.19026488120697627</v>
      </c>
      <c r="W263" s="4"/>
      <c r="X263" s="4">
        <f>+P263-T263</f>
        <v>-687665.79</v>
      </c>
      <c r="Y263" s="4"/>
      <c r="Z263" s="12">
        <f>IF(T263=0,0,X263/T263)</f>
        <v>-0.41950869836025373</v>
      </c>
    </row>
    <row r="264" spans="1:26" x14ac:dyDescent="0.25">
      <c r="A264" s="9"/>
      <c r="B264" s="10"/>
      <c r="C264" s="10"/>
      <c r="D264" s="3"/>
      <c r="E264" s="3"/>
      <c r="F264" s="8"/>
      <c r="G264" s="3"/>
      <c r="H264" s="3"/>
      <c r="I264" s="3"/>
      <c r="J264" s="8"/>
      <c r="K264" s="3"/>
      <c r="L264" s="3"/>
      <c r="M264" s="3"/>
      <c r="N264" s="8"/>
      <c r="O264" s="10"/>
      <c r="P264" s="3"/>
      <c r="Q264" s="3"/>
      <c r="R264" s="8"/>
      <c r="S264" s="3"/>
      <c r="T264" s="3"/>
      <c r="U264" s="3"/>
      <c r="V264" s="8"/>
      <c r="W264" s="3"/>
      <c r="X264" s="3"/>
      <c r="Y264" s="3"/>
      <c r="Z264" s="8"/>
    </row>
    <row r="265" spans="1:26" s="23" customFormat="1" ht="15.75" thickBot="1" x14ac:dyDescent="0.3">
      <c r="A265" s="10"/>
      <c r="B265" s="25" t="s">
        <v>4</v>
      </c>
      <c r="C265" s="25"/>
      <c r="D265" s="34">
        <f>+D261-D263</f>
        <v>-610559.93999999994</v>
      </c>
      <c r="E265" s="13"/>
      <c r="F265" s="31">
        <f>IF(D$12=0,0,D265/D$12)</f>
        <v>-1.2626685179023542</v>
      </c>
      <c r="G265" s="13"/>
      <c r="H265" s="34">
        <f>+H261-H263</f>
        <v>-439908.60886835563</v>
      </c>
      <c r="I265" s="13"/>
      <c r="J265" s="31">
        <f>IF(H$12=0,0,H265/H$12)</f>
        <v>-0.54069462827308734</v>
      </c>
      <c r="K265" s="16"/>
      <c r="L265" s="34">
        <f>D265-H265</f>
        <v>-170651.33113164431</v>
      </c>
      <c r="M265" s="16"/>
      <c r="N265" s="31">
        <f>IF(H265=0,0,L265/H265)</f>
        <v>0.38792450907163856</v>
      </c>
      <c r="O265" s="26"/>
      <c r="P265" s="34">
        <f>+P261-P263</f>
        <v>-2700364.5899999966</v>
      </c>
      <c r="Q265" s="13"/>
      <c r="R265" s="31">
        <f>IF(P$12=0,0,P265/P$12)</f>
        <v>-0.52506329993883105</v>
      </c>
      <c r="S265" s="13"/>
      <c r="T265" s="34">
        <f>+T261-T263</f>
        <v>-2765171.0570695316</v>
      </c>
      <c r="U265" s="13"/>
      <c r="V265" s="31">
        <f>IF(T$12=0,0,T265/T$12)</f>
        <v>-0.32095503078012455</v>
      </c>
      <c r="W265" s="16"/>
      <c r="X265" s="34">
        <f>P265-T265</f>
        <v>64806.467069535051</v>
      </c>
      <c r="Y265" s="16"/>
      <c r="Z265" s="31">
        <f>IF(T265=0,0,X265/T265)</f>
        <v>-2.3436693691642911E-2</v>
      </c>
    </row>
    <row r="266" spans="1:26" ht="15.75" thickTop="1" x14ac:dyDescent="0.25">
      <c r="A266" s="9"/>
      <c r="B266" s="9"/>
      <c r="C266" s="9"/>
      <c r="D266" s="3"/>
      <c r="E266" s="3"/>
      <c r="F266" s="8"/>
      <c r="G266" s="3"/>
      <c r="H266" s="3"/>
      <c r="I266" s="3"/>
      <c r="J266" s="8"/>
      <c r="K266" s="3"/>
      <c r="L266" s="3"/>
      <c r="M266" s="3"/>
      <c r="N266" s="8"/>
      <c r="P266" s="3"/>
      <c r="Q266" s="3"/>
      <c r="R266" s="8"/>
      <c r="S266" s="3"/>
      <c r="T266" s="3"/>
      <c r="U266" s="3"/>
      <c r="V266" s="8"/>
      <c r="W266" s="3"/>
      <c r="X266" s="3"/>
      <c r="Y266" s="3"/>
      <c r="Z266" s="8"/>
    </row>
    <row r="267" spans="1:26" s="23" customFormat="1" x14ac:dyDescent="0.25">
      <c r="A267" s="52"/>
      <c r="B267" s="10" t="s">
        <v>2</v>
      </c>
      <c r="C267" s="10"/>
      <c r="D267" s="4">
        <f>--344647.12</f>
        <v>344647.12</v>
      </c>
      <c r="E267" s="4"/>
      <c r="F267" s="12">
        <f t="shared" ref="F267:F268" si="154">IF(D$12=0,0,D267/D$12)</f>
        <v>0.7127474956999551</v>
      </c>
      <c r="G267" s="4"/>
      <c r="H267" s="4">
        <f t="shared" ref="H267:H268" si="155">--15000</f>
        <v>15000</v>
      </c>
      <c r="I267" s="4"/>
      <c r="J267" s="12">
        <f t="shared" ref="J267:J268" si="156">IF(H$12=0,0,H267/H$12)</f>
        <v>1.8436600831613609E-2</v>
      </c>
      <c r="K267" s="4"/>
      <c r="L267" s="4">
        <f t="shared" ref="L267:L268" si="157">+D267-H267</f>
        <v>329647.12</v>
      </c>
      <c r="M267" s="4"/>
      <c r="N267" s="12">
        <f t="shared" ref="N267:N268" si="158">IF(H267=0,0,L267/H267)</f>
        <v>21.976474666666665</v>
      </c>
      <c r="O267" s="10"/>
      <c r="P267" s="4">
        <f>--1994053.3</f>
        <v>1994053.3</v>
      </c>
      <c r="Q267" s="4"/>
      <c r="R267" s="12">
        <f t="shared" ref="R267:R268" si="159">IF(P$12=0,0,P267/P$12)</f>
        <v>0.38772697947128582</v>
      </c>
      <c r="S267" s="4"/>
      <c r="T267" s="4">
        <f t="shared" ref="T267:T268" si="160">--90000</f>
        <v>90000</v>
      </c>
      <c r="U267" s="4"/>
      <c r="V267" s="12">
        <f t="shared" ref="V267:V268" si="161">IF(T$12=0,0,T267/T$12)</f>
        <v>1.0446352928640847E-2</v>
      </c>
      <c r="W267" s="4"/>
      <c r="X267" s="4">
        <f t="shared" ref="X267:X268" si="162">+P267-T267</f>
        <v>1904053.3</v>
      </c>
      <c r="Y267" s="4"/>
      <c r="Z267" s="12">
        <f t="shared" ref="Z267:Z268" si="163">IF(T267=0,0,X267/T267)</f>
        <v>21.156147777777779</v>
      </c>
    </row>
    <row r="268" spans="1:26" s="23" customFormat="1" x14ac:dyDescent="0.25">
      <c r="A268" s="52"/>
      <c r="B268" s="10" t="s">
        <v>1</v>
      </c>
      <c r="C268" s="10"/>
      <c r="D268" s="4">
        <f>--50933.37</f>
        <v>50933.37</v>
      </c>
      <c r="E268" s="4"/>
      <c r="F268" s="12">
        <f t="shared" si="154"/>
        <v>0.10533275866358385</v>
      </c>
      <c r="G268" s="4"/>
      <c r="H268" s="4">
        <f t="shared" si="155"/>
        <v>15000</v>
      </c>
      <c r="I268" s="4"/>
      <c r="J268" s="12">
        <f t="shared" si="156"/>
        <v>1.8436600831613609E-2</v>
      </c>
      <c r="K268" s="4"/>
      <c r="L268" s="4">
        <f t="shared" si="157"/>
        <v>35933.370000000003</v>
      </c>
      <c r="M268" s="4"/>
      <c r="N268" s="12">
        <f t="shared" si="158"/>
        <v>2.3955580000000003</v>
      </c>
      <c r="O268" s="10"/>
      <c r="P268" s="4">
        <f>--44510.83</f>
        <v>44510.83</v>
      </c>
      <c r="Q268" s="4"/>
      <c r="R268" s="12">
        <f t="shared" si="159"/>
        <v>8.6547584608996624E-3</v>
      </c>
      <c r="S268" s="4"/>
      <c r="T268" s="4">
        <f t="shared" si="160"/>
        <v>90000</v>
      </c>
      <c r="U268" s="4"/>
      <c r="V268" s="12">
        <f t="shared" si="161"/>
        <v>1.0446352928640847E-2</v>
      </c>
      <c r="W268" s="4"/>
      <c r="X268" s="4">
        <f t="shared" si="162"/>
        <v>-45489.17</v>
      </c>
      <c r="Y268" s="4"/>
      <c r="Z268" s="12">
        <f t="shared" si="163"/>
        <v>-0.50543522222222226</v>
      </c>
    </row>
    <row r="269" spans="1:26" x14ac:dyDescent="0.25">
      <c r="A269" s="9"/>
      <c r="B269" s="9"/>
      <c r="C269" s="9"/>
      <c r="D269" s="3"/>
      <c r="E269" s="3"/>
      <c r="F269" s="8"/>
      <c r="G269" s="3"/>
      <c r="H269" s="3"/>
      <c r="I269" s="3"/>
      <c r="J269" s="8"/>
      <c r="K269" s="3"/>
      <c r="L269" s="3"/>
      <c r="M269" s="3"/>
      <c r="N269" s="8"/>
      <c r="P269" s="3"/>
      <c r="Q269" s="3"/>
      <c r="R269" s="8"/>
      <c r="S269" s="3"/>
      <c r="T269" s="3"/>
      <c r="U269" s="3"/>
      <c r="V269" s="8"/>
      <c r="W269" s="3"/>
      <c r="X269" s="3"/>
      <c r="Y269" s="3"/>
      <c r="Z269" s="8"/>
    </row>
    <row r="270" spans="1:26" s="23" customFormat="1" ht="15.75" thickBot="1" x14ac:dyDescent="0.3">
      <c r="A270" s="10"/>
      <c r="B270" s="25" t="s">
        <v>5</v>
      </c>
      <c r="C270" s="25"/>
      <c r="D270" s="33">
        <f>SUM(D265:D269)</f>
        <v>-214979.44999999995</v>
      </c>
      <c r="E270" s="13"/>
      <c r="F270" s="32">
        <f>IF(D$12=0,0,D270/D$12)</f>
        <v>-0.4445882635388152</v>
      </c>
      <c r="G270" s="13"/>
      <c r="H270" s="33">
        <f>SUM(H265:H269)</f>
        <v>-409908.60886835563</v>
      </c>
      <c r="I270" s="13"/>
      <c r="J270" s="32">
        <f>IF(H$12=0,0,H270/H$12)</f>
        <v>-0.50382142660986018</v>
      </c>
      <c r="K270" s="16"/>
      <c r="L270" s="33">
        <f>+D270-H270</f>
        <v>194929.15886835568</v>
      </c>
      <c r="M270" s="16"/>
      <c r="N270" s="32">
        <f>IF(H270=0,0,L270/H270)</f>
        <v>-0.47554297385093036</v>
      </c>
      <c r="O270" s="26"/>
      <c r="P270" s="33">
        <f>SUM(P265:P269)</f>
        <v>-661800.45999999659</v>
      </c>
      <c r="Q270" s="13"/>
      <c r="R270" s="32">
        <f>IF(P$12=0,0,P270/P$12)</f>
        <v>-0.12868156200664554</v>
      </c>
      <c r="S270" s="13"/>
      <c r="T270" s="33">
        <f>SUM(T265:T269)</f>
        <v>-2585171.0570695316</v>
      </c>
      <c r="U270" s="13"/>
      <c r="V270" s="32">
        <f>IF(T$12=0,0,T270/T$12)</f>
        <v>-0.30006232492284285</v>
      </c>
      <c r="W270" s="16"/>
      <c r="X270" s="33">
        <f>+P270-T270</f>
        <v>1923370.5970695349</v>
      </c>
      <c r="Y270" s="16"/>
      <c r="Z270" s="32">
        <f>IF(T270=0,0,X270/T270)</f>
        <v>-0.74400128835180723</v>
      </c>
    </row>
    <row r="271" spans="1:26" ht="15.75" thickTop="1" x14ac:dyDescent="0.25">
      <c r="A271" s="9"/>
      <c r="C271" s="9"/>
      <c r="D271" s="18"/>
      <c r="E271" s="18"/>
      <c r="G271" s="18"/>
      <c r="H271" s="18"/>
      <c r="I271" s="18"/>
      <c r="J271" s="43"/>
      <c r="K271" s="18"/>
      <c r="L271" s="18"/>
      <c r="M271" s="18"/>
      <c r="P271" s="18"/>
      <c r="Q271" s="18"/>
      <c r="R271" s="43"/>
      <c r="S271" s="18"/>
      <c r="T271" s="18"/>
      <c r="U271" s="18"/>
      <c r="V271" s="43"/>
      <c r="W271" s="18"/>
      <c r="X271" s="18"/>
    </row>
    <row r="272" spans="1:26" x14ac:dyDescent="0.25">
      <c r="A272" s="9"/>
      <c r="B272" s="63">
        <v>44209.518003738427</v>
      </c>
      <c r="D272" s="18"/>
      <c r="E272" s="18"/>
      <c r="G272" s="18"/>
      <c r="H272" s="18"/>
      <c r="I272" s="18"/>
      <c r="J272" s="43"/>
      <c r="K272" s="18"/>
      <c r="L272" s="18"/>
      <c r="M272" s="18"/>
      <c r="P272" s="18"/>
      <c r="Q272" s="18"/>
      <c r="R272" s="43"/>
      <c r="S272" s="18"/>
      <c r="T272" s="18"/>
      <c r="U272" s="18"/>
      <c r="V272" s="43"/>
      <c r="W272" s="18"/>
      <c r="X272" s="18"/>
    </row>
    <row r="273" spans="1:24" x14ac:dyDescent="0.25">
      <c r="A273" s="9"/>
      <c r="B273" s="60" t="s">
        <v>314</v>
      </c>
      <c r="D273" s="18"/>
      <c r="E273" s="18"/>
      <c r="G273" s="18"/>
      <c r="H273" s="18"/>
      <c r="I273" s="18"/>
      <c r="J273" s="43"/>
      <c r="K273" s="18"/>
      <c r="L273" s="18"/>
      <c r="M273" s="18"/>
      <c r="P273" s="18"/>
      <c r="Q273" s="18"/>
      <c r="R273" s="43"/>
      <c r="S273" s="18"/>
      <c r="T273" s="18"/>
      <c r="U273" s="18"/>
      <c r="V273" s="43"/>
      <c r="W273" s="18"/>
      <c r="X273" s="18"/>
    </row>
    <row r="274" spans="1:24" x14ac:dyDescent="0.25">
      <c r="A274" s="9"/>
      <c r="B274" s="58"/>
      <c r="D274" s="18"/>
      <c r="E274" s="18"/>
      <c r="G274" s="18"/>
      <c r="H274" s="18"/>
      <c r="I274" s="18"/>
      <c r="J274" s="43"/>
      <c r="K274" s="18"/>
      <c r="L274" s="18"/>
      <c r="M274" s="18"/>
      <c r="P274" s="18"/>
      <c r="Q274" s="18"/>
      <c r="R274" s="43"/>
      <c r="S274" s="18"/>
      <c r="T274" s="18"/>
      <c r="U274" s="18"/>
      <c r="V274" s="43"/>
      <c r="W274" s="18"/>
      <c r="X274" s="18"/>
    </row>
    <row r="275" spans="1:24" x14ac:dyDescent="0.25">
      <c r="D275" s="18"/>
      <c r="E275" s="18"/>
      <c r="G275" s="18"/>
      <c r="H275" s="18"/>
      <c r="I275" s="18"/>
      <c r="J275" s="43"/>
      <c r="K275" s="18"/>
      <c r="L275" s="18"/>
      <c r="M275" s="18"/>
      <c r="P275" s="18"/>
      <c r="Q275" s="18"/>
      <c r="R275" s="43"/>
      <c r="S275" s="18"/>
      <c r="T275" s="18"/>
      <c r="U275" s="18"/>
      <c r="V275" s="43"/>
      <c r="W275" s="18"/>
      <c r="X275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313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301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301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302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302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298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298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311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311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","100", " - ", "Corporate")</f>
        <v>Department 100 - Corporate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6"/>
      <c r="L16" s="21">
        <f>+D16-H16</f>
        <v>0</v>
      </c>
      <c r="M16" s="16"/>
      <c r="N16" s="19">
        <f>IF(H16=0,0,L16/H16)</f>
        <v>0</v>
      </c>
      <c r="O16" s="26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6"/>
      <c r="X16" s="21">
        <f>+P16-T16</f>
        <v>0</v>
      </c>
      <c r="Y16" s="16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SUM(0)</f>
        <v>0</v>
      </c>
      <c r="E18" s="20"/>
      <c r="F18" s="30">
        <f>IF(D$12=0,0,D18/D$12)</f>
        <v>0</v>
      </c>
      <c r="G18" s="20"/>
      <c r="H18" s="20">
        <f>SUM(0)</f>
        <v>0</v>
      </c>
      <c r="I18" s="20"/>
      <c r="J18" s="30">
        <f>IF(H$12=0,0,H18/H$12)</f>
        <v>0</v>
      </c>
      <c r="K18" s="4"/>
      <c r="L18" s="20">
        <f>+D18-H18</f>
        <v>0</v>
      </c>
      <c r="M18" s="4"/>
      <c r="N18" s="30">
        <f>IF(H18=0,0,L18/H18)</f>
        <v>0</v>
      </c>
      <c r="O18" s="10"/>
      <c r="P18" s="20">
        <f>SUM(0)</f>
        <v>0</v>
      </c>
      <c r="Q18" s="20"/>
      <c r="R18" s="30">
        <f>IF(P$12=0,0,P18/P$12)</f>
        <v>0</v>
      </c>
      <c r="S18" s="20"/>
      <c r="T18" s="20">
        <f>SUM(0)</f>
        <v>0</v>
      </c>
      <c r="U18" s="20"/>
      <c r="V18" s="30">
        <f>IF(T$12=0,0,T18/T$12)</f>
        <v>0</v>
      </c>
      <c r="W18" s="4"/>
      <c r="X18" s="20">
        <f>+P18-T18</f>
        <v>0</v>
      </c>
      <c r="Y18" s="4"/>
      <c r="Z18" s="30">
        <f>IF(T18=0,0,X18/T18)</f>
        <v>0</v>
      </c>
    </row>
    <row r="19" spans="1:26" s="5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3</v>
      </c>
      <c r="C22" s="25"/>
      <c r="D22" s="21">
        <f>+D16-D18+D20</f>
        <v>0</v>
      </c>
      <c r="E22" s="13"/>
      <c r="F22" s="19">
        <f>IF(D$12=0,0,D22/D$12)</f>
        <v>0</v>
      </c>
      <c r="G22" s="13"/>
      <c r="H22" s="21">
        <f>+H16-H18+H20</f>
        <v>0</v>
      </c>
      <c r="I22" s="13"/>
      <c r="J22" s="19">
        <f>IF(H$12=0,0,H22/H$12)</f>
        <v>0</v>
      </c>
      <c r="K22" s="16"/>
      <c r="L22" s="21">
        <f>+D22-H22</f>
        <v>0</v>
      </c>
      <c r="M22" s="16"/>
      <c r="N22" s="19">
        <f>IF(H22=0,0,L22/H22)</f>
        <v>0</v>
      </c>
      <c r="O22" s="26"/>
      <c r="P22" s="21">
        <f>+P16-P18+P20</f>
        <v>0</v>
      </c>
      <c r="Q22" s="13"/>
      <c r="R22" s="19">
        <f>IF(P$12=0,0,P22/P$12)</f>
        <v>0</v>
      </c>
      <c r="S22" s="13"/>
      <c r="T22" s="21">
        <f>+T16-T18+T20</f>
        <v>0</v>
      </c>
      <c r="U22" s="13"/>
      <c r="V22" s="19">
        <f>IF(T$12=0,0,T22/T$12)</f>
        <v>0</v>
      </c>
      <c r="W22" s="16"/>
      <c r="X22" s="21">
        <f>+P22-T22</f>
        <v>0</v>
      </c>
      <c r="Y22" s="16"/>
      <c r="Z22" s="19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5" t="s">
        <v>4</v>
      </c>
      <c r="C26" s="25"/>
      <c r="D26" s="34">
        <f>+D22-D24</f>
        <v>0</v>
      </c>
      <c r="E26" s="13"/>
      <c r="F26" s="31">
        <f>IF(D$12=0,0,D26/D$12)</f>
        <v>0</v>
      </c>
      <c r="G26" s="13"/>
      <c r="H26" s="34">
        <f>+H22-H24</f>
        <v>0</v>
      </c>
      <c r="I26" s="13"/>
      <c r="J26" s="31">
        <f>IF(H$12=0,0,H26/H$12)</f>
        <v>0</v>
      </c>
      <c r="K26" s="16"/>
      <c r="L26" s="34">
        <f>D26-H26</f>
        <v>0</v>
      </c>
      <c r="M26" s="16"/>
      <c r="N26" s="31">
        <f>IF(H26=0,0,L26/H26)</f>
        <v>0</v>
      </c>
      <c r="O26" s="26"/>
      <c r="P26" s="34">
        <f>+P22-P24</f>
        <v>0</v>
      </c>
      <c r="Q26" s="13"/>
      <c r="R26" s="31">
        <f>IF(P$12=0,0,P26/P$12)</f>
        <v>0</v>
      </c>
      <c r="S26" s="13"/>
      <c r="T26" s="34">
        <f>+T22-T24</f>
        <v>0</v>
      </c>
      <c r="U26" s="13"/>
      <c r="V26" s="31">
        <f>IF(T$12=0,0,T26/T$12)</f>
        <v>0</v>
      </c>
      <c r="W26" s="16"/>
      <c r="X26" s="34">
        <f>P26-T26</f>
        <v>0</v>
      </c>
      <c r="Y26" s="16"/>
      <c r="Z26" s="31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--344647.12</f>
        <v>344647.12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329647.12</v>
      </c>
      <c r="M28" s="4"/>
      <c r="N28" s="12">
        <f t="shared" ref="N28:N29" si="4">IF(H28=0,0,L28/H28)</f>
        <v>21.976474666666665</v>
      </c>
      <c r="O28" s="10"/>
      <c r="P28" s="4">
        <f>--1994053.3</f>
        <v>1994053.3</v>
      </c>
      <c r="Q28" s="4"/>
      <c r="R28" s="12">
        <f t="shared" ref="R28:R29" si="5">IF(P$12=0,0,P28/P$12)</f>
        <v>0</v>
      </c>
      <c r="S28" s="4"/>
      <c r="T28" s="4">
        <f t="shared" ref="T28:T29" si="6">--90000</f>
        <v>90000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1904053.3</v>
      </c>
      <c r="Y28" s="4"/>
      <c r="Z28" s="12">
        <f t="shared" ref="Z28:Z29" si="9">IF(T28=0,0,X28/T28)</f>
        <v>21.156147777777779</v>
      </c>
    </row>
    <row r="29" spans="1:26" s="23" customFormat="1" x14ac:dyDescent="0.25">
      <c r="A29" s="52"/>
      <c r="B29" s="10" t="s">
        <v>1</v>
      </c>
      <c r="C29" s="10"/>
      <c r="D29" s="4">
        <f>--50933.37</f>
        <v>50933.37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35933.370000000003</v>
      </c>
      <c r="M29" s="4"/>
      <c r="N29" s="12">
        <f t="shared" si="4"/>
        <v>2.3955580000000003</v>
      </c>
      <c r="O29" s="10"/>
      <c r="P29" s="4">
        <f>--44510.83</f>
        <v>44510.83</v>
      </c>
      <c r="Q29" s="4"/>
      <c r="R29" s="12">
        <f t="shared" si="5"/>
        <v>0</v>
      </c>
      <c r="S29" s="4"/>
      <c r="T29" s="4">
        <f t="shared" si="6"/>
        <v>90000</v>
      </c>
      <c r="U29" s="4"/>
      <c r="V29" s="12">
        <f t="shared" si="7"/>
        <v>0</v>
      </c>
      <c r="W29" s="4"/>
      <c r="X29" s="4">
        <f t="shared" si="8"/>
        <v>-45489.17</v>
      </c>
      <c r="Y29" s="4"/>
      <c r="Z29" s="12">
        <f t="shared" si="9"/>
        <v>-0.50543522222222226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5</v>
      </c>
      <c r="C31" s="25"/>
      <c r="D31" s="33">
        <f>SUM(D26:D30)</f>
        <v>395580.49</v>
      </c>
      <c r="E31" s="13"/>
      <c r="F31" s="32">
        <f>IF(D$12=0,0,D31/D$12)</f>
        <v>0</v>
      </c>
      <c r="G31" s="13"/>
      <c r="H31" s="33">
        <f>SUM(H26:H30)</f>
        <v>30000</v>
      </c>
      <c r="I31" s="13"/>
      <c r="J31" s="32">
        <f>IF(H$12=0,0,H31/H$12)</f>
        <v>0</v>
      </c>
      <c r="K31" s="16"/>
      <c r="L31" s="33">
        <f>+D31-H31</f>
        <v>365580.49</v>
      </c>
      <c r="M31" s="16"/>
      <c r="N31" s="32">
        <f>IF(H31=0,0,L31/H31)</f>
        <v>12.186016333333333</v>
      </c>
      <c r="O31" s="26"/>
      <c r="P31" s="33">
        <f>SUM(P26:P30)</f>
        <v>2038564.1300000001</v>
      </c>
      <c r="Q31" s="13"/>
      <c r="R31" s="32">
        <f>IF(P$12=0,0,P31/P$12)</f>
        <v>0</v>
      </c>
      <c r="S31" s="13"/>
      <c r="T31" s="33">
        <f>SUM(T26:T30)</f>
        <v>180000</v>
      </c>
      <c r="U31" s="13"/>
      <c r="V31" s="32">
        <f>IF(T$12=0,0,T31/T$12)</f>
        <v>0</v>
      </c>
      <c r="W31" s="16"/>
      <c r="X31" s="33">
        <f>+P31-T31</f>
        <v>1858564.1300000001</v>
      </c>
      <c r="Y31" s="16"/>
      <c r="Z31" s="32">
        <f>IF(T31=0,0,X31/T31)</f>
        <v>10.325356277777779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63">
        <v>44209.518264004633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60" t="s">
        <v>314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8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297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4"/>
  <sheetViews>
    <sheetView zoomScale="80" workbookViewId="0">
      <pane xSplit="3" ySplit="10" topLeftCell="D43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300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21">
        <f>D12-D15</f>
        <v>0</v>
      </c>
      <c r="E17" s="13"/>
      <c r="F17" s="19">
        <f>IF(D$12=0,0,D17/D$12)</f>
        <v>0</v>
      </c>
      <c r="G17" s="13"/>
      <c r="H17" s="21">
        <f>H12-H15</f>
        <v>0</v>
      </c>
      <c r="I17" s="13"/>
      <c r="J17" s="19">
        <f>IF(H$12=0,0,H17/H$12)</f>
        <v>0</v>
      </c>
      <c r="K17" s="16"/>
      <c r="L17" s="21">
        <f>+D17-H17</f>
        <v>0</v>
      </c>
      <c r="M17" s="16"/>
      <c r="N17" s="19">
        <f>IF(H17=0,0,L17/H17)</f>
        <v>0</v>
      </c>
      <c r="O17" s="26"/>
      <c r="P17" s="21">
        <f>P12-P15</f>
        <v>0</v>
      </c>
      <c r="Q17" s="13"/>
      <c r="R17" s="19">
        <f>IF(P$12=0,0,P17/P$12)</f>
        <v>0</v>
      </c>
      <c r="S17" s="13"/>
      <c r="T17" s="21">
        <f>T12-T15</f>
        <v>0</v>
      </c>
      <c r="U17" s="13"/>
      <c r="V17" s="19">
        <f>IF(T$12=0,0,T17/T$12)</f>
        <v>0</v>
      </c>
      <c r="W17" s="16"/>
      <c r="X17" s="21">
        <f>+P17-T17</f>
        <v>0</v>
      </c>
      <c r="Y17" s="16"/>
      <c r="Z17" s="19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20">
        <f>SUM(OSRRefD22x_0)</f>
        <v>211174.95</v>
      </c>
      <c r="E19" s="20"/>
      <c r="F19" s="30">
        <f t="shared" ref="F19:F31" si="4">IF(D$12=0,0,D19/D$12)</f>
        <v>0</v>
      </c>
      <c r="G19" s="20"/>
      <c r="H19" s="20">
        <f>SUM(OSRRefH22x_0)</f>
        <v>246984.64046153845</v>
      </c>
      <c r="I19" s="20"/>
      <c r="J19" s="30">
        <f t="shared" ref="J19:J31" si="5">IF(H$12=0,0,H19/H$12)</f>
        <v>0</v>
      </c>
      <c r="K19" s="4"/>
      <c r="L19" s="20">
        <f t="shared" ref="L19:L31" si="6">+D19-H19</f>
        <v>-35809.690461538441</v>
      </c>
      <c r="M19" s="4"/>
      <c r="N19" s="30">
        <f t="shared" ref="N19:N31" si="7">IF(H19=0,0,L19/H19)</f>
        <v>-0.14498751984990291</v>
      </c>
      <c r="O19" s="10"/>
      <c r="P19" s="20">
        <f>SUM(OSRRefP22x_0)</f>
        <v>951551.21</v>
      </c>
      <c r="Q19" s="20"/>
      <c r="R19" s="30">
        <f t="shared" ref="R19:R31" si="8">IF(P$12=0,0,P19/P$12)</f>
        <v>0</v>
      </c>
      <c r="S19" s="20"/>
      <c r="T19" s="20">
        <f>SUM(OSRRefT22x_0)</f>
        <v>1622997.4181461539</v>
      </c>
      <c r="U19" s="20"/>
      <c r="V19" s="30">
        <f t="shared" ref="V19:V31" si="9">IF(T$12=0,0,T19/T$12)</f>
        <v>0</v>
      </c>
      <c r="W19" s="4"/>
      <c r="X19" s="20">
        <f t="shared" ref="X19:X31" si="10">+P19-T19</f>
        <v>-671446.20814615395</v>
      </c>
      <c r="Y19" s="4"/>
      <c r="Z19" s="30">
        <f t="shared" ref="Z19:Z31" si="11">IF(T19=0,0,X19/T19)</f>
        <v>-0.41370750232807146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78521.52</v>
      </c>
      <c r="E20" s="1"/>
      <c r="F20" s="5">
        <f t="shared" si="4"/>
        <v>0</v>
      </c>
      <c r="G20" s="1"/>
      <c r="H20" s="1">
        <f>SUM(OSRRefH22_0x_0)</f>
        <v>77256.625076923083</v>
      </c>
      <c r="I20" s="1"/>
      <c r="J20" s="5">
        <f t="shared" si="5"/>
        <v>0</v>
      </c>
      <c r="K20" s="1"/>
      <c r="L20" s="1">
        <f t="shared" si="6"/>
        <v>1264.8949230769213</v>
      </c>
      <c r="M20" s="1"/>
      <c r="N20" s="5">
        <f t="shared" si="7"/>
        <v>1.6372640169273346E-2</v>
      </c>
      <c r="O20" s="14"/>
      <c r="P20" s="1">
        <f>SUM(OSRRefP22_0x_0)</f>
        <v>105476.05999999995</v>
      </c>
      <c r="Q20" s="1"/>
      <c r="R20" s="5">
        <f t="shared" si="8"/>
        <v>0</v>
      </c>
      <c r="S20" s="1"/>
      <c r="T20" s="1">
        <f>SUM(OSRRefT22_0x_0)</f>
        <v>479036.81814615394</v>
      </c>
      <c r="U20" s="1"/>
      <c r="V20" s="5">
        <f t="shared" si="9"/>
        <v>0</v>
      </c>
      <c r="W20" s="1"/>
      <c r="X20" s="1">
        <f t="shared" si="10"/>
        <v>-373560.758146154</v>
      </c>
      <c r="Y20" s="1"/>
      <c r="Z20" s="5">
        <f t="shared" si="11"/>
        <v>-0.77981638152953159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7">
        <v>5976.26</v>
      </c>
      <c r="E21" s="2"/>
      <c r="F21" s="6">
        <f t="shared" si="4"/>
        <v>0</v>
      </c>
      <c r="G21" s="2"/>
      <c r="H21" s="7">
        <v>6961.40427692308</v>
      </c>
      <c r="I21" s="2"/>
      <c r="J21" s="6">
        <f t="shared" si="5"/>
        <v>0</v>
      </c>
      <c r="K21" s="2"/>
      <c r="L21" s="7">
        <f t="shared" si="6"/>
        <v>-985.14427692307981</v>
      </c>
      <c r="M21" s="2"/>
      <c r="N21" s="6">
        <f t="shared" si="7"/>
        <v>-0.14151516529341845</v>
      </c>
      <c r="O21" s="11"/>
      <c r="P21" s="7">
        <v>47834.33</v>
      </c>
      <c r="Q21" s="2"/>
      <c r="R21" s="6">
        <f t="shared" si="8"/>
        <v>0</v>
      </c>
      <c r="S21" s="2"/>
      <c r="T21" s="7">
        <v>45601.931100000023</v>
      </c>
      <c r="U21" s="2"/>
      <c r="V21" s="6">
        <f t="shared" si="9"/>
        <v>0</v>
      </c>
      <c r="W21" s="2"/>
      <c r="X21" s="7">
        <f t="shared" si="10"/>
        <v>2232.3988999999783</v>
      </c>
      <c r="Y21" s="2"/>
      <c r="Z21" s="6">
        <f t="shared" si="11"/>
        <v>4.895404308875808E-2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7">
        <v>1162.5899999999999</v>
      </c>
      <c r="E22" s="2"/>
      <c r="F22" s="6">
        <f t="shared" si="4"/>
        <v>0</v>
      </c>
      <c r="G22" s="2"/>
      <c r="H22" s="7">
        <v>606.721753846154</v>
      </c>
      <c r="I22" s="2"/>
      <c r="J22" s="6">
        <f t="shared" si="5"/>
        <v>0</v>
      </c>
      <c r="K22" s="2"/>
      <c r="L22" s="7">
        <f t="shared" si="6"/>
        <v>555.86824615384592</v>
      </c>
      <c r="M22" s="2"/>
      <c r="N22" s="6">
        <f t="shared" si="7"/>
        <v>0.91618314759618302</v>
      </c>
      <c r="O22" s="11"/>
      <c r="P22" s="7">
        <v>4707.0200000000004</v>
      </c>
      <c r="Q22" s="2"/>
      <c r="R22" s="6">
        <f t="shared" si="8"/>
        <v>0</v>
      </c>
      <c r="S22" s="2"/>
      <c r="T22" s="7">
        <v>3957.7163999999998</v>
      </c>
      <c r="U22" s="2"/>
      <c r="V22" s="6">
        <f t="shared" si="9"/>
        <v>0</v>
      </c>
      <c r="W22" s="2"/>
      <c r="X22" s="7">
        <f t="shared" si="10"/>
        <v>749.30360000000064</v>
      </c>
      <c r="Y22" s="2"/>
      <c r="Z22" s="6">
        <f t="shared" si="11"/>
        <v>0.18932725952774199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7">
        <v>23241.89</v>
      </c>
      <c r="E23" s="2"/>
      <c r="F23" s="6">
        <f t="shared" si="4"/>
        <v>0</v>
      </c>
      <c r="G23" s="2"/>
      <c r="H23" s="7">
        <v>20373.557692307699</v>
      </c>
      <c r="I23" s="2"/>
      <c r="J23" s="6">
        <f t="shared" si="5"/>
        <v>0</v>
      </c>
      <c r="K23" s="2"/>
      <c r="L23" s="7">
        <f t="shared" si="6"/>
        <v>2868.3323076923007</v>
      </c>
      <c r="M23" s="2"/>
      <c r="N23" s="6">
        <f t="shared" si="7"/>
        <v>0.14078701182245046</v>
      </c>
      <c r="O23" s="11"/>
      <c r="P23" s="7">
        <v>137967.78</v>
      </c>
      <c r="Q23" s="2"/>
      <c r="R23" s="6">
        <f t="shared" si="8"/>
        <v>0</v>
      </c>
      <c r="S23" s="2"/>
      <c r="T23" s="7">
        <v>127351.15384615387</v>
      </c>
      <c r="U23" s="2"/>
      <c r="V23" s="6">
        <f t="shared" si="9"/>
        <v>0</v>
      </c>
      <c r="W23" s="2"/>
      <c r="X23" s="7">
        <f t="shared" si="10"/>
        <v>10616.626153846126</v>
      </c>
      <c r="Y23" s="2"/>
      <c r="Z23" s="6">
        <f t="shared" si="11"/>
        <v>8.3364978119252101E-2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7"/>
      <c r="E24" s="2"/>
      <c r="F24" s="6">
        <f t="shared" si="4"/>
        <v>0</v>
      </c>
      <c r="G24" s="2"/>
      <c r="H24" s="7">
        <v>262.53519999999997</v>
      </c>
      <c r="I24" s="2"/>
      <c r="J24" s="6">
        <f t="shared" si="5"/>
        <v>0</v>
      </c>
      <c r="K24" s="2"/>
      <c r="L24" s="7">
        <f t="shared" si="6"/>
        <v>-262.53519999999997</v>
      </c>
      <c r="M24" s="2"/>
      <c r="N24" s="6">
        <f t="shared" si="7"/>
        <v>-1</v>
      </c>
      <c r="O24" s="11"/>
      <c r="P24" s="7">
        <v>1570.72</v>
      </c>
      <c r="Q24" s="2"/>
      <c r="R24" s="6">
        <f t="shared" si="8"/>
        <v>0</v>
      </c>
      <c r="S24" s="2"/>
      <c r="T24" s="7">
        <v>1710.9767999999999</v>
      </c>
      <c r="U24" s="2"/>
      <c r="V24" s="6">
        <f t="shared" si="9"/>
        <v>0</v>
      </c>
      <c r="W24" s="2"/>
      <c r="X24" s="7">
        <f t="shared" si="10"/>
        <v>-140.25679999999988</v>
      </c>
      <c r="Y24" s="2"/>
      <c r="Z24" s="6">
        <f t="shared" si="11"/>
        <v>-8.1974694221452857E-2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7">
        <v>7443.75</v>
      </c>
      <c r="E25" s="2"/>
      <c r="F25" s="6">
        <f t="shared" si="4"/>
        <v>0</v>
      </c>
      <c r="G25" s="2"/>
      <c r="H25" s="7">
        <v>5815.5846153846151</v>
      </c>
      <c r="I25" s="2"/>
      <c r="J25" s="6">
        <f t="shared" si="5"/>
        <v>0</v>
      </c>
      <c r="K25" s="2"/>
      <c r="L25" s="7">
        <f t="shared" si="6"/>
        <v>1628.1653846153849</v>
      </c>
      <c r="M25" s="2"/>
      <c r="N25" s="6">
        <f t="shared" si="7"/>
        <v>0.27996590064362875</v>
      </c>
      <c r="O25" s="11"/>
      <c r="P25" s="7">
        <v>55305.279999999999</v>
      </c>
      <c r="Q25" s="2"/>
      <c r="R25" s="6">
        <f t="shared" si="8"/>
        <v>0</v>
      </c>
      <c r="S25" s="2"/>
      <c r="T25" s="7">
        <v>37801.300000000025</v>
      </c>
      <c r="U25" s="2"/>
      <c r="V25" s="6">
        <f t="shared" si="9"/>
        <v>0</v>
      </c>
      <c r="W25" s="2"/>
      <c r="X25" s="7">
        <f t="shared" si="10"/>
        <v>17503.979999999974</v>
      </c>
      <c r="Y25" s="2"/>
      <c r="Z25" s="6">
        <f t="shared" si="11"/>
        <v>0.46305232888815895</v>
      </c>
    </row>
    <row r="26" spans="1:26" s="24" customFormat="1" hidden="1" outlineLevel="2" x14ac:dyDescent="0.25">
      <c r="A26" s="29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300</v>
      </c>
      <c r="I26" s="2"/>
      <c r="J26" s="6">
        <f t="shared" si="5"/>
        <v>0</v>
      </c>
      <c r="K26" s="2"/>
      <c r="L26" s="7">
        <f t="shared" si="6"/>
        <v>-300</v>
      </c>
      <c r="M26" s="2"/>
      <c r="N26" s="6">
        <f t="shared" si="7"/>
        <v>-1</v>
      </c>
      <c r="O26" s="11"/>
      <c r="P26" s="7"/>
      <c r="Q26" s="2"/>
      <c r="R26" s="6">
        <f t="shared" si="8"/>
        <v>0</v>
      </c>
      <c r="S26" s="2"/>
      <c r="T26" s="7">
        <v>1800</v>
      </c>
      <c r="U26" s="2"/>
      <c r="V26" s="6">
        <f t="shared" si="9"/>
        <v>0</v>
      </c>
      <c r="W26" s="2"/>
      <c r="X26" s="7">
        <f t="shared" si="10"/>
        <v>-1800</v>
      </c>
      <c r="Y26" s="2"/>
      <c r="Z26" s="6">
        <f t="shared" si="11"/>
        <v>-1</v>
      </c>
    </row>
    <row r="27" spans="1:26" s="24" customFormat="1" hidden="1" outlineLevel="2" x14ac:dyDescent="0.25">
      <c r="A27" s="29"/>
      <c r="B27" s="11" t="str">
        <f>CONCATENATE("          ", "6117", " - ", "RETIREMENT STAFF HOURLY")</f>
        <v xml:space="preserve">          6117 - RETIREMENT STAFF HOURLY</v>
      </c>
      <c r="C27" s="11"/>
      <c r="D27" s="7">
        <v>590.65</v>
      </c>
      <c r="E27" s="2"/>
      <c r="F27" s="6">
        <f t="shared" si="4"/>
        <v>0</v>
      </c>
      <c r="G27" s="2"/>
      <c r="H27" s="7"/>
      <c r="I27" s="2"/>
      <c r="J27" s="6">
        <f t="shared" si="5"/>
        <v>0</v>
      </c>
      <c r="K27" s="2"/>
      <c r="L27" s="7">
        <f t="shared" si="6"/>
        <v>590.65</v>
      </c>
      <c r="M27" s="2"/>
      <c r="N27" s="6">
        <f t="shared" si="7"/>
        <v>0</v>
      </c>
      <c r="O27" s="11"/>
      <c r="P27" s="7">
        <v>4758.09</v>
      </c>
      <c r="Q27" s="2"/>
      <c r="R27" s="6">
        <f t="shared" si="8"/>
        <v>0</v>
      </c>
      <c r="S27" s="2"/>
      <c r="T27" s="7"/>
      <c r="U27" s="2"/>
      <c r="V27" s="6">
        <f t="shared" si="9"/>
        <v>0</v>
      </c>
      <c r="W27" s="2"/>
      <c r="X27" s="7">
        <f t="shared" si="10"/>
        <v>4758.09</v>
      </c>
      <c r="Y27" s="2"/>
      <c r="Z27" s="6">
        <f t="shared" si="11"/>
        <v>0</v>
      </c>
    </row>
    <row r="28" spans="1:26" s="24" customFormat="1" hidden="1" outlineLevel="2" x14ac:dyDescent="0.25">
      <c r="A28" s="29"/>
      <c r="B28" s="11" t="str">
        <f>CONCATENATE("          ", "6118", " - ", "VACATION")</f>
        <v xml:space="preserve">          6118 - VACATION</v>
      </c>
      <c r="C28" s="11"/>
      <c r="D28" s="7">
        <v>5615.14</v>
      </c>
      <c r="E28" s="2"/>
      <c r="F28" s="6">
        <f t="shared" si="4"/>
        <v>0</v>
      </c>
      <c r="G28" s="2"/>
      <c r="H28" s="7">
        <v>4702.1538461538448</v>
      </c>
      <c r="I28" s="2"/>
      <c r="J28" s="6">
        <f t="shared" si="5"/>
        <v>0</v>
      </c>
      <c r="K28" s="2"/>
      <c r="L28" s="7">
        <f t="shared" si="6"/>
        <v>912.9861538461555</v>
      </c>
      <c r="M28" s="2"/>
      <c r="N28" s="6">
        <f t="shared" si="7"/>
        <v>0.19416339484360726</v>
      </c>
      <c r="O28" s="11"/>
      <c r="P28" s="7">
        <v>39469.82</v>
      </c>
      <c r="Q28" s="2"/>
      <c r="R28" s="6">
        <f t="shared" si="8"/>
        <v>0</v>
      </c>
      <c r="S28" s="2"/>
      <c r="T28" s="7">
        <v>30591.500000000004</v>
      </c>
      <c r="U28" s="2"/>
      <c r="V28" s="6">
        <f t="shared" si="9"/>
        <v>0</v>
      </c>
      <c r="W28" s="2"/>
      <c r="X28" s="7">
        <f t="shared" si="10"/>
        <v>8878.3199999999961</v>
      </c>
      <c r="Y28" s="2"/>
      <c r="Z28" s="6">
        <f t="shared" si="11"/>
        <v>0.29022179363548684</v>
      </c>
    </row>
    <row r="29" spans="1:26" s="24" customFormat="1" hidden="1" outlineLevel="2" x14ac:dyDescent="0.25">
      <c r="A29" s="29"/>
      <c r="B29" s="11" t="str">
        <f>CONCATENATE("          ", "6119", " - ", "SICK LEAVE")</f>
        <v xml:space="preserve">          6119 - SICK LEAVE</v>
      </c>
      <c r="C29" s="11"/>
      <c r="D29" s="7">
        <v>4003.52</v>
      </c>
      <c r="E29" s="2"/>
      <c r="F29" s="6">
        <f t="shared" si="4"/>
        <v>0</v>
      </c>
      <c r="G29" s="2"/>
      <c r="H29" s="7">
        <v>3884.6676923076911</v>
      </c>
      <c r="I29" s="2"/>
      <c r="J29" s="6">
        <f t="shared" si="5"/>
        <v>0</v>
      </c>
      <c r="K29" s="2"/>
      <c r="L29" s="7">
        <f t="shared" si="6"/>
        <v>118.85230769230884</v>
      </c>
      <c r="M29" s="2"/>
      <c r="N29" s="6">
        <f t="shared" si="7"/>
        <v>3.0595231588961089E-2</v>
      </c>
      <c r="O29" s="11"/>
      <c r="P29" s="7">
        <v>26797.78</v>
      </c>
      <c r="Q29" s="2"/>
      <c r="R29" s="6">
        <f t="shared" si="8"/>
        <v>0</v>
      </c>
      <c r="S29" s="2"/>
      <c r="T29" s="7">
        <v>25202.239999999994</v>
      </c>
      <c r="U29" s="2"/>
      <c r="V29" s="6">
        <f t="shared" si="9"/>
        <v>0</v>
      </c>
      <c r="W29" s="2"/>
      <c r="X29" s="7">
        <f t="shared" si="10"/>
        <v>1595.5400000000045</v>
      </c>
      <c r="Y29" s="2"/>
      <c r="Z29" s="6">
        <f t="shared" si="11"/>
        <v>6.3309451858247712E-2</v>
      </c>
    </row>
    <row r="30" spans="1:26" s="24" customFormat="1" hidden="1" outlineLevel="2" x14ac:dyDescent="0.25">
      <c r="A30" s="29"/>
      <c r="B30" s="11" t="str">
        <f>CONCATENATE("          ", "6120", " - ", "RETIREES HEALTH INSURANCE")</f>
        <v xml:space="preserve">          6120 - RETIREES HEALTH INSURANCE</v>
      </c>
      <c r="C30" s="11"/>
      <c r="D30" s="7">
        <v>29918.37</v>
      </c>
      <c r="E30" s="2"/>
      <c r="F30" s="6">
        <f t="shared" si="4"/>
        <v>0</v>
      </c>
      <c r="G30" s="2"/>
      <c r="H30" s="7">
        <v>32000</v>
      </c>
      <c r="I30" s="2"/>
      <c r="J30" s="6">
        <f t="shared" si="5"/>
        <v>0</v>
      </c>
      <c r="K30" s="2"/>
      <c r="L30" s="7">
        <f t="shared" si="6"/>
        <v>-2081.630000000001</v>
      </c>
      <c r="M30" s="2"/>
      <c r="N30" s="6">
        <f t="shared" si="7"/>
        <v>-6.5050937500000031E-2</v>
      </c>
      <c r="O30" s="11"/>
      <c r="P30" s="7">
        <v>-217338.28</v>
      </c>
      <c r="Q30" s="2"/>
      <c r="R30" s="6">
        <f t="shared" si="8"/>
        <v>0</v>
      </c>
      <c r="S30" s="2"/>
      <c r="T30" s="7">
        <v>192000</v>
      </c>
      <c r="U30" s="2"/>
      <c r="V30" s="6">
        <f t="shared" si="9"/>
        <v>0</v>
      </c>
      <c r="W30" s="2"/>
      <c r="X30" s="7">
        <f t="shared" si="10"/>
        <v>-409338.28</v>
      </c>
      <c r="Y30" s="2"/>
      <c r="Z30" s="6">
        <f t="shared" si="11"/>
        <v>-2.1319702083333336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>
        <v>569.35</v>
      </c>
      <c r="E31" s="2"/>
      <c r="F31" s="6">
        <f t="shared" si="4"/>
        <v>0</v>
      </c>
      <c r="G31" s="2"/>
      <c r="H31" s="7">
        <v>2350</v>
      </c>
      <c r="I31" s="2"/>
      <c r="J31" s="6">
        <f t="shared" si="5"/>
        <v>0</v>
      </c>
      <c r="K31" s="2"/>
      <c r="L31" s="7">
        <f t="shared" si="6"/>
        <v>-1780.65</v>
      </c>
      <c r="M31" s="2"/>
      <c r="N31" s="6">
        <f t="shared" si="7"/>
        <v>-0.75772340425531914</v>
      </c>
      <c r="O31" s="11"/>
      <c r="P31" s="7">
        <v>4403.5200000000004</v>
      </c>
      <c r="Q31" s="2"/>
      <c r="R31" s="6">
        <f t="shared" si="8"/>
        <v>0</v>
      </c>
      <c r="S31" s="2"/>
      <c r="T31" s="7">
        <v>13020</v>
      </c>
      <c r="U31" s="2"/>
      <c r="V31" s="6">
        <f t="shared" si="9"/>
        <v>0</v>
      </c>
      <c r="W31" s="2"/>
      <c r="X31" s="7">
        <f t="shared" si="10"/>
        <v>-8616.48</v>
      </c>
      <c r="Y31" s="2"/>
      <c r="Z31" s="6">
        <f t="shared" si="11"/>
        <v>-0.66178801843317969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87998.749999999985</v>
      </c>
      <c r="E32" s="1"/>
      <c r="F32" s="5">
        <f t="shared" ref="F32:F42" si="12">IF(D$12=0,0,D32/D$12)</f>
        <v>0</v>
      </c>
      <c r="G32" s="1"/>
      <c r="H32" s="1">
        <f>SUM(OSRRefH22_1x_0)</f>
        <v>92877.01538461537</v>
      </c>
      <c r="I32" s="1"/>
      <c r="J32" s="5">
        <f t="shared" ref="J32:J42" si="13">IF(H$12=0,0,H32/H$12)</f>
        <v>0</v>
      </c>
      <c r="K32" s="1"/>
      <c r="L32" s="1">
        <f t="shared" ref="L32:L42" si="14">+D32-H32</f>
        <v>-4878.2653846153844</v>
      </c>
      <c r="M32" s="1"/>
      <c r="N32" s="5">
        <f t="shared" ref="N32:N42" si="15">IF(H32=0,0,L32/H32)</f>
        <v>-5.2523924938951534E-2</v>
      </c>
      <c r="O32" s="14"/>
      <c r="P32" s="1">
        <f>SUM(OSRRefP22_1x_0)</f>
        <v>543945.34</v>
      </c>
      <c r="Q32" s="1"/>
      <c r="R32" s="5">
        <f t="shared" ref="R32:R42" si="16">IF(P$12=0,0,P32/P$12)</f>
        <v>0</v>
      </c>
      <c r="S32" s="1"/>
      <c r="T32" s="1">
        <f>SUM(OSRRefT22_1x_0)</f>
        <v>605375.60000000009</v>
      </c>
      <c r="U32" s="1"/>
      <c r="V32" s="5">
        <f t="shared" ref="V32:V42" si="17">IF(T$12=0,0,T32/T$12)</f>
        <v>0</v>
      </c>
      <c r="W32" s="1"/>
      <c r="X32" s="1">
        <f t="shared" ref="X32:X42" si="18">+P32-T32</f>
        <v>-61430.260000000126</v>
      </c>
      <c r="Y32" s="1"/>
      <c r="Z32" s="5">
        <f t="shared" ref="Z32:Z42" si="19">IF(T32=0,0,X32/T32)</f>
        <v>-0.10147462170592954</v>
      </c>
    </row>
    <row r="33" spans="1:26" s="24" customFormat="1" hidden="1" outlineLevel="2" x14ac:dyDescent="0.25">
      <c r="A33" s="29"/>
      <c r="B33" s="11" t="str">
        <f>CONCATENATE("          ", "6001", " - ", "ADMINISTRATIVE SALARIES")</f>
        <v xml:space="preserve">          6001 - ADMINISTRATIVE SALARIES</v>
      </c>
      <c r="C33" s="11"/>
      <c r="D33" s="7">
        <v>24034.959999999999</v>
      </c>
      <c r="E33" s="2"/>
      <c r="F33" s="6">
        <f t="shared" si="12"/>
        <v>0</v>
      </c>
      <c r="G33" s="2"/>
      <c r="H33" s="7">
        <v>27288.461538461499</v>
      </c>
      <c r="I33" s="2"/>
      <c r="J33" s="6">
        <f t="shared" si="13"/>
        <v>0</v>
      </c>
      <c r="K33" s="2"/>
      <c r="L33" s="7">
        <f t="shared" si="14"/>
        <v>-3253.5015384614999</v>
      </c>
      <c r="M33" s="2"/>
      <c r="N33" s="6">
        <f t="shared" si="15"/>
        <v>-0.11922627202254985</v>
      </c>
      <c r="O33" s="11"/>
      <c r="P33" s="7">
        <v>147976.54999999999</v>
      </c>
      <c r="Q33" s="2"/>
      <c r="R33" s="6">
        <f t="shared" si="16"/>
        <v>0</v>
      </c>
      <c r="S33" s="2"/>
      <c r="T33" s="7">
        <v>177374.99999999988</v>
      </c>
      <c r="U33" s="2"/>
      <c r="V33" s="6">
        <f t="shared" si="17"/>
        <v>0</v>
      </c>
      <c r="W33" s="2"/>
      <c r="X33" s="7">
        <f t="shared" si="18"/>
        <v>-29398.449999999895</v>
      </c>
      <c r="Y33" s="2"/>
      <c r="Z33" s="6">
        <f t="shared" si="19"/>
        <v>-0.1657417899929523</v>
      </c>
    </row>
    <row r="34" spans="1:26" s="24" customFormat="1" hidden="1" outlineLevel="2" x14ac:dyDescent="0.25">
      <c r="A34" s="29"/>
      <c r="B34" s="11" t="str">
        <f>CONCATENATE("          ", "6002", " - ", "STAFF SALARIES")</f>
        <v xml:space="preserve">          6002 - STAFF SALARIES</v>
      </c>
      <c r="C34" s="11"/>
      <c r="D34" s="7">
        <v>43397.52</v>
      </c>
      <c r="E34" s="2"/>
      <c r="F34" s="6">
        <f t="shared" si="12"/>
        <v>0</v>
      </c>
      <c r="G34" s="2"/>
      <c r="H34" s="7">
        <v>34146.153846153873</v>
      </c>
      <c r="I34" s="2"/>
      <c r="J34" s="6">
        <f t="shared" si="13"/>
        <v>0</v>
      </c>
      <c r="K34" s="2"/>
      <c r="L34" s="7">
        <f t="shared" si="14"/>
        <v>9251.3661538461238</v>
      </c>
      <c r="M34" s="2"/>
      <c r="N34" s="6">
        <f t="shared" si="15"/>
        <v>0.27093435458436477</v>
      </c>
      <c r="O34" s="11"/>
      <c r="P34" s="7">
        <v>287432.07</v>
      </c>
      <c r="Q34" s="2"/>
      <c r="R34" s="6">
        <f t="shared" si="16"/>
        <v>0</v>
      </c>
      <c r="S34" s="2"/>
      <c r="T34" s="7">
        <v>221950.0000000002</v>
      </c>
      <c r="U34" s="2"/>
      <c r="V34" s="6">
        <f t="shared" si="17"/>
        <v>0</v>
      </c>
      <c r="W34" s="2"/>
      <c r="X34" s="7">
        <f t="shared" si="18"/>
        <v>65482.069999999803</v>
      </c>
      <c r="Y34" s="2"/>
      <c r="Z34" s="6">
        <f t="shared" si="19"/>
        <v>0.29503072764135951</v>
      </c>
    </row>
    <row r="35" spans="1:26" s="24" customFormat="1" hidden="1" outlineLevel="2" x14ac:dyDescent="0.25">
      <c r="A35" s="29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/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0</v>
      </c>
      <c r="Y35" s="2"/>
      <c r="Z35" s="6">
        <f t="shared" si="19"/>
        <v>0</v>
      </c>
    </row>
    <row r="36" spans="1:26" s="24" customFormat="1" hidden="1" outlineLevel="2" x14ac:dyDescent="0.25">
      <c r="A36" s="29"/>
      <c r="B36" s="11" t="str">
        <f>CONCATENATE("          ", "6004", " - ", "STAFF HOURLY")</f>
        <v xml:space="preserve">          6004 - STAFF HOURLY</v>
      </c>
      <c r="C36" s="11"/>
      <c r="D36" s="7">
        <v>14243.95</v>
      </c>
      <c r="E36" s="2"/>
      <c r="F36" s="6">
        <f t="shared" si="12"/>
        <v>0</v>
      </c>
      <c r="G36" s="2"/>
      <c r="H36" s="7">
        <v>20346.400000000001</v>
      </c>
      <c r="I36" s="2"/>
      <c r="J36" s="6">
        <f t="shared" si="13"/>
        <v>0</v>
      </c>
      <c r="K36" s="2"/>
      <c r="L36" s="7">
        <f t="shared" si="14"/>
        <v>-6102.4500000000007</v>
      </c>
      <c r="M36" s="2"/>
      <c r="N36" s="6">
        <f t="shared" si="15"/>
        <v>-0.2999277513466756</v>
      </c>
      <c r="O36" s="11"/>
      <c r="P36" s="7">
        <v>108617.58</v>
      </c>
      <c r="Q36" s="2"/>
      <c r="R36" s="6">
        <f t="shared" si="16"/>
        <v>0</v>
      </c>
      <c r="S36" s="2"/>
      <c r="T36" s="7">
        <v>137746.6</v>
      </c>
      <c r="U36" s="2"/>
      <c r="V36" s="6">
        <f t="shared" si="17"/>
        <v>0</v>
      </c>
      <c r="W36" s="2"/>
      <c r="X36" s="7">
        <f t="shared" si="18"/>
        <v>-29129.020000000004</v>
      </c>
      <c r="Y36" s="2"/>
      <c r="Z36" s="6">
        <f t="shared" si="19"/>
        <v>-0.21146815964967558</v>
      </c>
    </row>
    <row r="37" spans="1:26" s="24" customFormat="1" hidden="1" outlineLevel="2" x14ac:dyDescent="0.25">
      <c r="A37" s="29"/>
      <c r="B37" s="11" t="str">
        <f>CONCATENATE("          ", "6005", " - ", "TEMPORARY WAGES-HOURLY")</f>
        <v xml:space="preserve">          6005 - TEMPORARY WAGES-HOURLY</v>
      </c>
      <c r="C37" s="11"/>
      <c r="D37" s="7">
        <v>5217.28</v>
      </c>
      <c r="E37" s="2"/>
      <c r="F37" s="6">
        <f t="shared" si="12"/>
        <v>0</v>
      </c>
      <c r="G37" s="2"/>
      <c r="H37" s="7">
        <v>7772</v>
      </c>
      <c r="I37" s="2"/>
      <c r="J37" s="6">
        <f t="shared" si="13"/>
        <v>0</v>
      </c>
      <c r="K37" s="2"/>
      <c r="L37" s="7">
        <f t="shared" si="14"/>
        <v>-2554.7200000000003</v>
      </c>
      <c r="M37" s="2"/>
      <c r="N37" s="6">
        <f t="shared" si="15"/>
        <v>-0.32870818322182194</v>
      </c>
      <c r="O37" s="11"/>
      <c r="P37" s="7">
        <v>36531.53</v>
      </c>
      <c r="Q37" s="2"/>
      <c r="R37" s="6">
        <f t="shared" si="16"/>
        <v>0</v>
      </c>
      <c r="S37" s="2"/>
      <c r="T37" s="7">
        <v>50518</v>
      </c>
      <c r="U37" s="2"/>
      <c r="V37" s="6">
        <f t="shared" si="17"/>
        <v>0</v>
      </c>
      <c r="W37" s="2"/>
      <c r="X37" s="7">
        <f t="shared" si="18"/>
        <v>-13986.470000000001</v>
      </c>
      <c r="Y37" s="2"/>
      <c r="Z37" s="6">
        <f t="shared" si="19"/>
        <v>-0.27686111880913739</v>
      </c>
    </row>
    <row r="38" spans="1:26" s="24" customFormat="1" hidden="1" outlineLevel="2" x14ac:dyDescent="0.25">
      <c r="A38" s="29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/>
      <c r="Q38" s="2"/>
      <c r="R38" s="6">
        <f t="shared" si="16"/>
        <v>0</v>
      </c>
      <c r="S38" s="2"/>
      <c r="T38" s="7">
        <v>0</v>
      </c>
      <c r="U38" s="2"/>
      <c r="V38" s="6">
        <f t="shared" si="17"/>
        <v>0</v>
      </c>
      <c r="W38" s="2"/>
      <c r="X38" s="7">
        <f t="shared" si="18"/>
        <v>0</v>
      </c>
      <c r="Y38" s="2"/>
      <c r="Z38" s="6">
        <f t="shared" si="19"/>
        <v>0</v>
      </c>
    </row>
    <row r="39" spans="1:26" s="24" customFormat="1" hidden="1" outlineLevel="2" x14ac:dyDescent="0.25">
      <c r="A39" s="29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12"/>
        <v>0</v>
      </c>
      <c r="G39" s="2"/>
      <c r="H39" s="7">
        <v>1120</v>
      </c>
      <c r="I39" s="2"/>
      <c r="J39" s="6">
        <f t="shared" si="13"/>
        <v>0</v>
      </c>
      <c r="K39" s="2"/>
      <c r="L39" s="7">
        <f t="shared" si="14"/>
        <v>-1120</v>
      </c>
      <c r="M39" s="2"/>
      <c r="N39" s="6">
        <f t="shared" si="15"/>
        <v>-1</v>
      </c>
      <c r="O39" s="11"/>
      <c r="P39" s="7">
        <v>-44841.009999999995</v>
      </c>
      <c r="Q39" s="2"/>
      <c r="R39" s="6">
        <f t="shared" si="16"/>
        <v>0</v>
      </c>
      <c r="S39" s="2"/>
      <c r="T39" s="7">
        <v>6259</v>
      </c>
      <c r="U39" s="2"/>
      <c r="V39" s="6">
        <f t="shared" si="17"/>
        <v>0</v>
      </c>
      <c r="W39" s="2"/>
      <c r="X39" s="7">
        <f t="shared" si="18"/>
        <v>-51100.009999999995</v>
      </c>
      <c r="Y39" s="2"/>
      <c r="Z39" s="6">
        <f t="shared" si="19"/>
        <v>-8.1642450870746117</v>
      </c>
    </row>
    <row r="40" spans="1:26" s="24" customFormat="1" hidden="1" outlineLevel="2" x14ac:dyDescent="0.25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7">
        <v>1105.04</v>
      </c>
      <c r="E40" s="2"/>
      <c r="F40" s="6">
        <f t="shared" si="12"/>
        <v>0</v>
      </c>
      <c r="G40" s="2"/>
      <c r="H40" s="7">
        <v>2204</v>
      </c>
      <c r="I40" s="2"/>
      <c r="J40" s="6">
        <f t="shared" si="13"/>
        <v>0</v>
      </c>
      <c r="K40" s="2"/>
      <c r="L40" s="7">
        <f t="shared" si="14"/>
        <v>-1098.96</v>
      </c>
      <c r="M40" s="2"/>
      <c r="N40" s="6">
        <f t="shared" si="15"/>
        <v>-0.49862068965517242</v>
      </c>
      <c r="O40" s="11"/>
      <c r="P40" s="7">
        <v>8228.6200000000008</v>
      </c>
      <c r="Q40" s="2"/>
      <c r="R40" s="6">
        <f t="shared" si="16"/>
        <v>0</v>
      </c>
      <c r="S40" s="2"/>
      <c r="T40" s="7">
        <v>11527</v>
      </c>
      <c r="U40" s="2"/>
      <c r="V40" s="6">
        <f t="shared" si="17"/>
        <v>0</v>
      </c>
      <c r="W40" s="2"/>
      <c r="X40" s="7">
        <f t="shared" si="18"/>
        <v>-3298.3799999999992</v>
      </c>
      <c r="Y40" s="2"/>
      <c r="Z40" s="6">
        <f t="shared" si="19"/>
        <v>-0.28614383621063583</v>
      </c>
    </row>
    <row r="41" spans="1:26" s="24" customFormat="1" hidden="1" outlineLevel="2" x14ac:dyDescent="0.25">
      <c r="A41" s="29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4" customFormat="1" hidden="1" outlineLevel="2" x14ac:dyDescent="0.25">
      <c r="A42" s="29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12"/>
        <v>0</v>
      </c>
      <c r="G42" s="2"/>
      <c r="H42" s="7">
        <v>0</v>
      </c>
      <c r="I42" s="2"/>
      <c r="J42" s="6">
        <f t="shared" si="13"/>
        <v>0</v>
      </c>
      <c r="K42" s="2"/>
      <c r="L42" s="7">
        <f t="shared" si="14"/>
        <v>0</v>
      </c>
      <c r="M42" s="2"/>
      <c r="N42" s="6">
        <f t="shared" si="15"/>
        <v>0</v>
      </c>
      <c r="O42" s="11"/>
      <c r="P42" s="7"/>
      <c r="Q42" s="2"/>
      <c r="R42" s="6">
        <f t="shared" si="16"/>
        <v>0</v>
      </c>
      <c r="S42" s="2"/>
      <c r="T42" s="7">
        <v>0</v>
      </c>
      <c r="U42" s="2"/>
      <c r="V42" s="6">
        <f t="shared" si="17"/>
        <v>0</v>
      </c>
      <c r="W42" s="2"/>
      <c r="X42" s="7">
        <f t="shared" si="18"/>
        <v>0</v>
      </c>
      <c r="Y42" s="2"/>
      <c r="Z42" s="6">
        <f t="shared" si="19"/>
        <v>0</v>
      </c>
    </row>
    <row r="43" spans="1:26" s="28" customFormat="1" outlineLevel="1" collapsed="1" x14ac:dyDescent="0.25">
      <c r="A43" s="27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173.21</v>
      </c>
      <c r="E43" s="1"/>
      <c r="F43" s="5">
        <f t="shared" ref="F43:F51" si="20">IF(D$12=0,0,D43/D$12)</f>
        <v>0</v>
      </c>
      <c r="G43" s="1"/>
      <c r="H43" s="1">
        <f>SUM(OSRRefH22_2x_0)</f>
        <v>9083</v>
      </c>
      <c r="I43" s="1"/>
      <c r="J43" s="5">
        <f t="shared" ref="J43:J51" si="21">IF(H$12=0,0,H43/H$12)</f>
        <v>0</v>
      </c>
      <c r="K43" s="1"/>
      <c r="L43" s="1">
        <f t="shared" ref="L43:L51" si="22">+D43-H43</f>
        <v>-8909.7900000000009</v>
      </c>
      <c r="M43" s="1"/>
      <c r="N43" s="5">
        <f t="shared" ref="N43:N51" si="23">IF(H43=0,0,L43/H43)</f>
        <v>-0.98093030936915127</v>
      </c>
      <c r="O43" s="14"/>
      <c r="P43" s="1">
        <f>SUM(OSRRefP22_2x_0)</f>
        <v>932.85</v>
      </c>
      <c r="Q43" s="1"/>
      <c r="R43" s="5">
        <f t="shared" ref="R43:R51" si="24">IF(P$12=0,0,P43/P$12)</f>
        <v>0</v>
      </c>
      <c r="S43" s="1"/>
      <c r="T43" s="1">
        <f>SUM(OSRRefT22_2x_0)</f>
        <v>54598</v>
      </c>
      <c r="U43" s="1"/>
      <c r="V43" s="5">
        <f t="shared" ref="V43:V51" si="25">IF(T$12=0,0,T43/T$12)</f>
        <v>0</v>
      </c>
      <c r="W43" s="1"/>
      <c r="X43" s="1">
        <f t="shared" ref="X43:X51" si="26">+P43-T43</f>
        <v>-53665.15</v>
      </c>
      <c r="Y43" s="1"/>
      <c r="Z43" s="5">
        <f t="shared" ref="Z43:Z51" si="27">IF(T43=0,0,X43/T43)</f>
        <v>-0.98291420931169637</v>
      </c>
    </row>
    <row r="44" spans="1:26" s="24" customFormat="1" hidden="1" outlineLevel="2" x14ac:dyDescent="0.25">
      <c r="A44" s="29"/>
      <c r="B44" s="11" t="str">
        <f>CONCATENATE("          ", "6362", " - ", "ADVERTISING EXPENSE")</f>
        <v xml:space="preserve">          6362 - ADVERTISING EXPENSE</v>
      </c>
      <c r="C44" s="11"/>
      <c r="D44" s="7">
        <v>173.21</v>
      </c>
      <c r="E44" s="2"/>
      <c r="F44" s="6">
        <f t="shared" si="20"/>
        <v>0</v>
      </c>
      <c r="G44" s="2"/>
      <c r="H44" s="7">
        <v>9083</v>
      </c>
      <c r="I44" s="2"/>
      <c r="J44" s="6">
        <f t="shared" si="21"/>
        <v>0</v>
      </c>
      <c r="K44" s="2"/>
      <c r="L44" s="7">
        <f t="shared" si="22"/>
        <v>-8909.7900000000009</v>
      </c>
      <c r="M44" s="2"/>
      <c r="N44" s="6">
        <f t="shared" si="23"/>
        <v>-0.98093030936915127</v>
      </c>
      <c r="O44" s="11"/>
      <c r="P44" s="7">
        <v>932.85</v>
      </c>
      <c r="Q44" s="2"/>
      <c r="R44" s="6">
        <f t="shared" si="24"/>
        <v>0</v>
      </c>
      <c r="S44" s="2"/>
      <c r="T44" s="7">
        <v>54598</v>
      </c>
      <c r="U44" s="2"/>
      <c r="V44" s="6">
        <f t="shared" si="25"/>
        <v>0</v>
      </c>
      <c r="W44" s="2"/>
      <c r="X44" s="7">
        <f t="shared" si="26"/>
        <v>-53665.15</v>
      </c>
      <c r="Y44" s="2"/>
      <c r="Z44" s="6">
        <f t="shared" si="27"/>
        <v>-0.98291420931169637</v>
      </c>
    </row>
    <row r="45" spans="1:26" s="28" customFormat="1" outlineLevel="1" collapsed="1" x14ac:dyDescent="0.2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SUM(OSRRefD22_3x_0)</f>
        <v>7</v>
      </c>
      <c r="E45" s="1"/>
      <c r="F45" s="5">
        <f t="shared" si="20"/>
        <v>0</v>
      </c>
      <c r="G45" s="1"/>
      <c r="H45" s="1">
        <f>SUM(OSRRefH22_3x_0)</f>
        <v>2000</v>
      </c>
      <c r="I45" s="1"/>
      <c r="J45" s="5">
        <f t="shared" si="21"/>
        <v>0</v>
      </c>
      <c r="K45" s="1"/>
      <c r="L45" s="1">
        <f t="shared" si="22"/>
        <v>-1993</v>
      </c>
      <c r="M45" s="1"/>
      <c r="N45" s="5">
        <f t="shared" si="23"/>
        <v>-0.99650000000000005</v>
      </c>
      <c r="O45" s="14"/>
      <c r="P45" s="1">
        <f>SUM(OSRRefP22_3x_0)</f>
        <v>2904.58</v>
      </c>
      <c r="Q45" s="1"/>
      <c r="R45" s="5">
        <f t="shared" si="24"/>
        <v>0</v>
      </c>
      <c r="S45" s="1"/>
      <c r="T45" s="1">
        <f>SUM(OSRRefT22_3x_0)</f>
        <v>36000</v>
      </c>
      <c r="U45" s="1"/>
      <c r="V45" s="5">
        <f t="shared" si="25"/>
        <v>0</v>
      </c>
      <c r="W45" s="1"/>
      <c r="X45" s="1">
        <f t="shared" si="26"/>
        <v>-33095.42</v>
      </c>
      <c r="Y45" s="1"/>
      <c r="Z45" s="5">
        <f t="shared" si="27"/>
        <v>-0.91931722222222212</v>
      </c>
    </row>
    <row r="46" spans="1:26" s="24" customFormat="1" hidden="1" outlineLevel="2" x14ac:dyDescent="0.25">
      <c r="A46" s="29"/>
      <c r="B46" s="11" t="str">
        <f>CONCATENATE("          ", "6381", " - ", "BANK/CREDIT CARD FEES")</f>
        <v xml:space="preserve">          6381 - BANK/CREDIT CARD FEES</v>
      </c>
      <c r="C46" s="11"/>
      <c r="D46" s="7">
        <v>7</v>
      </c>
      <c r="E46" s="2"/>
      <c r="F46" s="6">
        <f t="shared" si="20"/>
        <v>0</v>
      </c>
      <c r="G46" s="2"/>
      <c r="H46" s="7">
        <v>2000</v>
      </c>
      <c r="I46" s="2"/>
      <c r="J46" s="6">
        <f t="shared" si="21"/>
        <v>0</v>
      </c>
      <c r="K46" s="2"/>
      <c r="L46" s="7">
        <f t="shared" si="22"/>
        <v>-1993</v>
      </c>
      <c r="M46" s="2"/>
      <c r="N46" s="6">
        <f t="shared" si="23"/>
        <v>-0.99650000000000005</v>
      </c>
      <c r="O46" s="11"/>
      <c r="P46" s="7">
        <v>2904.58</v>
      </c>
      <c r="Q46" s="2"/>
      <c r="R46" s="6">
        <f t="shared" si="24"/>
        <v>0</v>
      </c>
      <c r="S46" s="2"/>
      <c r="T46" s="7">
        <v>36000</v>
      </c>
      <c r="U46" s="2"/>
      <c r="V46" s="6">
        <f t="shared" si="25"/>
        <v>0</v>
      </c>
      <c r="W46" s="2"/>
      <c r="X46" s="7">
        <f t="shared" si="26"/>
        <v>-33095.42</v>
      </c>
      <c r="Y46" s="2"/>
      <c r="Z46" s="6">
        <f t="shared" si="27"/>
        <v>-0.91931722222222212</v>
      </c>
    </row>
    <row r="47" spans="1:26" s="28" customFormat="1" outlineLevel="1" collapsed="1" x14ac:dyDescent="0.25">
      <c r="A47" s="27"/>
      <c r="B47" s="14" t="str">
        <f>CONCATENATE("     ","Board                                             ")</f>
        <v xml:space="preserve">     Board                                             </v>
      </c>
      <c r="C47" s="14"/>
      <c r="D47" s="1">
        <f>SUM(OSRRefD22_4x_0)</f>
        <v>714.82</v>
      </c>
      <c r="E47" s="1"/>
      <c r="F47" s="5">
        <f t="shared" si="20"/>
        <v>0</v>
      </c>
      <c r="G47" s="1"/>
      <c r="H47" s="1">
        <f>SUM(OSRRefH22_4x_0)</f>
        <v>5137</v>
      </c>
      <c r="I47" s="1"/>
      <c r="J47" s="5">
        <f t="shared" si="21"/>
        <v>0</v>
      </c>
      <c r="K47" s="1"/>
      <c r="L47" s="1">
        <f t="shared" si="22"/>
        <v>-4422.18</v>
      </c>
      <c r="M47" s="1"/>
      <c r="N47" s="5">
        <f t="shared" si="23"/>
        <v>-0.86084874440334835</v>
      </c>
      <c r="O47" s="14"/>
      <c r="P47" s="1">
        <f>SUM(OSRRefP22_4x_0)</f>
        <v>7836.99</v>
      </c>
      <c r="Q47" s="1"/>
      <c r="R47" s="5">
        <f t="shared" si="24"/>
        <v>0</v>
      </c>
      <c r="S47" s="1"/>
      <c r="T47" s="1">
        <f>SUM(OSRRefT22_4x_0)</f>
        <v>16522</v>
      </c>
      <c r="U47" s="1"/>
      <c r="V47" s="5">
        <f t="shared" si="25"/>
        <v>0</v>
      </c>
      <c r="W47" s="1"/>
      <c r="X47" s="1">
        <f t="shared" si="26"/>
        <v>-8685.01</v>
      </c>
      <c r="Y47" s="1"/>
      <c r="Z47" s="5">
        <f t="shared" si="27"/>
        <v>-0.52566335794697983</v>
      </c>
    </row>
    <row r="48" spans="1:26" s="24" customFormat="1" hidden="1" outlineLevel="2" x14ac:dyDescent="0.25">
      <c r="A48" s="29"/>
      <c r="B48" s="11" t="str">
        <f>CONCATENATE("          ", "6397", " - ", "BOARD EXPENSES")</f>
        <v xml:space="preserve">          6397 - BOARD EXPENSES</v>
      </c>
      <c r="C48" s="11"/>
      <c r="D48" s="7">
        <v>714.82</v>
      </c>
      <c r="E48" s="2"/>
      <c r="F48" s="6">
        <f t="shared" si="20"/>
        <v>0</v>
      </c>
      <c r="G48" s="2"/>
      <c r="H48" s="7">
        <v>5137</v>
      </c>
      <c r="I48" s="2"/>
      <c r="J48" s="6">
        <f t="shared" si="21"/>
        <v>0</v>
      </c>
      <c r="K48" s="2"/>
      <c r="L48" s="7">
        <f t="shared" si="22"/>
        <v>-4422.18</v>
      </c>
      <c r="M48" s="2"/>
      <c r="N48" s="6">
        <f t="shared" si="23"/>
        <v>-0.86084874440334835</v>
      </c>
      <c r="O48" s="11"/>
      <c r="P48" s="7">
        <v>7836.99</v>
      </c>
      <c r="Q48" s="2"/>
      <c r="R48" s="6">
        <f t="shared" si="24"/>
        <v>0</v>
      </c>
      <c r="S48" s="2"/>
      <c r="T48" s="7">
        <v>16522</v>
      </c>
      <c r="U48" s="2"/>
      <c r="V48" s="6">
        <f t="shared" si="25"/>
        <v>0</v>
      </c>
      <c r="W48" s="2"/>
      <c r="X48" s="7">
        <f t="shared" si="26"/>
        <v>-8685.01</v>
      </c>
      <c r="Y48" s="2"/>
      <c r="Z48" s="6">
        <f t="shared" si="27"/>
        <v>-0.52566335794697983</v>
      </c>
    </row>
    <row r="49" spans="1:26" s="28" customFormat="1" outlineLevel="1" collapsed="1" x14ac:dyDescent="0.25">
      <c r="A49" s="27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7139.05</v>
      </c>
      <c r="E49" s="1"/>
      <c r="F49" s="5">
        <f t="shared" si="20"/>
        <v>0</v>
      </c>
      <c r="G49" s="1"/>
      <c r="H49" s="1">
        <f>SUM(OSRRefH22_5x_0)</f>
        <v>7139</v>
      </c>
      <c r="I49" s="1"/>
      <c r="J49" s="5">
        <f t="shared" si="21"/>
        <v>0</v>
      </c>
      <c r="K49" s="1"/>
      <c r="L49" s="1">
        <f t="shared" si="22"/>
        <v>5.0000000000181899E-2</v>
      </c>
      <c r="M49" s="1"/>
      <c r="N49" s="5">
        <f t="shared" si="23"/>
        <v>7.0037820423283231E-6</v>
      </c>
      <c r="O49" s="14"/>
      <c r="P49" s="1">
        <f>SUM(OSRRefP22_5x_0)</f>
        <v>44404.82</v>
      </c>
      <c r="Q49" s="1"/>
      <c r="R49" s="5">
        <f t="shared" si="24"/>
        <v>0</v>
      </c>
      <c r="S49" s="1"/>
      <c r="T49" s="1">
        <f>SUM(OSRRefT22_5x_0)</f>
        <v>39142</v>
      </c>
      <c r="U49" s="1"/>
      <c r="V49" s="5">
        <f t="shared" si="25"/>
        <v>0</v>
      </c>
      <c r="W49" s="1"/>
      <c r="X49" s="1">
        <f t="shared" si="26"/>
        <v>5262.82</v>
      </c>
      <c r="Y49" s="1"/>
      <c r="Z49" s="5">
        <f t="shared" si="27"/>
        <v>0.13445455009963722</v>
      </c>
    </row>
    <row r="50" spans="1:26" s="24" customFormat="1" hidden="1" outlineLevel="2" x14ac:dyDescent="0.25">
      <c r="A50" s="29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7139.05</v>
      </c>
      <c r="E50" s="2"/>
      <c r="F50" s="6">
        <f t="shared" si="20"/>
        <v>0</v>
      </c>
      <c r="G50" s="2"/>
      <c r="H50" s="7">
        <v>7139</v>
      </c>
      <c r="I50" s="2"/>
      <c r="J50" s="6">
        <f t="shared" si="21"/>
        <v>0</v>
      </c>
      <c r="K50" s="2"/>
      <c r="L50" s="7">
        <f t="shared" si="22"/>
        <v>5.0000000000181899E-2</v>
      </c>
      <c r="M50" s="2"/>
      <c r="N50" s="6">
        <f t="shared" si="23"/>
        <v>7.0037820423283231E-6</v>
      </c>
      <c r="O50" s="11"/>
      <c r="P50" s="7">
        <v>44404.82</v>
      </c>
      <c r="Q50" s="2"/>
      <c r="R50" s="6">
        <f t="shared" si="24"/>
        <v>0</v>
      </c>
      <c r="S50" s="2"/>
      <c r="T50" s="7">
        <v>39042</v>
      </c>
      <c r="U50" s="2"/>
      <c r="V50" s="6">
        <f t="shared" si="25"/>
        <v>0</v>
      </c>
      <c r="W50" s="2"/>
      <c r="X50" s="7">
        <f t="shared" si="26"/>
        <v>5362.82</v>
      </c>
      <c r="Y50" s="2"/>
      <c r="Z50" s="6">
        <f t="shared" si="27"/>
        <v>0.13736027867424824</v>
      </c>
    </row>
    <row r="51" spans="1:26" s="24" customFormat="1" hidden="1" outlineLevel="2" x14ac:dyDescent="0.25">
      <c r="A51" s="29"/>
      <c r="B51" s="11" t="str">
        <f>CONCATENATE("          ", "6324", " - ", "FURNITURE + FIXT DEPRECIATION")</f>
        <v xml:space="preserve">          6324 - FURNITURE + FIXT DEPRECIATION</v>
      </c>
      <c r="C51" s="11"/>
      <c r="D51" s="7"/>
      <c r="E51" s="2"/>
      <c r="F51" s="6">
        <f t="shared" si="20"/>
        <v>0</v>
      </c>
      <c r="G51" s="2"/>
      <c r="H51" s="7"/>
      <c r="I51" s="2"/>
      <c r="J51" s="6">
        <f t="shared" si="21"/>
        <v>0</v>
      </c>
      <c r="K51" s="2"/>
      <c r="L51" s="7">
        <f t="shared" si="22"/>
        <v>0</v>
      </c>
      <c r="M51" s="2"/>
      <c r="N51" s="6">
        <f t="shared" si="23"/>
        <v>0</v>
      </c>
      <c r="O51" s="11"/>
      <c r="P51" s="7"/>
      <c r="Q51" s="2"/>
      <c r="R51" s="6">
        <f t="shared" si="24"/>
        <v>0</v>
      </c>
      <c r="S51" s="2"/>
      <c r="T51" s="7">
        <v>100</v>
      </c>
      <c r="U51" s="2"/>
      <c r="V51" s="6">
        <f t="shared" si="25"/>
        <v>0</v>
      </c>
      <c r="W51" s="2"/>
      <c r="X51" s="7">
        <f t="shared" si="26"/>
        <v>-100</v>
      </c>
      <c r="Y51" s="2"/>
      <c r="Z51" s="6">
        <f t="shared" si="27"/>
        <v>-1</v>
      </c>
    </row>
    <row r="52" spans="1:26" s="28" customFormat="1" outlineLevel="1" collapsed="1" x14ac:dyDescent="0.25">
      <c r="A52" s="27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SUM(OSRRefD22_6x_0)</f>
        <v>0</v>
      </c>
      <c r="E52" s="1"/>
      <c r="F52" s="5">
        <f t="shared" ref="F52:F60" si="28">IF(D$12=0,0,D52/D$12)</f>
        <v>0</v>
      </c>
      <c r="G52" s="1"/>
      <c r="H52" s="1">
        <f>SUM(OSRRefH22_6x_0)</f>
        <v>0</v>
      </c>
      <c r="I52" s="1"/>
      <c r="J52" s="5">
        <f t="shared" ref="J52:J60" si="29">IF(H$12=0,0,H52/H$12)</f>
        <v>0</v>
      </c>
      <c r="K52" s="1"/>
      <c r="L52" s="1">
        <f t="shared" ref="L52:L60" si="30">+D52-H52</f>
        <v>0</v>
      </c>
      <c r="M52" s="1"/>
      <c r="N52" s="5">
        <f t="shared" ref="N52:N60" si="31">IF(H52=0,0,L52/H52)</f>
        <v>0</v>
      </c>
      <c r="O52" s="14"/>
      <c r="P52" s="1">
        <f>SUM(OSRRefP22_6x_0)</f>
        <v>25000</v>
      </c>
      <c r="Q52" s="1"/>
      <c r="R52" s="5">
        <f t="shared" ref="R52:R60" si="32">IF(P$12=0,0,P52/P$12)</f>
        <v>0</v>
      </c>
      <c r="S52" s="1"/>
      <c r="T52" s="1">
        <f>SUM(OSRRefT22_6x_0)</f>
        <v>34250</v>
      </c>
      <c r="U52" s="1"/>
      <c r="V52" s="5">
        <f t="shared" ref="V52:V60" si="33">IF(T$12=0,0,T52/T$12)</f>
        <v>0</v>
      </c>
      <c r="W52" s="1"/>
      <c r="X52" s="1">
        <f t="shared" ref="X52:X60" si="34">+P52-T52</f>
        <v>-9250</v>
      </c>
      <c r="Y52" s="1"/>
      <c r="Z52" s="5">
        <f t="shared" ref="Z52:Z60" si="35">IF(T52=0,0,X52/T52)</f>
        <v>-0.27007299270072993</v>
      </c>
    </row>
    <row r="53" spans="1:26" s="24" customFormat="1" hidden="1" outlineLevel="2" x14ac:dyDescent="0.25">
      <c r="A53" s="29"/>
      <c r="B53" s="11" t="str">
        <f>CONCATENATE("          ", "6399", " - ", "DONATION-ON CAMPUS")</f>
        <v xml:space="preserve">          6399 - DONATION-ON CAMPUS</v>
      </c>
      <c r="C53" s="11"/>
      <c r="D53" s="7"/>
      <c r="E53" s="2"/>
      <c r="F53" s="6">
        <f t="shared" si="28"/>
        <v>0</v>
      </c>
      <c r="G53" s="2"/>
      <c r="H53" s="7"/>
      <c r="I53" s="2"/>
      <c r="J53" s="6">
        <f t="shared" si="29"/>
        <v>0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>
        <v>25000</v>
      </c>
      <c r="Q53" s="2"/>
      <c r="R53" s="6">
        <f t="shared" si="32"/>
        <v>0</v>
      </c>
      <c r="S53" s="2"/>
      <c r="T53" s="7">
        <v>34250</v>
      </c>
      <c r="U53" s="2"/>
      <c r="V53" s="6">
        <f t="shared" si="33"/>
        <v>0</v>
      </c>
      <c r="W53" s="2"/>
      <c r="X53" s="7">
        <f t="shared" si="34"/>
        <v>-9250</v>
      </c>
      <c r="Y53" s="2"/>
      <c r="Z53" s="6">
        <f t="shared" si="35"/>
        <v>-0.27007299270072993</v>
      </c>
    </row>
    <row r="54" spans="1:26" s="28" customFormat="1" outlineLevel="1" collapsed="1" x14ac:dyDescent="0.25">
      <c r="A54" s="27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SUM(OSRRefD22_7x_0)</f>
        <v>0</v>
      </c>
      <c r="E54" s="1"/>
      <c r="F54" s="5">
        <f t="shared" si="28"/>
        <v>0</v>
      </c>
      <c r="G54" s="1"/>
      <c r="H54" s="1">
        <f>SUM(OSRRefH22_7x_0)</f>
        <v>2700</v>
      </c>
      <c r="I54" s="1"/>
      <c r="J54" s="5">
        <f t="shared" si="29"/>
        <v>0</v>
      </c>
      <c r="K54" s="1"/>
      <c r="L54" s="1">
        <f t="shared" si="30"/>
        <v>-2700</v>
      </c>
      <c r="M54" s="1"/>
      <c r="N54" s="5">
        <f t="shared" si="31"/>
        <v>-1</v>
      </c>
      <c r="O54" s="14"/>
      <c r="P54" s="1">
        <f>SUM(OSRRefP22_7x_0)</f>
        <v>81.56</v>
      </c>
      <c r="Q54" s="1"/>
      <c r="R54" s="5">
        <f t="shared" si="32"/>
        <v>0</v>
      </c>
      <c r="S54" s="1"/>
      <c r="T54" s="1">
        <f>SUM(OSRRefT22_7x_0)</f>
        <v>4200</v>
      </c>
      <c r="U54" s="1"/>
      <c r="V54" s="5">
        <f t="shared" si="33"/>
        <v>0</v>
      </c>
      <c r="W54" s="1"/>
      <c r="X54" s="1">
        <f t="shared" si="34"/>
        <v>-4118.4399999999996</v>
      </c>
      <c r="Y54" s="1"/>
      <c r="Z54" s="5">
        <f t="shared" si="35"/>
        <v>-0.98058095238095233</v>
      </c>
    </row>
    <row r="55" spans="1:26" s="24" customFormat="1" hidden="1" outlineLevel="2" x14ac:dyDescent="0.25">
      <c r="A55" s="29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28"/>
        <v>0</v>
      </c>
      <c r="G55" s="2"/>
      <c r="H55" s="7">
        <v>2700</v>
      </c>
      <c r="I55" s="2"/>
      <c r="J55" s="6">
        <f t="shared" si="29"/>
        <v>0</v>
      </c>
      <c r="K55" s="2"/>
      <c r="L55" s="7">
        <f t="shared" si="30"/>
        <v>-2700</v>
      </c>
      <c r="M55" s="2"/>
      <c r="N55" s="6">
        <f t="shared" si="31"/>
        <v>-1</v>
      </c>
      <c r="O55" s="11"/>
      <c r="P55" s="7">
        <v>81.56</v>
      </c>
      <c r="Q55" s="2"/>
      <c r="R55" s="6">
        <f t="shared" si="32"/>
        <v>0</v>
      </c>
      <c r="S55" s="2"/>
      <c r="T55" s="7">
        <v>4200</v>
      </c>
      <c r="U55" s="2"/>
      <c r="V55" s="6">
        <f t="shared" si="33"/>
        <v>0</v>
      </c>
      <c r="W55" s="2"/>
      <c r="X55" s="7">
        <f t="shared" si="34"/>
        <v>-4118.4399999999996</v>
      </c>
      <c r="Y55" s="2"/>
      <c r="Z55" s="6">
        <f t="shared" si="35"/>
        <v>-0.98058095238095233</v>
      </c>
    </row>
    <row r="56" spans="1:26" s="28" customFormat="1" outlineLevel="1" collapsed="1" x14ac:dyDescent="0.25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SUM(OSRRefD22_8x_0)</f>
        <v>208.97</v>
      </c>
      <c r="E56" s="1"/>
      <c r="F56" s="5">
        <f t="shared" si="28"/>
        <v>0</v>
      </c>
      <c r="G56" s="1"/>
      <c r="H56" s="1">
        <f>SUM(OSRRefH22_8x_0)</f>
        <v>291</v>
      </c>
      <c r="I56" s="1"/>
      <c r="J56" s="5">
        <f t="shared" si="29"/>
        <v>0</v>
      </c>
      <c r="K56" s="1"/>
      <c r="L56" s="1">
        <f t="shared" si="30"/>
        <v>-82.03</v>
      </c>
      <c r="M56" s="1"/>
      <c r="N56" s="5">
        <f t="shared" si="31"/>
        <v>-0.28189003436426119</v>
      </c>
      <c r="O56" s="14"/>
      <c r="P56" s="1">
        <f>SUM(OSRRefP22_8x_0)</f>
        <v>1253.82</v>
      </c>
      <c r="Q56" s="1"/>
      <c r="R56" s="5">
        <f t="shared" si="32"/>
        <v>0</v>
      </c>
      <c r="S56" s="1"/>
      <c r="T56" s="1">
        <f>SUM(OSRRefT22_8x_0)</f>
        <v>1664</v>
      </c>
      <c r="U56" s="1"/>
      <c r="V56" s="5">
        <f t="shared" si="33"/>
        <v>0</v>
      </c>
      <c r="W56" s="1"/>
      <c r="X56" s="1">
        <f t="shared" si="34"/>
        <v>-410.18000000000006</v>
      </c>
      <c r="Y56" s="1"/>
      <c r="Z56" s="5">
        <f t="shared" si="35"/>
        <v>-0.24650240384615388</v>
      </c>
    </row>
    <row r="57" spans="1:26" s="24" customFormat="1" hidden="1" outlineLevel="2" x14ac:dyDescent="0.25">
      <c r="A57" s="29"/>
      <c r="B57" s="11" t="str">
        <f>CONCATENATE("          ", "6351", " - ", "EQUIPMENT RENTAL")</f>
        <v xml:space="preserve">          6351 - EQUIPMENT RENTAL</v>
      </c>
      <c r="C57" s="11"/>
      <c r="D57" s="7">
        <v>208.97</v>
      </c>
      <c r="E57" s="2"/>
      <c r="F57" s="6">
        <f t="shared" si="28"/>
        <v>0</v>
      </c>
      <c r="G57" s="2"/>
      <c r="H57" s="7">
        <v>291</v>
      </c>
      <c r="I57" s="2"/>
      <c r="J57" s="6">
        <f t="shared" si="29"/>
        <v>0</v>
      </c>
      <c r="K57" s="2"/>
      <c r="L57" s="7">
        <f t="shared" si="30"/>
        <v>-82.03</v>
      </c>
      <c r="M57" s="2"/>
      <c r="N57" s="6">
        <f t="shared" si="31"/>
        <v>-0.28189003436426119</v>
      </c>
      <c r="O57" s="11"/>
      <c r="P57" s="7">
        <v>1253.82</v>
      </c>
      <c r="Q57" s="2"/>
      <c r="R57" s="6">
        <f t="shared" si="32"/>
        <v>0</v>
      </c>
      <c r="S57" s="2"/>
      <c r="T57" s="7">
        <v>1664</v>
      </c>
      <c r="U57" s="2"/>
      <c r="V57" s="6">
        <f t="shared" si="33"/>
        <v>0</v>
      </c>
      <c r="W57" s="2"/>
      <c r="X57" s="7">
        <f t="shared" si="34"/>
        <v>-410.18000000000006</v>
      </c>
      <c r="Y57" s="2"/>
      <c r="Z57" s="6">
        <f t="shared" si="35"/>
        <v>-0.24650240384615388</v>
      </c>
    </row>
    <row r="58" spans="1:26" s="28" customFormat="1" outlineLevel="1" collapsed="1" x14ac:dyDescent="0.25">
      <c r="A58" s="27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SUM(OSRRefD22_9x_0)</f>
        <v>97.5</v>
      </c>
      <c r="E58" s="1"/>
      <c r="F58" s="5">
        <f t="shared" si="28"/>
        <v>0</v>
      </c>
      <c r="G58" s="1"/>
      <c r="H58" s="1">
        <f>SUM(OSRRefH22_9x_0)</f>
        <v>198</v>
      </c>
      <c r="I58" s="1"/>
      <c r="J58" s="5">
        <f t="shared" si="29"/>
        <v>0</v>
      </c>
      <c r="K58" s="1"/>
      <c r="L58" s="1">
        <f t="shared" si="30"/>
        <v>-100.5</v>
      </c>
      <c r="M58" s="1"/>
      <c r="N58" s="5">
        <f t="shared" si="31"/>
        <v>-0.50757575757575757</v>
      </c>
      <c r="O58" s="14"/>
      <c r="P58" s="1">
        <f>SUM(OSRRefP22_9x_0)</f>
        <v>781.17</v>
      </c>
      <c r="Q58" s="1"/>
      <c r="R58" s="5">
        <f t="shared" si="32"/>
        <v>0</v>
      </c>
      <c r="S58" s="1"/>
      <c r="T58" s="1">
        <f>SUM(OSRRefT22_9x_0)</f>
        <v>1188</v>
      </c>
      <c r="U58" s="1"/>
      <c r="V58" s="5">
        <f t="shared" si="33"/>
        <v>0</v>
      </c>
      <c r="W58" s="1"/>
      <c r="X58" s="1">
        <f t="shared" si="34"/>
        <v>-406.83000000000004</v>
      </c>
      <c r="Y58" s="1"/>
      <c r="Z58" s="5">
        <f t="shared" si="35"/>
        <v>-0.342449494949495</v>
      </c>
    </row>
    <row r="59" spans="1:26" s="24" customFormat="1" hidden="1" outlineLevel="2" x14ac:dyDescent="0.25">
      <c r="A59" s="29"/>
      <c r="B59" s="11" t="str">
        <f>CONCATENATE("          ", "6305", " - ", "FREIGHT OUT")</f>
        <v xml:space="preserve">          6305 - FREIGHT OUT</v>
      </c>
      <c r="C59" s="11"/>
      <c r="D59" s="7"/>
      <c r="E59" s="2"/>
      <c r="F59" s="6">
        <f t="shared" si="28"/>
        <v>0</v>
      </c>
      <c r="G59" s="2"/>
      <c r="H59" s="7"/>
      <c r="I59" s="2"/>
      <c r="J59" s="6">
        <f t="shared" si="29"/>
        <v>0</v>
      </c>
      <c r="K59" s="2"/>
      <c r="L59" s="7">
        <f t="shared" si="30"/>
        <v>0</v>
      </c>
      <c r="M59" s="2"/>
      <c r="N59" s="6">
        <f t="shared" si="31"/>
        <v>0</v>
      </c>
      <c r="O59" s="11"/>
      <c r="P59" s="7">
        <v>5.41</v>
      </c>
      <c r="Q59" s="2"/>
      <c r="R59" s="6">
        <f t="shared" si="32"/>
        <v>0</v>
      </c>
      <c r="S59" s="2"/>
      <c r="T59" s="7"/>
      <c r="U59" s="2"/>
      <c r="V59" s="6">
        <f t="shared" si="33"/>
        <v>0</v>
      </c>
      <c r="W59" s="2"/>
      <c r="X59" s="7">
        <f t="shared" si="34"/>
        <v>5.41</v>
      </c>
      <c r="Y59" s="2"/>
      <c r="Z59" s="6">
        <f t="shared" si="35"/>
        <v>0</v>
      </c>
    </row>
    <row r="60" spans="1:26" s="24" customFormat="1" hidden="1" outlineLevel="2" x14ac:dyDescent="0.25">
      <c r="A60" s="29"/>
      <c r="B60" s="11" t="str">
        <f>CONCATENATE("          ", "6307", " - ", "POSTAGE")</f>
        <v xml:space="preserve">          6307 - POSTAGE</v>
      </c>
      <c r="C60" s="11"/>
      <c r="D60" s="7">
        <v>97.5</v>
      </c>
      <c r="E60" s="2"/>
      <c r="F60" s="6">
        <f t="shared" si="28"/>
        <v>0</v>
      </c>
      <c r="G60" s="2"/>
      <c r="H60" s="7">
        <v>198</v>
      </c>
      <c r="I60" s="2"/>
      <c r="J60" s="6">
        <f t="shared" si="29"/>
        <v>0</v>
      </c>
      <c r="K60" s="2"/>
      <c r="L60" s="7">
        <f t="shared" si="30"/>
        <v>-100.5</v>
      </c>
      <c r="M60" s="2"/>
      <c r="N60" s="6">
        <f t="shared" si="31"/>
        <v>-0.50757575757575757</v>
      </c>
      <c r="O60" s="11"/>
      <c r="P60" s="7">
        <v>775.76</v>
      </c>
      <c r="Q60" s="2"/>
      <c r="R60" s="6">
        <f t="shared" si="32"/>
        <v>0</v>
      </c>
      <c r="S60" s="2"/>
      <c r="T60" s="7">
        <v>1188</v>
      </c>
      <c r="U60" s="2"/>
      <c r="V60" s="6">
        <f t="shared" si="33"/>
        <v>0</v>
      </c>
      <c r="W60" s="2"/>
      <c r="X60" s="7">
        <f t="shared" si="34"/>
        <v>-412.24</v>
      </c>
      <c r="Y60" s="2"/>
      <c r="Z60" s="6">
        <f t="shared" si="35"/>
        <v>-0.34700336700336704</v>
      </c>
    </row>
    <row r="61" spans="1:26" s="28" customFormat="1" outlineLevel="1" collapsed="1" x14ac:dyDescent="0.25">
      <c r="A61" s="27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SUM(OSRRefD22_10x_0)</f>
        <v>0</v>
      </c>
      <c r="E61" s="1"/>
      <c r="F61" s="5">
        <f t="shared" ref="F61:F65" si="36">IF(D$12=0,0,D61/D$12)</f>
        <v>0</v>
      </c>
      <c r="G61" s="1"/>
      <c r="H61" s="1">
        <f>SUM(OSRRefH22_10x_0)</f>
        <v>1183</v>
      </c>
      <c r="I61" s="1"/>
      <c r="J61" s="5">
        <f t="shared" ref="J61:J65" si="37">IF(H$12=0,0,H61/H$12)</f>
        <v>0</v>
      </c>
      <c r="K61" s="1"/>
      <c r="L61" s="1">
        <f t="shared" ref="L61:L65" si="38">+D61-H61</f>
        <v>-1183</v>
      </c>
      <c r="M61" s="1"/>
      <c r="N61" s="5">
        <f t="shared" ref="N61:N65" si="39">IF(H61=0,0,L61/H61)</f>
        <v>-1</v>
      </c>
      <c r="O61" s="14"/>
      <c r="P61" s="1">
        <f>SUM(OSRRefP22_10x_0)</f>
        <v>166.54</v>
      </c>
      <c r="Q61" s="1"/>
      <c r="R61" s="5">
        <f t="shared" ref="R61:R65" si="40">IF(P$12=0,0,P61/P$12)</f>
        <v>0</v>
      </c>
      <c r="S61" s="1"/>
      <c r="T61" s="1">
        <f>SUM(OSRRefT22_10x_0)</f>
        <v>3398</v>
      </c>
      <c r="U61" s="1"/>
      <c r="V61" s="5">
        <f t="shared" ref="V61:V65" si="41">IF(T$12=0,0,T61/T$12)</f>
        <v>0</v>
      </c>
      <c r="W61" s="1"/>
      <c r="X61" s="1">
        <f t="shared" ref="X61:X65" si="42">+P61-T61</f>
        <v>-3231.46</v>
      </c>
      <c r="Y61" s="1"/>
      <c r="Z61" s="5">
        <f t="shared" ref="Z61:Z65" si="43">IF(T61=0,0,X61/T61)</f>
        <v>-0.95098881695114779</v>
      </c>
    </row>
    <row r="62" spans="1:26" s="24" customFormat="1" hidden="1" outlineLevel="2" x14ac:dyDescent="0.25">
      <c r="A62" s="29"/>
      <c r="B62" s="11" t="str">
        <f>CONCATENATE("          ", "6279", " - ", "GENERAL EXPENSE")</f>
        <v xml:space="preserve">          6279 - GENERAL EXPENSE</v>
      </c>
      <c r="C62" s="11"/>
      <c r="D62" s="7"/>
      <c r="E62" s="2"/>
      <c r="F62" s="6">
        <f t="shared" si="36"/>
        <v>0</v>
      </c>
      <c r="G62" s="2"/>
      <c r="H62" s="7">
        <v>1183</v>
      </c>
      <c r="I62" s="2"/>
      <c r="J62" s="6">
        <f t="shared" si="37"/>
        <v>0</v>
      </c>
      <c r="K62" s="2"/>
      <c r="L62" s="7">
        <f t="shared" si="38"/>
        <v>-1183</v>
      </c>
      <c r="M62" s="2"/>
      <c r="N62" s="6">
        <f t="shared" si="39"/>
        <v>-1</v>
      </c>
      <c r="O62" s="11"/>
      <c r="P62" s="7">
        <v>166.54</v>
      </c>
      <c r="Q62" s="2"/>
      <c r="R62" s="6">
        <f t="shared" si="40"/>
        <v>0</v>
      </c>
      <c r="S62" s="2"/>
      <c r="T62" s="7">
        <v>3398</v>
      </c>
      <c r="U62" s="2"/>
      <c r="V62" s="6">
        <f t="shared" si="41"/>
        <v>0</v>
      </c>
      <c r="W62" s="2"/>
      <c r="X62" s="7">
        <f t="shared" si="42"/>
        <v>-3231.46</v>
      </c>
      <c r="Y62" s="2"/>
      <c r="Z62" s="6">
        <f t="shared" si="43"/>
        <v>-0.95098881695114779</v>
      </c>
    </row>
    <row r="63" spans="1:26" s="28" customFormat="1" outlineLevel="1" collapsed="1" x14ac:dyDescent="0.25">
      <c r="A63" s="27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SUM(OSRRefD22_11x_0)</f>
        <v>393.67</v>
      </c>
      <c r="E63" s="1"/>
      <c r="F63" s="5">
        <f t="shared" si="36"/>
        <v>0</v>
      </c>
      <c r="G63" s="1"/>
      <c r="H63" s="1">
        <f>SUM(OSRRefH22_11x_0)</f>
        <v>432</v>
      </c>
      <c r="I63" s="1"/>
      <c r="J63" s="5">
        <f t="shared" si="37"/>
        <v>0</v>
      </c>
      <c r="K63" s="1"/>
      <c r="L63" s="1">
        <f t="shared" si="38"/>
        <v>-38.329999999999984</v>
      </c>
      <c r="M63" s="1"/>
      <c r="N63" s="5">
        <f t="shared" si="39"/>
        <v>-8.8726851851851821E-2</v>
      </c>
      <c r="O63" s="14"/>
      <c r="P63" s="1">
        <f>SUM(OSRRefP22_11x_0)</f>
        <v>2362.02</v>
      </c>
      <c r="Q63" s="1"/>
      <c r="R63" s="5">
        <f t="shared" si="40"/>
        <v>0</v>
      </c>
      <c r="S63" s="1"/>
      <c r="T63" s="1">
        <f>SUM(OSRRefT22_11x_0)</f>
        <v>3911</v>
      </c>
      <c r="U63" s="1"/>
      <c r="V63" s="5">
        <f t="shared" si="41"/>
        <v>0</v>
      </c>
      <c r="W63" s="1"/>
      <c r="X63" s="1">
        <f t="shared" si="42"/>
        <v>-1548.98</v>
      </c>
      <c r="Y63" s="1"/>
      <c r="Z63" s="5">
        <f t="shared" si="43"/>
        <v>-0.39605727435438509</v>
      </c>
    </row>
    <row r="64" spans="1:26" s="24" customFormat="1" hidden="1" outlineLevel="2" x14ac:dyDescent="0.25">
      <c r="A64" s="29"/>
      <c r="B64" s="11" t="str">
        <f>CONCATENATE("          ", "6312", " - ", "FIRE &amp; THEFT INSURANCE")</f>
        <v xml:space="preserve">          6312 - FIRE &amp; THEFT INSURANCE</v>
      </c>
      <c r="C64" s="11"/>
      <c r="D64" s="7"/>
      <c r="E64" s="2"/>
      <c r="F64" s="6">
        <f t="shared" si="36"/>
        <v>0</v>
      </c>
      <c r="G64" s="2"/>
      <c r="H64" s="7"/>
      <c r="I64" s="2"/>
      <c r="J64" s="6">
        <f t="shared" si="37"/>
        <v>0</v>
      </c>
      <c r="K64" s="2"/>
      <c r="L64" s="7">
        <f t="shared" si="38"/>
        <v>0</v>
      </c>
      <c r="M64" s="2"/>
      <c r="N64" s="6">
        <f t="shared" si="39"/>
        <v>0</v>
      </c>
      <c r="O64" s="11"/>
      <c r="P64" s="7"/>
      <c r="Q64" s="2"/>
      <c r="R64" s="6">
        <f t="shared" si="40"/>
        <v>0</v>
      </c>
      <c r="S64" s="2"/>
      <c r="T64" s="7">
        <v>780</v>
      </c>
      <c r="U64" s="2"/>
      <c r="V64" s="6">
        <f t="shared" si="41"/>
        <v>0</v>
      </c>
      <c r="W64" s="2"/>
      <c r="X64" s="7">
        <f t="shared" si="42"/>
        <v>-780</v>
      </c>
      <c r="Y64" s="2"/>
      <c r="Z64" s="6">
        <f t="shared" si="43"/>
        <v>-1</v>
      </c>
    </row>
    <row r="65" spans="1:26" s="24" customFormat="1" hidden="1" outlineLevel="2" x14ac:dyDescent="0.25">
      <c r="A65" s="29"/>
      <c r="B65" s="11" t="str">
        <f>CONCATENATE("          ", "6314", " - ", "LIABILITY INSURANCE")</f>
        <v xml:space="preserve">          6314 - LIABILITY INSURANCE</v>
      </c>
      <c r="C65" s="11"/>
      <c r="D65" s="7">
        <v>393.67</v>
      </c>
      <c r="E65" s="2"/>
      <c r="F65" s="6">
        <f t="shared" si="36"/>
        <v>0</v>
      </c>
      <c r="G65" s="2"/>
      <c r="H65" s="7">
        <v>432</v>
      </c>
      <c r="I65" s="2"/>
      <c r="J65" s="6">
        <f t="shared" si="37"/>
        <v>0</v>
      </c>
      <c r="K65" s="2"/>
      <c r="L65" s="7">
        <f t="shared" si="38"/>
        <v>-38.329999999999984</v>
      </c>
      <c r="M65" s="2"/>
      <c r="N65" s="6">
        <f t="shared" si="39"/>
        <v>-8.8726851851851821E-2</v>
      </c>
      <c r="O65" s="11"/>
      <c r="P65" s="7">
        <v>2362.02</v>
      </c>
      <c r="Q65" s="2"/>
      <c r="R65" s="6">
        <f t="shared" si="40"/>
        <v>0</v>
      </c>
      <c r="S65" s="2"/>
      <c r="T65" s="7">
        <v>3131</v>
      </c>
      <c r="U65" s="2"/>
      <c r="V65" s="6">
        <f t="shared" si="41"/>
        <v>0</v>
      </c>
      <c r="W65" s="2"/>
      <c r="X65" s="7">
        <f t="shared" si="42"/>
        <v>-768.98</v>
      </c>
      <c r="Y65" s="2"/>
      <c r="Z65" s="6">
        <f t="shared" si="43"/>
        <v>-0.24560204407537528</v>
      </c>
    </row>
    <row r="66" spans="1:26" s="28" customFormat="1" outlineLevel="1" collapsed="1" x14ac:dyDescent="0.25">
      <c r="A66" s="27"/>
      <c r="B66" s="14" t="str">
        <f>CONCATENATE("     ","Professional Services                             ")</f>
        <v xml:space="preserve">     Professional Services                             </v>
      </c>
      <c r="C66" s="14"/>
      <c r="D66" s="1">
        <f>SUM(OSRRefD22_12x_0)</f>
        <v>13804.86</v>
      </c>
      <c r="E66" s="1"/>
      <c r="F66" s="5">
        <f t="shared" ref="F66:F70" si="44">IF(D$12=0,0,D66/D$12)</f>
        <v>0</v>
      </c>
      <c r="G66" s="1"/>
      <c r="H66" s="1">
        <f>SUM(OSRRefH22_12x_0)</f>
        <v>8333</v>
      </c>
      <c r="I66" s="1"/>
      <c r="J66" s="5">
        <f t="shared" ref="J66:J70" si="45">IF(H$12=0,0,H66/H$12)</f>
        <v>0</v>
      </c>
      <c r="K66" s="1"/>
      <c r="L66" s="1">
        <f t="shared" ref="L66:L70" si="46">+D66-H66</f>
        <v>5471.8600000000006</v>
      </c>
      <c r="M66" s="1"/>
      <c r="N66" s="5">
        <f t="shared" ref="N66:N70" si="47">IF(H66=0,0,L66/H66)</f>
        <v>0.65664946597863927</v>
      </c>
      <c r="O66" s="14"/>
      <c r="P66" s="1">
        <f>SUM(OSRRefP22_12x_0)</f>
        <v>78693.320000000007</v>
      </c>
      <c r="Q66" s="1"/>
      <c r="R66" s="5">
        <f t="shared" ref="R66:R70" si="48">IF(P$12=0,0,P66/P$12)</f>
        <v>0</v>
      </c>
      <c r="S66" s="1"/>
      <c r="T66" s="1">
        <f>SUM(OSRRefT22_12x_0)</f>
        <v>115998</v>
      </c>
      <c r="U66" s="1"/>
      <c r="V66" s="5">
        <f t="shared" ref="V66:V70" si="49">IF(T$12=0,0,T66/T$12)</f>
        <v>0</v>
      </c>
      <c r="W66" s="1"/>
      <c r="X66" s="1">
        <f t="shared" ref="X66:X70" si="50">+P66-T66</f>
        <v>-37304.679999999993</v>
      </c>
      <c r="Y66" s="1"/>
      <c r="Z66" s="5">
        <f t="shared" ref="Z66:Z70" si="51">IF(T66=0,0,X66/T66)</f>
        <v>-0.32159761375196116</v>
      </c>
    </row>
    <row r="67" spans="1:26" s="24" customFormat="1" hidden="1" outlineLevel="2" x14ac:dyDescent="0.25">
      <c r="A67" s="29"/>
      <c r="B67" s="11" t="str">
        <f>CONCATENATE("          ", "6331", " - ", "INDIRECT COSTS-AUXILIARY ORGAN")</f>
        <v xml:space="preserve">          6331 - INDIRECT COSTS-AUXILIARY ORGAN</v>
      </c>
      <c r="C67" s="11"/>
      <c r="D67" s="7">
        <v>12850</v>
      </c>
      <c r="E67" s="2"/>
      <c r="F67" s="6">
        <f t="shared" si="44"/>
        <v>0</v>
      </c>
      <c r="G67" s="2"/>
      <c r="H67" s="7">
        <v>3000</v>
      </c>
      <c r="I67" s="2"/>
      <c r="J67" s="6">
        <f t="shared" si="45"/>
        <v>0</v>
      </c>
      <c r="K67" s="2"/>
      <c r="L67" s="7">
        <f t="shared" si="46"/>
        <v>9850</v>
      </c>
      <c r="M67" s="2"/>
      <c r="N67" s="6">
        <f t="shared" si="47"/>
        <v>3.2833333333333332</v>
      </c>
      <c r="O67" s="11"/>
      <c r="P67" s="7">
        <v>69246.5</v>
      </c>
      <c r="Q67" s="2"/>
      <c r="R67" s="6">
        <f t="shared" si="48"/>
        <v>0</v>
      </c>
      <c r="S67" s="2"/>
      <c r="T67" s="7">
        <v>76000</v>
      </c>
      <c r="U67" s="2"/>
      <c r="V67" s="6">
        <f t="shared" si="49"/>
        <v>0</v>
      </c>
      <c r="W67" s="2"/>
      <c r="X67" s="7">
        <f t="shared" si="50"/>
        <v>-6753.5</v>
      </c>
      <c r="Y67" s="2"/>
      <c r="Z67" s="6">
        <f t="shared" si="51"/>
        <v>-8.8861842105263156E-2</v>
      </c>
    </row>
    <row r="68" spans="1:26" s="24" customFormat="1" hidden="1" outlineLevel="2" x14ac:dyDescent="0.25">
      <c r="A68" s="29"/>
      <c r="B68" s="11" t="str">
        <f>CONCATENATE("          ", "6332", " - ", "CONSULTANT FEES")</f>
        <v xml:space="preserve">          6332 - CONSULTANT FEES</v>
      </c>
      <c r="C68" s="11"/>
      <c r="D68" s="7"/>
      <c r="E68" s="2"/>
      <c r="F68" s="6">
        <f t="shared" si="44"/>
        <v>0</v>
      </c>
      <c r="G68" s="2"/>
      <c r="H68" s="7">
        <v>3250</v>
      </c>
      <c r="I68" s="2"/>
      <c r="J68" s="6">
        <f t="shared" si="45"/>
        <v>0</v>
      </c>
      <c r="K68" s="2"/>
      <c r="L68" s="7">
        <f t="shared" si="46"/>
        <v>-3250</v>
      </c>
      <c r="M68" s="2"/>
      <c r="N68" s="6">
        <f t="shared" si="47"/>
        <v>-1</v>
      </c>
      <c r="O68" s="11"/>
      <c r="P68" s="7"/>
      <c r="Q68" s="2"/>
      <c r="R68" s="6">
        <f t="shared" si="48"/>
        <v>0</v>
      </c>
      <c r="S68" s="2"/>
      <c r="T68" s="7">
        <v>19500</v>
      </c>
      <c r="U68" s="2"/>
      <c r="V68" s="6">
        <f t="shared" si="49"/>
        <v>0</v>
      </c>
      <c r="W68" s="2"/>
      <c r="X68" s="7">
        <f t="shared" si="50"/>
        <v>-19500</v>
      </c>
      <c r="Y68" s="2"/>
      <c r="Z68" s="6">
        <f t="shared" si="51"/>
        <v>-1</v>
      </c>
    </row>
    <row r="69" spans="1:26" s="24" customFormat="1" hidden="1" outlineLevel="2" x14ac:dyDescent="0.25">
      <c r="A69" s="29"/>
      <c r="B69" s="11" t="str">
        <f>CONCATENATE("          ", "6334", " - ", "LEGAL COUNCIL EXPENSE")</f>
        <v xml:space="preserve">          6334 - LEGAL COUNCIL EXPENSE</v>
      </c>
      <c r="C69" s="11"/>
      <c r="D69" s="7">
        <v>954.86</v>
      </c>
      <c r="E69" s="2"/>
      <c r="F69" s="6">
        <f t="shared" si="44"/>
        <v>0</v>
      </c>
      <c r="G69" s="2"/>
      <c r="H69" s="7">
        <v>833</v>
      </c>
      <c r="I69" s="2"/>
      <c r="J69" s="6">
        <f t="shared" si="45"/>
        <v>0</v>
      </c>
      <c r="K69" s="2"/>
      <c r="L69" s="7">
        <f t="shared" si="46"/>
        <v>121.86000000000001</v>
      </c>
      <c r="M69" s="2"/>
      <c r="N69" s="6">
        <f t="shared" si="47"/>
        <v>0.14629051620648262</v>
      </c>
      <c r="O69" s="11"/>
      <c r="P69" s="7">
        <v>5029.24</v>
      </c>
      <c r="Q69" s="2"/>
      <c r="R69" s="6">
        <f t="shared" si="48"/>
        <v>0</v>
      </c>
      <c r="S69" s="2"/>
      <c r="T69" s="7">
        <v>7998</v>
      </c>
      <c r="U69" s="2"/>
      <c r="V69" s="6">
        <f t="shared" si="49"/>
        <v>0</v>
      </c>
      <c r="W69" s="2"/>
      <c r="X69" s="7">
        <f t="shared" si="50"/>
        <v>-2968.76</v>
      </c>
      <c r="Y69" s="2"/>
      <c r="Z69" s="6">
        <f t="shared" si="51"/>
        <v>-0.37118779694923731</v>
      </c>
    </row>
    <row r="70" spans="1:26" s="24" customFormat="1" hidden="1" outlineLevel="2" x14ac:dyDescent="0.25">
      <c r="A70" s="29"/>
      <c r="B70" s="11" t="str">
        <f>CONCATENATE("          ", "6336", " - ", "PROFESSIONAL SERVICES")</f>
        <v xml:space="preserve">          6336 - PROFESSIONAL SERVICES</v>
      </c>
      <c r="C70" s="11"/>
      <c r="D70" s="7"/>
      <c r="E70" s="2"/>
      <c r="F70" s="6">
        <f t="shared" si="44"/>
        <v>0</v>
      </c>
      <c r="G70" s="2"/>
      <c r="H70" s="7">
        <v>1250</v>
      </c>
      <c r="I70" s="2"/>
      <c r="J70" s="6">
        <f t="shared" si="45"/>
        <v>0</v>
      </c>
      <c r="K70" s="2"/>
      <c r="L70" s="7">
        <f t="shared" si="46"/>
        <v>-1250</v>
      </c>
      <c r="M70" s="2"/>
      <c r="N70" s="6">
        <f t="shared" si="47"/>
        <v>-1</v>
      </c>
      <c r="O70" s="11"/>
      <c r="P70" s="7">
        <v>4417.58</v>
      </c>
      <c r="Q70" s="2"/>
      <c r="R70" s="6">
        <f t="shared" si="48"/>
        <v>0</v>
      </c>
      <c r="S70" s="2"/>
      <c r="T70" s="7">
        <v>12500</v>
      </c>
      <c r="U70" s="2"/>
      <c r="V70" s="6">
        <f t="shared" si="49"/>
        <v>0</v>
      </c>
      <c r="W70" s="2"/>
      <c r="X70" s="7">
        <f t="shared" si="50"/>
        <v>-8082.42</v>
      </c>
      <c r="Y70" s="2"/>
      <c r="Z70" s="6">
        <f t="shared" si="51"/>
        <v>-0.64659359999999999</v>
      </c>
    </row>
    <row r="71" spans="1:26" s="28" customFormat="1" outlineLevel="1" collapsed="1" x14ac:dyDescent="0.25">
      <c r="A71" s="27"/>
      <c r="B71" s="14" t="str">
        <f>CONCATENATE("     ","Repair and Maintenance                            ")</f>
        <v xml:space="preserve">     Repair and Maintenance                            </v>
      </c>
      <c r="C71" s="14"/>
      <c r="D71" s="1">
        <f>SUM(OSRRefD22_13x_0)</f>
        <v>17905.829999999998</v>
      </c>
      <c r="E71" s="1"/>
      <c r="F71" s="5">
        <f t="shared" ref="F71:F75" si="52">IF(D$12=0,0,D71/D$12)</f>
        <v>0</v>
      </c>
      <c r="G71" s="1"/>
      <c r="H71" s="1">
        <f>SUM(OSRRefH22_13x_0)</f>
        <v>30852</v>
      </c>
      <c r="I71" s="1"/>
      <c r="J71" s="5">
        <f t="shared" ref="J71:J75" si="53">IF(H$12=0,0,H71/H$12)</f>
        <v>0</v>
      </c>
      <c r="K71" s="1"/>
      <c r="L71" s="1">
        <f t="shared" ref="L71:L75" si="54">+D71-H71</f>
        <v>-12946.170000000002</v>
      </c>
      <c r="M71" s="1"/>
      <c r="N71" s="5">
        <f t="shared" ref="N71:N75" si="55">IF(H71=0,0,L71/H71)</f>
        <v>-0.41962174251264106</v>
      </c>
      <c r="O71" s="14"/>
      <c r="P71" s="1">
        <f>SUM(OSRRefP22_13x_0)</f>
        <v>116821.90999999999</v>
      </c>
      <c r="Q71" s="1"/>
      <c r="R71" s="5">
        <f t="shared" ref="R71:R75" si="56">IF(P$12=0,0,P71/P$12)</f>
        <v>0</v>
      </c>
      <c r="S71" s="1"/>
      <c r="T71" s="1">
        <f>SUM(OSRRefT22_13x_0)</f>
        <v>150412</v>
      </c>
      <c r="U71" s="1"/>
      <c r="V71" s="5">
        <f t="shared" ref="V71:V75" si="57">IF(T$12=0,0,T71/T$12)</f>
        <v>0</v>
      </c>
      <c r="W71" s="1"/>
      <c r="X71" s="1">
        <f t="shared" ref="X71:X75" si="58">+P71-T71</f>
        <v>-33590.090000000011</v>
      </c>
      <c r="Y71" s="1"/>
      <c r="Z71" s="5">
        <f t="shared" ref="Z71:Z75" si="59">IF(T71=0,0,X71/T71)</f>
        <v>-0.2233205462330134</v>
      </c>
    </row>
    <row r="72" spans="1:26" s="24" customFormat="1" hidden="1" outlineLevel="2" x14ac:dyDescent="0.25">
      <c r="A72" s="29"/>
      <c r="B72" s="11" t="str">
        <f>CONCATENATE("          ", "6371", " - ", "COMPUTER SOFTWARE MAINTENANCE")</f>
        <v xml:space="preserve">          6371 - COMPUTER SOFTWARE MAINTENANCE</v>
      </c>
      <c r="C72" s="11"/>
      <c r="D72" s="7">
        <v>2990.93</v>
      </c>
      <c r="E72" s="2"/>
      <c r="F72" s="6">
        <f t="shared" si="52"/>
        <v>0</v>
      </c>
      <c r="G72" s="2"/>
      <c r="H72" s="7">
        <v>8470</v>
      </c>
      <c r="I72" s="2"/>
      <c r="J72" s="6">
        <f t="shared" si="53"/>
        <v>0</v>
      </c>
      <c r="K72" s="2"/>
      <c r="L72" s="7">
        <f t="shared" si="54"/>
        <v>-5479.07</v>
      </c>
      <c r="M72" s="2"/>
      <c r="N72" s="6">
        <f t="shared" si="55"/>
        <v>-0.64687957497048398</v>
      </c>
      <c r="O72" s="11"/>
      <c r="P72" s="7">
        <v>26193.609999999997</v>
      </c>
      <c r="Q72" s="2"/>
      <c r="R72" s="6">
        <f t="shared" si="56"/>
        <v>0</v>
      </c>
      <c r="S72" s="2"/>
      <c r="T72" s="7">
        <v>50820</v>
      </c>
      <c r="U72" s="2"/>
      <c r="V72" s="6">
        <f t="shared" si="57"/>
        <v>0</v>
      </c>
      <c r="W72" s="2"/>
      <c r="X72" s="7">
        <f t="shared" si="58"/>
        <v>-24626.390000000003</v>
      </c>
      <c r="Y72" s="2"/>
      <c r="Z72" s="6">
        <f t="shared" si="59"/>
        <v>-0.48458067689885875</v>
      </c>
    </row>
    <row r="73" spans="1:26" s="24" customFormat="1" hidden="1" outlineLevel="2" x14ac:dyDescent="0.25">
      <c r="A73" s="29"/>
      <c r="B73" s="11" t="str">
        <f>CONCATENATE("          ", "6372", " - ", "COMPUTER HARDWARE MAINTENANCE")</f>
        <v xml:space="preserve">          6372 - COMPUTER HARDWARE MAINTENANCE</v>
      </c>
      <c r="C73" s="11"/>
      <c r="D73" s="7"/>
      <c r="E73" s="2"/>
      <c r="F73" s="6">
        <f t="shared" si="52"/>
        <v>0</v>
      </c>
      <c r="G73" s="2"/>
      <c r="H73" s="7">
        <v>1600</v>
      </c>
      <c r="I73" s="2"/>
      <c r="J73" s="6">
        <f t="shared" si="53"/>
        <v>0</v>
      </c>
      <c r="K73" s="2"/>
      <c r="L73" s="7">
        <f t="shared" si="54"/>
        <v>-1600</v>
      </c>
      <c r="M73" s="2"/>
      <c r="N73" s="6">
        <f t="shared" si="55"/>
        <v>-1</v>
      </c>
      <c r="O73" s="11"/>
      <c r="P73" s="7"/>
      <c r="Q73" s="2"/>
      <c r="R73" s="6">
        <f t="shared" si="56"/>
        <v>0</v>
      </c>
      <c r="S73" s="2"/>
      <c r="T73" s="7">
        <v>9600</v>
      </c>
      <c r="U73" s="2"/>
      <c r="V73" s="6">
        <f t="shared" si="57"/>
        <v>0</v>
      </c>
      <c r="W73" s="2"/>
      <c r="X73" s="7">
        <f t="shared" si="58"/>
        <v>-9600</v>
      </c>
      <c r="Y73" s="2"/>
      <c r="Z73" s="6">
        <f t="shared" si="59"/>
        <v>-1</v>
      </c>
    </row>
    <row r="74" spans="1:26" s="24" customFormat="1" hidden="1" outlineLevel="2" x14ac:dyDescent="0.25">
      <c r="A74" s="29"/>
      <c r="B74" s="11" t="str">
        <f>CONCATENATE("          ", "6373", " - ", "MAINTENANCE CONTRACTS")</f>
        <v xml:space="preserve">          6373 - MAINTENANCE CONTRACTS</v>
      </c>
      <c r="C74" s="11"/>
      <c r="D74" s="7">
        <v>14914.9</v>
      </c>
      <c r="E74" s="2"/>
      <c r="F74" s="6">
        <f t="shared" si="52"/>
        <v>0</v>
      </c>
      <c r="G74" s="2"/>
      <c r="H74" s="7">
        <v>20782</v>
      </c>
      <c r="I74" s="2"/>
      <c r="J74" s="6">
        <f t="shared" si="53"/>
        <v>0</v>
      </c>
      <c r="K74" s="2"/>
      <c r="L74" s="7">
        <f t="shared" si="54"/>
        <v>-5867.1</v>
      </c>
      <c r="M74" s="2"/>
      <c r="N74" s="6">
        <f t="shared" si="55"/>
        <v>-0.28231642767779813</v>
      </c>
      <c r="O74" s="11"/>
      <c r="P74" s="7">
        <v>88458.01</v>
      </c>
      <c r="Q74" s="2"/>
      <c r="R74" s="6">
        <f t="shared" si="56"/>
        <v>0</v>
      </c>
      <c r="S74" s="2"/>
      <c r="T74" s="7">
        <v>89992</v>
      </c>
      <c r="U74" s="2"/>
      <c r="V74" s="6">
        <f t="shared" si="57"/>
        <v>0</v>
      </c>
      <c r="W74" s="2"/>
      <c r="X74" s="7">
        <f t="shared" si="58"/>
        <v>-1533.9900000000052</v>
      </c>
      <c r="Y74" s="2"/>
      <c r="Z74" s="6">
        <f t="shared" si="59"/>
        <v>-1.7045848519868491E-2</v>
      </c>
    </row>
    <row r="75" spans="1:26" s="24" customFormat="1" hidden="1" outlineLevel="2" x14ac:dyDescent="0.25">
      <c r="A75" s="29"/>
      <c r="B75" s="11" t="str">
        <f>CONCATENATE("          ", "6375", " - ", "OUTSIDE REPAIRS &amp; MAINTENANCE")</f>
        <v xml:space="preserve">          6375 - OUTSIDE REPAIRS &amp; MAINTENANCE</v>
      </c>
      <c r="C75" s="11"/>
      <c r="D75" s="7"/>
      <c r="E75" s="2"/>
      <c r="F75" s="6">
        <f t="shared" si="52"/>
        <v>0</v>
      </c>
      <c r="G75" s="2"/>
      <c r="H75" s="7"/>
      <c r="I75" s="2"/>
      <c r="J75" s="6">
        <f t="shared" si="53"/>
        <v>0</v>
      </c>
      <c r="K75" s="2"/>
      <c r="L75" s="7">
        <f t="shared" si="54"/>
        <v>0</v>
      </c>
      <c r="M75" s="2"/>
      <c r="N75" s="6">
        <f t="shared" si="55"/>
        <v>0</v>
      </c>
      <c r="O75" s="11"/>
      <c r="P75" s="7">
        <v>2170.29</v>
      </c>
      <c r="Q75" s="2"/>
      <c r="R75" s="6">
        <f t="shared" si="56"/>
        <v>0</v>
      </c>
      <c r="S75" s="2"/>
      <c r="T75" s="7"/>
      <c r="U75" s="2"/>
      <c r="V75" s="6">
        <f t="shared" si="57"/>
        <v>0</v>
      </c>
      <c r="W75" s="2"/>
      <c r="X75" s="7">
        <f t="shared" si="58"/>
        <v>2170.29</v>
      </c>
      <c r="Y75" s="2"/>
      <c r="Z75" s="6">
        <f t="shared" si="59"/>
        <v>0</v>
      </c>
    </row>
    <row r="76" spans="1:26" s="28" customFormat="1" outlineLevel="1" collapsed="1" x14ac:dyDescent="0.25">
      <c r="A76" s="27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SUM(OSRRefD22_14x_0)</f>
        <v>512.48</v>
      </c>
      <c r="E76" s="1"/>
      <c r="F76" s="5">
        <f t="shared" ref="F76:F78" si="60">IF(D$12=0,0,D76/D$12)</f>
        <v>0</v>
      </c>
      <c r="G76" s="1"/>
      <c r="H76" s="1">
        <f>SUM(OSRRefH22_14x_0)</f>
        <v>525</v>
      </c>
      <c r="I76" s="1"/>
      <c r="J76" s="5">
        <f t="shared" ref="J76:J78" si="61">IF(H$12=0,0,H76/H$12)</f>
        <v>0</v>
      </c>
      <c r="K76" s="1"/>
      <c r="L76" s="1">
        <f t="shared" ref="L76:L78" si="62">+D76-H76</f>
        <v>-12.519999999999982</v>
      </c>
      <c r="M76" s="1"/>
      <c r="N76" s="5">
        <f t="shared" ref="N76:N78" si="63">IF(H76=0,0,L76/H76)</f>
        <v>-2.3847619047619013E-2</v>
      </c>
      <c r="O76" s="14"/>
      <c r="P76" s="1">
        <f>SUM(OSRRefP22_14x_0)</f>
        <v>3074.88</v>
      </c>
      <c r="Q76" s="1"/>
      <c r="R76" s="5">
        <f t="shared" ref="R76:R78" si="64">IF(P$12=0,0,P76/P$12)</f>
        <v>0</v>
      </c>
      <c r="S76" s="1"/>
      <c r="T76" s="1">
        <f>SUM(OSRRefT22_14x_0)</f>
        <v>3150</v>
      </c>
      <c r="U76" s="1"/>
      <c r="V76" s="5">
        <f t="shared" ref="V76:V78" si="65">IF(T$12=0,0,T76/T$12)</f>
        <v>0</v>
      </c>
      <c r="W76" s="1"/>
      <c r="X76" s="1">
        <f t="shared" ref="X76:X78" si="66">+P76-T76</f>
        <v>-75.119999999999891</v>
      </c>
      <c r="Y76" s="1"/>
      <c r="Z76" s="5">
        <f t="shared" ref="Z76:Z78" si="67">IF(T76=0,0,X76/T76)</f>
        <v>-2.3847619047619013E-2</v>
      </c>
    </row>
    <row r="77" spans="1:26" s="24" customFormat="1" hidden="1" outlineLevel="2" x14ac:dyDescent="0.25">
      <c r="A77" s="29"/>
      <c r="B77" s="11" t="str">
        <f>CONCATENATE("          ", "6281", " - ", "STORAGE FEE")</f>
        <v xml:space="preserve">          6281 - STORAGE FEE</v>
      </c>
      <c r="C77" s="11"/>
      <c r="D77" s="7">
        <v>512.48</v>
      </c>
      <c r="E77" s="2"/>
      <c r="F77" s="6">
        <f t="shared" si="60"/>
        <v>0</v>
      </c>
      <c r="G77" s="2"/>
      <c r="H77" s="7">
        <v>500</v>
      </c>
      <c r="I77" s="2"/>
      <c r="J77" s="6">
        <f t="shared" si="61"/>
        <v>0</v>
      </c>
      <c r="K77" s="2"/>
      <c r="L77" s="7">
        <f t="shared" si="62"/>
        <v>12.480000000000018</v>
      </c>
      <c r="M77" s="2"/>
      <c r="N77" s="6">
        <f t="shared" si="63"/>
        <v>2.4960000000000038E-2</v>
      </c>
      <c r="O77" s="11"/>
      <c r="P77" s="7">
        <v>3074.88</v>
      </c>
      <c r="Q77" s="2"/>
      <c r="R77" s="6">
        <f t="shared" si="64"/>
        <v>0</v>
      </c>
      <c r="S77" s="2"/>
      <c r="T77" s="7">
        <v>3000</v>
      </c>
      <c r="U77" s="2"/>
      <c r="V77" s="6">
        <f t="shared" si="65"/>
        <v>0</v>
      </c>
      <c r="W77" s="2"/>
      <c r="X77" s="7">
        <f t="shared" si="66"/>
        <v>74.880000000000109</v>
      </c>
      <c r="Y77" s="2"/>
      <c r="Z77" s="6">
        <f t="shared" si="67"/>
        <v>2.4960000000000038E-2</v>
      </c>
    </row>
    <row r="78" spans="1:26" s="24" customFormat="1" hidden="1" outlineLevel="2" x14ac:dyDescent="0.25">
      <c r="A78" s="29"/>
      <c r="B78" s="11" t="str">
        <f>CONCATENATE("          ", "6286", " - ", "LAUNDRY EXPENSE")</f>
        <v xml:space="preserve">          6286 - LAUNDRY EXPENSE</v>
      </c>
      <c r="C78" s="11"/>
      <c r="D78" s="7"/>
      <c r="E78" s="2"/>
      <c r="F78" s="6">
        <f t="shared" si="60"/>
        <v>0</v>
      </c>
      <c r="G78" s="2"/>
      <c r="H78" s="7">
        <v>25</v>
      </c>
      <c r="I78" s="2"/>
      <c r="J78" s="6">
        <f t="shared" si="61"/>
        <v>0</v>
      </c>
      <c r="K78" s="2"/>
      <c r="L78" s="7">
        <f t="shared" si="62"/>
        <v>-25</v>
      </c>
      <c r="M78" s="2"/>
      <c r="N78" s="6">
        <f t="shared" si="63"/>
        <v>-1</v>
      </c>
      <c r="O78" s="11"/>
      <c r="P78" s="7"/>
      <c r="Q78" s="2"/>
      <c r="R78" s="6">
        <f t="shared" si="64"/>
        <v>0</v>
      </c>
      <c r="S78" s="2"/>
      <c r="T78" s="7">
        <v>150</v>
      </c>
      <c r="U78" s="2"/>
      <c r="V78" s="6">
        <f t="shared" si="65"/>
        <v>0</v>
      </c>
      <c r="W78" s="2"/>
      <c r="X78" s="7">
        <f t="shared" si="66"/>
        <v>-150</v>
      </c>
      <c r="Y78" s="2"/>
      <c r="Z78" s="6">
        <f t="shared" si="67"/>
        <v>-1</v>
      </c>
    </row>
    <row r="79" spans="1:26" s="28" customFormat="1" outlineLevel="1" collapsed="1" x14ac:dyDescent="0.25">
      <c r="A79" s="27"/>
      <c r="B79" s="14" t="str">
        <f>CONCATENATE("     ","Subscriptions &amp; Dues                              ")</f>
        <v xml:space="preserve">     Subscriptions &amp; Dues                              </v>
      </c>
      <c r="C79" s="14"/>
      <c r="D79" s="1">
        <f>SUM(OSRRefD22_15x_0)</f>
        <v>0</v>
      </c>
      <c r="E79" s="1"/>
      <c r="F79" s="5">
        <f t="shared" ref="F79:F81" si="68">IF(D$12=0,0,D79/D$12)</f>
        <v>0</v>
      </c>
      <c r="G79" s="1"/>
      <c r="H79" s="1">
        <f>SUM(OSRRefH22_15x_0)</f>
        <v>155</v>
      </c>
      <c r="I79" s="1"/>
      <c r="J79" s="5">
        <f t="shared" ref="J79:J81" si="69">IF(H$12=0,0,H79/H$12)</f>
        <v>0</v>
      </c>
      <c r="K79" s="1"/>
      <c r="L79" s="1">
        <f t="shared" ref="L79:L81" si="70">+D79-H79</f>
        <v>-155</v>
      </c>
      <c r="M79" s="1"/>
      <c r="N79" s="5">
        <f t="shared" ref="N79:N81" si="71">IF(H79=0,0,L79/H79)</f>
        <v>-1</v>
      </c>
      <c r="O79" s="14"/>
      <c r="P79" s="1">
        <f>SUM(OSRRefP22_15x_0)</f>
        <v>2259.9899999999998</v>
      </c>
      <c r="Q79" s="1"/>
      <c r="R79" s="5">
        <f t="shared" ref="R79:R81" si="72">IF(P$12=0,0,P79/P$12)</f>
        <v>0</v>
      </c>
      <c r="S79" s="1"/>
      <c r="T79" s="1">
        <f>SUM(OSRRefT22_15x_0)</f>
        <v>3680</v>
      </c>
      <c r="U79" s="1"/>
      <c r="V79" s="5">
        <f t="shared" ref="V79:V81" si="73">IF(T$12=0,0,T79/T$12)</f>
        <v>0</v>
      </c>
      <c r="W79" s="1"/>
      <c r="X79" s="1">
        <f t="shared" ref="X79:X81" si="74">+P79-T79</f>
        <v>-1420.0100000000002</v>
      </c>
      <c r="Y79" s="1"/>
      <c r="Z79" s="5">
        <f t="shared" ref="Z79:Z81" si="75">IF(T79=0,0,X79/T79)</f>
        <v>-0.38587228260869572</v>
      </c>
    </row>
    <row r="80" spans="1:26" s="24" customFormat="1" hidden="1" outlineLevel="2" x14ac:dyDescent="0.25">
      <c r="A80" s="29"/>
      <c r="B80" s="11" t="str">
        <f>CONCATENATE("          ", "6258", " - ", "MEMBERSHIP DUES")</f>
        <v xml:space="preserve">          6258 - MEMBERSHIP DUES</v>
      </c>
      <c r="C80" s="11"/>
      <c r="D80" s="7"/>
      <c r="E80" s="2"/>
      <c r="F80" s="6">
        <f t="shared" si="68"/>
        <v>0</v>
      </c>
      <c r="G80" s="2"/>
      <c r="H80" s="7">
        <v>55</v>
      </c>
      <c r="I80" s="2"/>
      <c r="J80" s="6">
        <f t="shared" si="69"/>
        <v>0</v>
      </c>
      <c r="K80" s="2"/>
      <c r="L80" s="7">
        <f t="shared" si="70"/>
        <v>-55</v>
      </c>
      <c r="M80" s="2"/>
      <c r="N80" s="6">
        <f t="shared" si="71"/>
        <v>-1</v>
      </c>
      <c r="O80" s="11"/>
      <c r="P80" s="7">
        <v>2259.9899999999998</v>
      </c>
      <c r="Q80" s="2"/>
      <c r="R80" s="6">
        <f t="shared" si="72"/>
        <v>0</v>
      </c>
      <c r="S80" s="2"/>
      <c r="T80" s="7">
        <v>3080</v>
      </c>
      <c r="U80" s="2"/>
      <c r="V80" s="6">
        <f t="shared" si="73"/>
        <v>0</v>
      </c>
      <c r="W80" s="2"/>
      <c r="X80" s="7">
        <f t="shared" si="74"/>
        <v>-820.01000000000022</v>
      </c>
      <c r="Y80" s="2"/>
      <c r="Z80" s="6">
        <f t="shared" si="75"/>
        <v>-0.26623701298701308</v>
      </c>
    </row>
    <row r="81" spans="1:26" s="24" customFormat="1" hidden="1" outlineLevel="2" x14ac:dyDescent="0.25">
      <c r="A81" s="29"/>
      <c r="B81" s="11" t="str">
        <f>CONCATENATE("          ", "6275", " - ", "SUBSCRIPTIONS")</f>
        <v xml:space="preserve">          6275 - SUBSCRIPTIONS</v>
      </c>
      <c r="C81" s="11"/>
      <c r="D81" s="7"/>
      <c r="E81" s="2"/>
      <c r="F81" s="6">
        <f t="shared" si="68"/>
        <v>0</v>
      </c>
      <c r="G81" s="2"/>
      <c r="H81" s="7">
        <v>100</v>
      </c>
      <c r="I81" s="2"/>
      <c r="J81" s="6">
        <f t="shared" si="69"/>
        <v>0</v>
      </c>
      <c r="K81" s="2"/>
      <c r="L81" s="7">
        <f t="shared" si="70"/>
        <v>-100</v>
      </c>
      <c r="M81" s="2"/>
      <c r="N81" s="6">
        <f t="shared" si="71"/>
        <v>-1</v>
      </c>
      <c r="O81" s="11"/>
      <c r="P81" s="7"/>
      <c r="Q81" s="2"/>
      <c r="R81" s="6">
        <f t="shared" si="72"/>
        <v>0</v>
      </c>
      <c r="S81" s="2"/>
      <c r="T81" s="7">
        <v>600</v>
      </c>
      <c r="U81" s="2"/>
      <c r="V81" s="6">
        <f t="shared" si="73"/>
        <v>0</v>
      </c>
      <c r="W81" s="2"/>
      <c r="X81" s="7">
        <f t="shared" si="74"/>
        <v>-600</v>
      </c>
      <c r="Y81" s="2"/>
      <c r="Z81" s="6">
        <f t="shared" si="75"/>
        <v>-1</v>
      </c>
    </row>
    <row r="82" spans="1:26" s="28" customFormat="1" outlineLevel="1" collapsed="1" x14ac:dyDescent="0.25">
      <c r="A82" s="27"/>
      <c r="B82" s="14" t="str">
        <f>CONCATENATE("     ","Supplies                                          ")</f>
        <v xml:space="preserve">     Supplies                                          </v>
      </c>
      <c r="C82" s="14"/>
      <c r="D82" s="1">
        <f>SUM(OSRRefD22_16x_0)</f>
        <v>308.95</v>
      </c>
      <c r="E82" s="1"/>
      <c r="F82" s="5">
        <f t="shared" ref="F82:F87" si="76">IF(D$12=0,0,D82/D$12)</f>
        <v>0</v>
      </c>
      <c r="G82" s="1"/>
      <c r="H82" s="1">
        <f>SUM(OSRRefH22_16x_0)</f>
        <v>4917</v>
      </c>
      <c r="I82" s="1"/>
      <c r="J82" s="5">
        <f t="shared" ref="J82:J87" si="77">IF(H$12=0,0,H82/H$12)</f>
        <v>0</v>
      </c>
      <c r="K82" s="1"/>
      <c r="L82" s="1">
        <f t="shared" ref="L82:L87" si="78">+D82-H82</f>
        <v>-4608.05</v>
      </c>
      <c r="M82" s="1"/>
      <c r="N82" s="5">
        <f t="shared" ref="N82:N87" si="79">IF(H82=0,0,L82/H82)</f>
        <v>-0.93716697173073016</v>
      </c>
      <c r="O82" s="14"/>
      <c r="P82" s="1">
        <f>SUM(OSRRefP22_16x_0)</f>
        <v>-73.579999999999956</v>
      </c>
      <c r="Q82" s="1"/>
      <c r="R82" s="5">
        <f t="shared" ref="R82:R87" si="80">IF(P$12=0,0,P82/P$12)</f>
        <v>0</v>
      </c>
      <c r="S82" s="1"/>
      <c r="T82" s="1">
        <f>SUM(OSRRefT22_16x_0)</f>
        <v>44586</v>
      </c>
      <c r="U82" s="1"/>
      <c r="V82" s="5">
        <f t="shared" ref="V82:V87" si="81">IF(T$12=0,0,T82/T$12)</f>
        <v>0</v>
      </c>
      <c r="W82" s="1"/>
      <c r="X82" s="1">
        <f t="shared" ref="X82:X87" si="82">+P82-T82</f>
        <v>-44659.58</v>
      </c>
      <c r="Y82" s="1"/>
      <c r="Z82" s="5">
        <f t="shared" ref="Z82:Z87" si="83">IF(T82=0,0,X82/T82)</f>
        <v>-1.0016502938142018</v>
      </c>
    </row>
    <row r="83" spans="1:26" s="24" customFormat="1" hidden="1" outlineLevel="2" x14ac:dyDescent="0.25">
      <c r="A83" s="29"/>
      <c r="B83" s="11" t="str">
        <f>CONCATENATE("          ", "6234", " - ", "EXPENDABLE SUPPLIES &amp; EQUIPMEN")</f>
        <v xml:space="preserve">          6234 - EXPENDABLE SUPPLIES &amp; EQUIPMEN</v>
      </c>
      <c r="C83" s="11"/>
      <c r="D83" s="7"/>
      <c r="E83" s="2"/>
      <c r="F83" s="6">
        <f t="shared" si="76"/>
        <v>0</v>
      </c>
      <c r="G83" s="2"/>
      <c r="H83" s="7">
        <v>1000</v>
      </c>
      <c r="I83" s="2"/>
      <c r="J83" s="6">
        <f t="shared" si="77"/>
        <v>0</v>
      </c>
      <c r="K83" s="2"/>
      <c r="L83" s="7">
        <f t="shared" si="78"/>
        <v>-1000</v>
      </c>
      <c r="M83" s="2"/>
      <c r="N83" s="6">
        <f t="shared" si="79"/>
        <v>-1</v>
      </c>
      <c r="O83" s="11"/>
      <c r="P83" s="7"/>
      <c r="Q83" s="2"/>
      <c r="R83" s="6">
        <f t="shared" si="80"/>
        <v>0</v>
      </c>
      <c r="S83" s="2"/>
      <c r="T83" s="7">
        <v>15584</v>
      </c>
      <c r="U83" s="2"/>
      <c r="V83" s="6">
        <f t="shared" si="81"/>
        <v>0</v>
      </c>
      <c r="W83" s="2"/>
      <c r="X83" s="7">
        <f t="shared" si="82"/>
        <v>-15584</v>
      </c>
      <c r="Y83" s="2"/>
      <c r="Z83" s="6">
        <f t="shared" si="83"/>
        <v>-1</v>
      </c>
    </row>
    <row r="84" spans="1:26" s="24" customFormat="1" hidden="1" outlineLevel="2" x14ac:dyDescent="0.25">
      <c r="A84" s="29"/>
      <c r="B84" s="11" t="str">
        <f>CONCATENATE("          ", "6235", " - ", "COVID-19 EXPENSES")</f>
        <v xml:space="preserve">          6235 - COVID-19 EXPENSES</v>
      </c>
      <c r="C84" s="11"/>
      <c r="D84" s="7"/>
      <c r="E84" s="2"/>
      <c r="F84" s="6">
        <f t="shared" si="76"/>
        <v>0</v>
      </c>
      <c r="G84" s="2"/>
      <c r="H84" s="7">
        <v>917</v>
      </c>
      <c r="I84" s="2"/>
      <c r="J84" s="6">
        <f t="shared" si="77"/>
        <v>0</v>
      </c>
      <c r="K84" s="2"/>
      <c r="L84" s="7">
        <f t="shared" si="78"/>
        <v>-917</v>
      </c>
      <c r="M84" s="2"/>
      <c r="N84" s="6">
        <f t="shared" si="79"/>
        <v>-1</v>
      </c>
      <c r="O84" s="11"/>
      <c r="P84" s="7">
        <v>810.3</v>
      </c>
      <c r="Q84" s="2"/>
      <c r="R84" s="6">
        <f t="shared" si="80"/>
        <v>0</v>
      </c>
      <c r="S84" s="2"/>
      <c r="T84" s="7">
        <v>3502</v>
      </c>
      <c r="U84" s="2"/>
      <c r="V84" s="6">
        <f t="shared" si="81"/>
        <v>0</v>
      </c>
      <c r="W84" s="2"/>
      <c r="X84" s="7">
        <f t="shared" si="82"/>
        <v>-2691.7</v>
      </c>
      <c r="Y84" s="2"/>
      <c r="Z84" s="6">
        <f t="shared" si="83"/>
        <v>-0.76861793260993716</v>
      </c>
    </row>
    <row r="85" spans="1:26" s="24" customFormat="1" hidden="1" outlineLevel="2" x14ac:dyDescent="0.25">
      <c r="A85" s="29"/>
      <c r="B85" s="11" t="str">
        <f>CONCATENATE("          ", "6241", " - ", "OFFICE EXPENSE")</f>
        <v xml:space="preserve">          6241 - OFFICE EXPENSE</v>
      </c>
      <c r="C85" s="11"/>
      <c r="D85" s="7">
        <v>308.95</v>
      </c>
      <c r="E85" s="2"/>
      <c r="F85" s="6">
        <f t="shared" si="76"/>
        <v>0</v>
      </c>
      <c r="G85" s="2"/>
      <c r="H85" s="7">
        <v>2583</v>
      </c>
      <c r="I85" s="2"/>
      <c r="J85" s="6">
        <f t="shared" si="77"/>
        <v>0</v>
      </c>
      <c r="K85" s="2"/>
      <c r="L85" s="7">
        <f t="shared" si="78"/>
        <v>-2274.0500000000002</v>
      </c>
      <c r="M85" s="2"/>
      <c r="N85" s="6">
        <f t="shared" si="79"/>
        <v>-0.88039101819589627</v>
      </c>
      <c r="O85" s="11"/>
      <c r="P85" s="7">
        <v>-1106.5899999999999</v>
      </c>
      <c r="Q85" s="2"/>
      <c r="R85" s="6">
        <f t="shared" si="80"/>
        <v>0</v>
      </c>
      <c r="S85" s="2"/>
      <c r="T85" s="7">
        <v>17998</v>
      </c>
      <c r="U85" s="2"/>
      <c r="V85" s="6">
        <f t="shared" si="81"/>
        <v>0</v>
      </c>
      <c r="W85" s="2"/>
      <c r="X85" s="7">
        <f t="shared" si="82"/>
        <v>-19104.59</v>
      </c>
      <c r="Y85" s="2"/>
      <c r="Z85" s="6">
        <f t="shared" si="83"/>
        <v>-1.0614840537837538</v>
      </c>
    </row>
    <row r="86" spans="1:26" s="24" customFormat="1" hidden="1" outlineLevel="2" x14ac:dyDescent="0.25">
      <c r="A86" s="29"/>
      <c r="B86" s="11" t="str">
        <f>CONCATENATE("          ", "6244", " - ", "SAFETY SUPPLY EXPENSE")</f>
        <v xml:space="preserve">          6244 - SAFETY SUPPLY EXPENSE</v>
      </c>
      <c r="C86" s="11"/>
      <c r="D86" s="7"/>
      <c r="E86" s="2"/>
      <c r="F86" s="6">
        <f t="shared" si="76"/>
        <v>0</v>
      </c>
      <c r="G86" s="2"/>
      <c r="H86" s="7">
        <v>417</v>
      </c>
      <c r="I86" s="2"/>
      <c r="J86" s="6">
        <f t="shared" si="77"/>
        <v>0</v>
      </c>
      <c r="K86" s="2"/>
      <c r="L86" s="7">
        <f t="shared" si="78"/>
        <v>-417</v>
      </c>
      <c r="M86" s="2"/>
      <c r="N86" s="6">
        <f t="shared" si="79"/>
        <v>-1</v>
      </c>
      <c r="O86" s="11"/>
      <c r="P86" s="7">
        <v>222.71</v>
      </c>
      <c r="Q86" s="2"/>
      <c r="R86" s="6">
        <f t="shared" si="80"/>
        <v>0</v>
      </c>
      <c r="S86" s="2"/>
      <c r="T86" s="7">
        <v>2502</v>
      </c>
      <c r="U86" s="2"/>
      <c r="V86" s="6">
        <f t="shared" si="81"/>
        <v>0</v>
      </c>
      <c r="W86" s="2"/>
      <c r="X86" s="7">
        <f t="shared" si="82"/>
        <v>-2279.29</v>
      </c>
      <c r="Y86" s="2"/>
      <c r="Z86" s="6">
        <f t="shared" si="83"/>
        <v>-0.9109872102318145</v>
      </c>
    </row>
    <row r="87" spans="1:26" s="24" customFormat="1" hidden="1" outlineLevel="2" x14ac:dyDescent="0.25">
      <c r="A87" s="29"/>
      <c r="B87" s="11" t="str">
        <f>CONCATENATE("          ", "6247", " - ", "STORE SUPPLIES")</f>
        <v xml:space="preserve">          6247 - STORE SUPPLIES</v>
      </c>
      <c r="C87" s="11"/>
      <c r="D87" s="7"/>
      <c r="E87" s="2"/>
      <c r="F87" s="6">
        <f t="shared" si="76"/>
        <v>0</v>
      </c>
      <c r="G87" s="2"/>
      <c r="H87" s="7"/>
      <c r="I87" s="2"/>
      <c r="J87" s="6">
        <f t="shared" si="77"/>
        <v>0</v>
      </c>
      <c r="K87" s="2"/>
      <c r="L87" s="7">
        <f t="shared" si="78"/>
        <v>0</v>
      </c>
      <c r="M87" s="2"/>
      <c r="N87" s="6">
        <f t="shared" si="79"/>
        <v>0</v>
      </c>
      <c r="O87" s="11"/>
      <c r="P87" s="7"/>
      <c r="Q87" s="2"/>
      <c r="R87" s="6">
        <f t="shared" si="80"/>
        <v>0</v>
      </c>
      <c r="S87" s="2"/>
      <c r="T87" s="7">
        <v>5000</v>
      </c>
      <c r="U87" s="2"/>
      <c r="V87" s="6">
        <f t="shared" si="81"/>
        <v>0</v>
      </c>
      <c r="W87" s="2"/>
      <c r="X87" s="7">
        <f t="shared" si="82"/>
        <v>-5000</v>
      </c>
      <c r="Y87" s="2"/>
      <c r="Z87" s="6">
        <f t="shared" si="83"/>
        <v>-1</v>
      </c>
    </row>
    <row r="88" spans="1:26" s="28" customFormat="1" outlineLevel="1" collapsed="1" x14ac:dyDescent="0.25">
      <c r="A88" s="27"/>
      <c r="B88" s="14" t="str">
        <f>CONCATENATE("     ","Telephone/Data Lines                              ")</f>
        <v xml:space="preserve">     Telephone/Data Lines                              </v>
      </c>
      <c r="C88" s="14"/>
      <c r="D88" s="1">
        <f>SUM(OSRRefD22_17x_0)</f>
        <v>3139.3399999999997</v>
      </c>
      <c r="E88" s="1"/>
      <c r="F88" s="5">
        <f t="shared" ref="F88:F90" si="84">IF(D$12=0,0,D88/D$12)</f>
        <v>0</v>
      </c>
      <c r="G88" s="1"/>
      <c r="H88" s="1">
        <f>SUM(OSRRefH22_17x_0)</f>
        <v>1585</v>
      </c>
      <c r="I88" s="1"/>
      <c r="J88" s="5">
        <f t="shared" ref="J88:J90" si="85">IF(H$12=0,0,H88/H$12)</f>
        <v>0</v>
      </c>
      <c r="K88" s="1"/>
      <c r="L88" s="1">
        <f t="shared" ref="L88:L90" si="86">+D88-H88</f>
        <v>1554.3399999999997</v>
      </c>
      <c r="M88" s="1"/>
      <c r="N88" s="5">
        <f t="shared" ref="N88:N90" si="87">IF(H88=0,0,L88/H88)</f>
        <v>0.9806561514195582</v>
      </c>
      <c r="O88" s="14"/>
      <c r="P88" s="1">
        <f>SUM(OSRRefP22_17x_0)</f>
        <v>13185.82</v>
      </c>
      <c r="Q88" s="1"/>
      <c r="R88" s="5">
        <f t="shared" ref="R88:R90" si="88">IF(P$12=0,0,P88/P$12)</f>
        <v>0</v>
      </c>
      <c r="S88" s="1"/>
      <c r="T88" s="1">
        <f>SUM(OSRRefT22_17x_0)</f>
        <v>10710</v>
      </c>
      <c r="U88" s="1"/>
      <c r="V88" s="5">
        <f t="shared" ref="V88:V90" si="89">IF(T$12=0,0,T88/T$12)</f>
        <v>0</v>
      </c>
      <c r="W88" s="1"/>
      <c r="X88" s="1">
        <f t="shared" ref="X88:X90" si="90">+P88-T88</f>
        <v>2475.8199999999997</v>
      </c>
      <c r="Y88" s="1"/>
      <c r="Z88" s="5">
        <f t="shared" ref="Z88:Z90" si="91">IF(T88=0,0,X88/T88)</f>
        <v>0.23116900093370679</v>
      </c>
    </row>
    <row r="89" spans="1:26" s="24" customFormat="1" hidden="1" outlineLevel="2" x14ac:dyDescent="0.25">
      <c r="A89" s="29"/>
      <c r="B89" s="11" t="str">
        <f>CONCATENATE("          ", "6303", " - ", "DATA PHONE LINES")</f>
        <v xml:space="preserve">          6303 - DATA PHONE LINES</v>
      </c>
      <c r="C89" s="11"/>
      <c r="D89" s="7">
        <v>238.97</v>
      </c>
      <c r="E89" s="2"/>
      <c r="F89" s="6">
        <f t="shared" si="84"/>
        <v>0</v>
      </c>
      <c r="G89" s="2"/>
      <c r="H89" s="7">
        <v>335</v>
      </c>
      <c r="I89" s="2"/>
      <c r="J89" s="6">
        <f t="shared" si="85"/>
        <v>0</v>
      </c>
      <c r="K89" s="2"/>
      <c r="L89" s="7">
        <f t="shared" si="86"/>
        <v>-96.03</v>
      </c>
      <c r="M89" s="2"/>
      <c r="N89" s="6">
        <f t="shared" si="87"/>
        <v>-0.28665671641791046</v>
      </c>
      <c r="O89" s="11"/>
      <c r="P89" s="7">
        <v>764.9</v>
      </c>
      <c r="Q89" s="2"/>
      <c r="R89" s="6">
        <f t="shared" si="88"/>
        <v>0</v>
      </c>
      <c r="S89" s="2"/>
      <c r="T89" s="7">
        <v>3810</v>
      </c>
      <c r="U89" s="2"/>
      <c r="V89" s="6">
        <f t="shared" si="89"/>
        <v>0</v>
      </c>
      <c r="W89" s="2"/>
      <c r="X89" s="7">
        <f t="shared" si="90"/>
        <v>-3045.1</v>
      </c>
      <c r="Y89" s="2"/>
      <c r="Z89" s="6">
        <f t="shared" si="91"/>
        <v>-0.79923884514435695</v>
      </c>
    </row>
    <row r="90" spans="1:26" s="24" customFormat="1" hidden="1" outlineLevel="2" x14ac:dyDescent="0.25">
      <c r="A90" s="29"/>
      <c r="B90" s="11" t="str">
        <f>CONCATENATE("          ", "6309", " - ", "TELEPHONE")</f>
        <v xml:space="preserve">          6309 - TELEPHONE</v>
      </c>
      <c r="C90" s="11"/>
      <c r="D90" s="7">
        <v>2900.37</v>
      </c>
      <c r="E90" s="2"/>
      <c r="F90" s="6">
        <f t="shared" si="84"/>
        <v>0</v>
      </c>
      <c r="G90" s="2"/>
      <c r="H90" s="7">
        <v>1250</v>
      </c>
      <c r="I90" s="2"/>
      <c r="J90" s="6">
        <f t="shared" si="85"/>
        <v>0</v>
      </c>
      <c r="K90" s="2"/>
      <c r="L90" s="7">
        <f t="shared" si="86"/>
        <v>1650.37</v>
      </c>
      <c r="M90" s="2"/>
      <c r="N90" s="6">
        <f t="shared" si="87"/>
        <v>1.3202959999999999</v>
      </c>
      <c r="O90" s="11"/>
      <c r="P90" s="7">
        <v>12420.92</v>
      </c>
      <c r="Q90" s="2"/>
      <c r="R90" s="6">
        <f t="shared" si="88"/>
        <v>0</v>
      </c>
      <c r="S90" s="2"/>
      <c r="T90" s="7">
        <v>6900</v>
      </c>
      <c r="U90" s="2"/>
      <c r="V90" s="6">
        <f t="shared" si="89"/>
        <v>0</v>
      </c>
      <c r="W90" s="2"/>
      <c r="X90" s="7">
        <f t="shared" si="90"/>
        <v>5520.92</v>
      </c>
      <c r="Y90" s="2"/>
      <c r="Z90" s="6">
        <f t="shared" si="91"/>
        <v>0.80013333333333336</v>
      </c>
    </row>
    <row r="91" spans="1:26" s="28" customFormat="1" outlineLevel="1" collapsed="1" x14ac:dyDescent="0.25">
      <c r="A91" s="27"/>
      <c r="B91" s="14" t="str">
        <f>CONCATENATE("     ","Training                                          ")</f>
        <v xml:space="preserve">     Training                                          </v>
      </c>
      <c r="C91" s="14"/>
      <c r="D91" s="1">
        <f>SUM(OSRRefD22_18x_0)</f>
        <v>249</v>
      </c>
      <c r="E91" s="1"/>
      <c r="F91" s="5">
        <f t="shared" ref="F91:F95" si="92">IF(D$12=0,0,D91/D$12)</f>
        <v>0</v>
      </c>
      <c r="G91" s="1"/>
      <c r="H91" s="1">
        <f>SUM(OSRRefH22_18x_0)</f>
        <v>1696</v>
      </c>
      <c r="I91" s="1"/>
      <c r="J91" s="5">
        <f t="shared" ref="J91:J95" si="93">IF(H$12=0,0,H91/H$12)</f>
        <v>0</v>
      </c>
      <c r="K91" s="1"/>
      <c r="L91" s="1">
        <f t="shared" ref="L91:L95" si="94">+D91-H91</f>
        <v>-1447</v>
      </c>
      <c r="M91" s="1"/>
      <c r="N91" s="5">
        <f t="shared" ref="N91:N95" si="95">IF(H91=0,0,L91/H91)</f>
        <v>-0.85318396226415094</v>
      </c>
      <c r="O91" s="14"/>
      <c r="P91" s="1">
        <f>SUM(OSRRefP22_18x_0)</f>
        <v>1676.5</v>
      </c>
      <c r="Q91" s="1"/>
      <c r="R91" s="5">
        <f t="shared" ref="R91:R95" si="96">IF(P$12=0,0,P91/P$12)</f>
        <v>0</v>
      </c>
      <c r="S91" s="1"/>
      <c r="T91" s="1">
        <f>SUM(OSRRefT22_18x_0)</f>
        <v>11326</v>
      </c>
      <c r="U91" s="1"/>
      <c r="V91" s="5">
        <f t="shared" ref="V91:V95" si="97">IF(T$12=0,0,T91/T$12)</f>
        <v>0</v>
      </c>
      <c r="W91" s="1"/>
      <c r="X91" s="1">
        <f t="shared" ref="X91:X95" si="98">+P91-T91</f>
        <v>-9649.5</v>
      </c>
      <c r="Y91" s="1"/>
      <c r="Z91" s="5">
        <f t="shared" ref="Z91:Z95" si="99">IF(T91=0,0,X91/T91)</f>
        <v>-0.85197775030902345</v>
      </c>
    </row>
    <row r="92" spans="1:26" s="24" customFormat="1" hidden="1" outlineLevel="2" x14ac:dyDescent="0.25">
      <c r="A92" s="29"/>
      <c r="B92" s="11" t="str">
        <f>CONCATENATE("          ", "6376", " - ", "TRAINING")</f>
        <v xml:space="preserve">          6376 - TRAINING</v>
      </c>
      <c r="C92" s="11"/>
      <c r="D92" s="7">
        <v>249</v>
      </c>
      <c r="E92" s="2"/>
      <c r="F92" s="6">
        <f t="shared" si="92"/>
        <v>0</v>
      </c>
      <c r="G92" s="2"/>
      <c r="H92" s="7">
        <v>1696</v>
      </c>
      <c r="I92" s="2"/>
      <c r="J92" s="6">
        <f t="shared" si="93"/>
        <v>0</v>
      </c>
      <c r="K92" s="2"/>
      <c r="L92" s="7">
        <f t="shared" si="94"/>
        <v>-1447</v>
      </c>
      <c r="M92" s="2"/>
      <c r="N92" s="6">
        <f t="shared" si="95"/>
        <v>-0.85318396226415094</v>
      </c>
      <c r="O92" s="11"/>
      <c r="P92" s="7">
        <v>1676.5</v>
      </c>
      <c r="Q92" s="2"/>
      <c r="R92" s="6">
        <f t="shared" si="96"/>
        <v>0</v>
      </c>
      <c r="S92" s="2"/>
      <c r="T92" s="7">
        <v>11326</v>
      </c>
      <c r="U92" s="2"/>
      <c r="V92" s="6">
        <f t="shared" si="97"/>
        <v>0</v>
      </c>
      <c r="W92" s="2"/>
      <c r="X92" s="7">
        <f t="shared" si="98"/>
        <v>-9649.5</v>
      </c>
      <c r="Y92" s="2"/>
      <c r="Z92" s="6">
        <f t="shared" si="99"/>
        <v>-0.85197775030902345</v>
      </c>
    </row>
    <row r="93" spans="1:26" s="28" customFormat="1" outlineLevel="1" collapsed="1" x14ac:dyDescent="0.25">
      <c r="A93" s="27"/>
      <c r="B93" s="14" t="str">
        <f>CONCATENATE("     ","Travel                                            ")</f>
        <v xml:space="preserve">     Travel                                            </v>
      </c>
      <c r="C93" s="14"/>
      <c r="D93" s="1">
        <f>SUM(OSRRefD22_19x_0)</f>
        <v>0</v>
      </c>
      <c r="E93" s="1"/>
      <c r="F93" s="5">
        <f t="shared" si="92"/>
        <v>0</v>
      </c>
      <c r="G93" s="1"/>
      <c r="H93" s="1">
        <f>SUM(OSRRefH22_19x_0)</f>
        <v>625</v>
      </c>
      <c r="I93" s="1"/>
      <c r="J93" s="5">
        <f t="shared" si="93"/>
        <v>0</v>
      </c>
      <c r="K93" s="1"/>
      <c r="L93" s="1">
        <f t="shared" si="94"/>
        <v>-625</v>
      </c>
      <c r="M93" s="1"/>
      <c r="N93" s="5">
        <f t="shared" si="95"/>
        <v>-1</v>
      </c>
      <c r="O93" s="14"/>
      <c r="P93" s="1">
        <f>SUM(OSRRefP22_19x_0)</f>
        <v>766.62</v>
      </c>
      <c r="Q93" s="1"/>
      <c r="R93" s="5">
        <f t="shared" si="96"/>
        <v>0</v>
      </c>
      <c r="S93" s="1"/>
      <c r="T93" s="1">
        <f>SUM(OSRRefT22_19x_0)</f>
        <v>3850</v>
      </c>
      <c r="U93" s="1"/>
      <c r="V93" s="5">
        <f t="shared" si="97"/>
        <v>0</v>
      </c>
      <c r="W93" s="1"/>
      <c r="X93" s="1">
        <f t="shared" si="98"/>
        <v>-3083.38</v>
      </c>
      <c r="Y93" s="1"/>
      <c r="Z93" s="5">
        <f t="shared" si="99"/>
        <v>-0.80087792207792208</v>
      </c>
    </row>
    <row r="94" spans="1:26" s="24" customFormat="1" hidden="1" outlineLevel="2" x14ac:dyDescent="0.25">
      <c r="A94" s="29"/>
      <c r="B94" s="11" t="str">
        <f>CONCATENATE("          ", "6292", " - ", "TRAVEL/CONFERENCE")</f>
        <v xml:space="preserve">          6292 - TRAVEL/CONFERENCE</v>
      </c>
      <c r="C94" s="11"/>
      <c r="D94" s="7"/>
      <c r="E94" s="2"/>
      <c r="F94" s="6">
        <f t="shared" si="92"/>
        <v>0</v>
      </c>
      <c r="G94" s="2"/>
      <c r="H94" s="7">
        <v>625</v>
      </c>
      <c r="I94" s="2"/>
      <c r="J94" s="6">
        <f t="shared" si="93"/>
        <v>0</v>
      </c>
      <c r="K94" s="2"/>
      <c r="L94" s="7">
        <f t="shared" si="94"/>
        <v>-625</v>
      </c>
      <c r="M94" s="2"/>
      <c r="N94" s="6">
        <f t="shared" si="95"/>
        <v>-1</v>
      </c>
      <c r="O94" s="11"/>
      <c r="P94" s="7">
        <v>720</v>
      </c>
      <c r="Q94" s="2"/>
      <c r="R94" s="6">
        <f t="shared" si="96"/>
        <v>0</v>
      </c>
      <c r="S94" s="2"/>
      <c r="T94" s="7">
        <v>3750</v>
      </c>
      <c r="U94" s="2"/>
      <c r="V94" s="6">
        <f t="shared" si="97"/>
        <v>0</v>
      </c>
      <c r="W94" s="2"/>
      <c r="X94" s="7">
        <f t="shared" si="98"/>
        <v>-3030</v>
      </c>
      <c r="Y94" s="2"/>
      <c r="Z94" s="6">
        <f t="shared" si="99"/>
        <v>-0.80800000000000005</v>
      </c>
    </row>
    <row r="95" spans="1:26" s="24" customFormat="1" hidden="1" outlineLevel="2" x14ac:dyDescent="0.25">
      <c r="A95" s="29"/>
      <c r="B95" s="11" t="str">
        <f>CONCATENATE("          ", "6294", " - ", "TRAVEL OPERATIONAL")</f>
        <v xml:space="preserve">          6294 - TRAVEL OPERATIONAL</v>
      </c>
      <c r="C95" s="11"/>
      <c r="D95" s="7"/>
      <c r="E95" s="2"/>
      <c r="F95" s="6">
        <f t="shared" si="92"/>
        <v>0</v>
      </c>
      <c r="G95" s="2"/>
      <c r="H95" s="7"/>
      <c r="I95" s="2"/>
      <c r="J95" s="6">
        <f t="shared" si="93"/>
        <v>0</v>
      </c>
      <c r="K95" s="2"/>
      <c r="L95" s="7">
        <f t="shared" si="94"/>
        <v>0</v>
      </c>
      <c r="M95" s="2"/>
      <c r="N95" s="6">
        <f t="shared" si="95"/>
        <v>0</v>
      </c>
      <c r="O95" s="11"/>
      <c r="P95" s="7">
        <v>46.62</v>
      </c>
      <c r="Q95" s="2"/>
      <c r="R95" s="6">
        <f t="shared" si="96"/>
        <v>0</v>
      </c>
      <c r="S95" s="2"/>
      <c r="T95" s="7">
        <v>100</v>
      </c>
      <c r="U95" s="2"/>
      <c r="V95" s="6">
        <f t="shared" si="97"/>
        <v>0</v>
      </c>
      <c r="W95" s="2"/>
      <c r="X95" s="7">
        <f t="shared" si="98"/>
        <v>-53.38</v>
      </c>
      <c r="Y95" s="2"/>
      <c r="Z95" s="6">
        <f t="shared" si="99"/>
        <v>-0.53380000000000005</v>
      </c>
    </row>
    <row r="96" spans="1:26" s="53" customFormat="1" x14ac:dyDescent="0.2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25">
      <c r="A97" s="10"/>
      <c r="B97" s="26" t="s">
        <v>0</v>
      </c>
      <c r="C97" s="10"/>
      <c r="D97" s="4">
        <f>SUM(OSRRefD25x_0)</f>
        <v>0</v>
      </c>
      <c r="E97" s="4"/>
      <c r="F97" s="12">
        <f t="shared" ref="F97:F100" si="100">IF(D$12=0,0,D97/D$12)</f>
        <v>0</v>
      </c>
      <c r="G97" s="4"/>
      <c r="H97" s="4">
        <f>SUM(OSRRefH25x_0)</f>
        <v>0</v>
      </c>
      <c r="I97" s="4"/>
      <c r="J97" s="12">
        <f t="shared" ref="J97:J100" si="101">IF(H$12=0,0,H97/H$12)</f>
        <v>0</v>
      </c>
      <c r="K97" s="4"/>
      <c r="L97" s="4">
        <f t="shared" ref="L97:L100" si="102">+D97-H97</f>
        <v>0</v>
      </c>
      <c r="M97" s="4"/>
      <c r="N97" s="12">
        <f t="shared" ref="N97:N100" si="103">IF(H97=0,0,L97/H97)</f>
        <v>0</v>
      </c>
      <c r="O97" s="10"/>
      <c r="P97" s="4">
        <f>SUM(OSRRefP25x_0)</f>
        <v>0</v>
      </c>
      <c r="Q97" s="4"/>
      <c r="R97" s="12">
        <f t="shared" ref="R97:R100" si="104">IF(P$12=0,0,P97/P$12)</f>
        <v>0</v>
      </c>
      <c r="S97" s="4"/>
      <c r="T97" s="4">
        <f>SUM(OSRRefT25x_0)</f>
        <v>0</v>
      </c>
      <c r="U97" s="4"/>
      <c r="V97" s="12">
        <f t="shared" ref="V97:V100" si="105">IF(T$12=0,0,T97/T$12)</f>
        <v>0</v>
      </c>
      <c r="W97" s="4"/>
      <c r="X97" s="4">
        <f t="shared" ref="X97:X100" si="106">+P97-T97</f>
        <v>0</v>
      </c>
      <c r="Y97" s="4"/>
      <c r="Z97" s="12">
        <f t="shared" ref="Z97:Z100" si="107">IF(T97=0,0,X97/T97)</f>
        <v>0</v>
      </c>
    </row>
    <row r="98" spans="1:26" s="24" customFormat="1" hidden="1" outlineLevel="1" x14ac:dyDescent="0.25">
      <c r="A98" s="51"/>
      <c r="B98" s="11" t="str">
        <f>CONCATENATE("          ", "9150", " - ", "MISC. INCOME")</f>
        <v xml:space="preserve">          9150 - MISC. INCOME</v>
      </c>
      <c r="C98" s="11"/>
      <c r="D98" s="2">
        <f t="shared" ref="D98:D100" si="108">0</f>
        <v>0</v>
      </c>
      <c r="E98" s="2"/>
      <c r="F98" s="22">
        <f t="shared" si="100"/>
        <v>0</v>
      </c>
      <c r="G98" s="2"/>
      <c r="H98" s="2"/>
      <c r="I98" s="2"/>
      <c r="J98" s="22">
        <f t="shared" si="101"/>
        <v>0</v>
      </c>
      <c r="K98" s="2"/>
      <c r="L98" s="2">
        <f t="shared" si="102"/>
        <v>0</v>
      </c>
      <c r="M98" s="2"/>
      <c r="N98" s="22">
        <f t="shared" si="103"/>
        <v>0</v>
      </c>
      <c r="O98" s="11"/>
      <c r="P98" s="2">
        <f t="shared" ref="P98:P100" si="109">0</f>
        <v>0</v>
      </c>
      <c r="Q98" s="2"/>
      <c r="R98" s="22">
        <f t="shared" si="104"/>
        <v>0</v>
      </c>
      <c r="S98" s="2"/>
      <c r="T98" s="2">
        <v>0</v>
      </c>
      <c r="U98" s="2"/>
      <c r="V98" s="22">
        <f t="shared" si="105"/>
        <v>0</v>
      </c>
      <c r="W98" s="2"/>
      <c r="X98" s="2">
        <f t="shared" si="106"/>
        <v>0</v>
      </c>
      <c r="Y98" s="2"/>
      <c r="Z98" s="22">
        <f t="shared" si="107"/>
        <v>0</v>
      </c>
    </row>
    <row r="99" spans="1:26" s="24" customFormat="1" hidden="1" outlineLevel="1" x14ac:dyDescent="0.25">
      <c r="A99" s="51"/>
      <c r="B99" s="11" t="str">
        <f>CONCATENATE("          ", "9151", " - ", "MISC. INCOME")</f>
        <v xml:space="preserve">          9151 - MISC. INCOME</v>
      </c>
      <c r="C99" s="11"/>
      <c r="D99" s="2">
        <f t="shared" si="108"/>
        <v>0</v>
      </c>
      <c r="E99" s="2"/>
      <c r="F99" s="22">
        <f t="shared" si="100"/>
        <v>0</v>
      </c>
      <c r="G99" s="2"/>
      <c r="H99" s="2"/>
      <c r="I99" s="2"/>
      <c r="J99" s="22">
        <f t="shared" si="101"/>
        <v>0</v>
      </c>
      <c r="K99" s="2"/>
      <c r="L99" s="2">
        <f t="shared" si="102"/>
        <v>0</v>
      </c>
      <c r="M99" s="2"/>
      <c r="N99" s="22">
        <f t="shared" si="103"/>
        <v>0</v>
      </c>
      <c r="O99" s="11"/>
      <c r="P99" s="2">
        <f t="shared" si="109"/>
        <v>0</v>
      </c>
      <c r="Q99" s="2"/>
      <c r="R99" s="22">
        <f t="shared" si="104"/>
        <v>0</v>
      </c>
      <c r="S99" s="2"/>
      <c r="T99" s="2">
        <v>0</v>
      </c>
      <c r="U99" s="2"/>
      <c r="V99" s="22">
        <f t="shared" si="105"/>
        <v>0</v>
      </c>
      <c r="W99" s="2"/>
      <c r="X99" s="2">
        <f t="shared" si="106"/>
        <v>0</v>
      </c>
      <c r="Y99" s="2"/>
      <c r="Z99" s="22">
        <f t="shared" si="107"/>
        <v>0</v>
      </c>
    </row>
    <row r="100" spans="1:26" s="24" customFormat="1" hidden="1" outlineLevel="1" x14ac:dyDescent="0.25">
      <c r="A100" s="51"/>
      <c r="B100" s="11" t="str">
        <f>CONCATENATE("          ", "9160", " - ", "MISC. INCOME")</f>
        <v xml:space="preserve">          9160 - MISC. INCOME</v>
      </c>
      <c r="C100" s="11"/>
      <c r="D100" s="2">
        <f t="shared" si="108"/>
        <v>0</v>
      </c>
      <c r="E100" s="2"/>
      <c r="F100" s="22">
        <f t="shared" si="100"/>
        <v>0</v>
      </c>
      <c r="G100" s="2"/>
      <c r="H100" s="2"/>
      <c r="I100" s="2"/>
      <c r="J100" s="22">
        <f t="shared" si="101"/>
        <v>0</v>
      </c>
      <c r="K100" s="2"/>
      <c r="L100" s="2">
        <f t="shared" si="102"/>
        <v>0</v>
      </c>
      <c r="M100" s="2"/>
      <c r="N100" s="22">
        <f t="shared" si="103"/>
        <v>0</v>
      </c>
      <c r="O100" s="11"/>
      <c r="P100" s="2">
        <f t="shared" si="109"/>
        <v>0</v>
      </c>
      <c r="Q100" s="2"/>
      <c r="R100" s="22">
        <f t="shared" si="104"/>
        <v>0</v>
      </c>
      <c r="S100" s="2"/>
      <c r="T100" s="2">
        <v>0</v>
      </c>
      <c r="U100" s="2"/>
      <c r="V100" s="22">
        <f t="shared" si="105"/>
        <v>0</v>
      </c>
      <c r="W100" s="2"/>
      <c r="X100" s="2">
        <f t="shared" si="106"/>
        <v>0</v>
      </c>
      <c r="Y100" s="2"/>
      <c r="Z100" s="22">
        <f t="shared" si="107"/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5" t="s">
        <v>3</v>
      </c>
      <c r="C102" s="25"/>
      <c r="D102" s="21">
        <f>+D17-D19+D97</f>
        <v>-211174.95</v>
      </c>
      <c r="E102" s="13"/>
      <c r="F102" s="19">
        <f>IF(D$12=0,0,D102/D$12)</f>
        <v>0</v>
      </c>
      <c r="G102" s="13"/>
      <c r="H102" s="21">
        <f>+H17-H19+H97</f>
        <v>-246984.64046153845</v>
      </c>
      <c r="I102" s="13"/>
      <c r="J102" s="19">
        <f>IF(H$12=0,0,H102/H$12)</f>
        <v>0</v>
      </c>
      <c r="K102" s="16"/>
      <c r="L102" s="21">
        <f>+D102-H102</f>
        <v>35809.690461538441</v>
      </c>
      <c r="M102" s="16"/>
      <c r="N102" s="19">
        <f>IF(H102=0,0,L102/H102)</f>
        <v>-0.14498751984990291</v>
      </c>
      <c r="O102" s="26"/>
      <c r="P102" s="21">
        <f>+P17-P19+P97</f>
        <v>-951551.21</v>
      </c>
      <c r="Q102" s="13"/>
      <c r="R102" s="19">
        <f>IF(P$12=0,0,P102/P$12)</f>
        <v>0</v>
      </c>
      <c r="S102" s="13"/>
      <c r="T102" s="21">
        <f>+T17-T19+T97</f>
        <v>-1622997.4181461539</v>
      </c>
      <c r="U102" s="13"/>
      <c r="V102" s="19">
        <f>IF(T$12=0,0,T102/T$12)</f>
        <v>0</v>
      </c>
      <c r="W102" s="16"/>
      <c r="X102" s="21">
        <f>+P102-T102</f>
        <v>671446.20814615395</v>
      </c>
      <c r="Y102" s="16"/>
      <c r="Z102" s="19">
        <f>IF(T102=0,0,X102/T102)</f>
        <v>-0.41370750232807146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2"/>
      <c r="B104" s="10" t="s">
        <v>14</v>
      </c>
      <c r="C104" s="10"/>
      <c r="D104" s="4"/>
      <c r="E104" s="4"/>
      <c r="F104" s="12">
        <f>IF(D$12=0,0,D104/D$12)</f>
        <v>0</v>
      </c>
      <c r="G104" s="4"/>
      <c r="H104" s="4"/>
      <c r="I104" s="4"/>
      <c r="J104" s="12">
        <f>IF(H$12=0,0,H104/H$12)</f>
        <v>0</v>
      </c>
      <c r="K104" s="4"/>
      <c r="L104" s="4">
        <f>+D104-H104</f>
        <v>0</v>
      </c>
      <c r="M104" s="4"/>
      <c r="N104" s="12">
        <f>IF(H104=0,0,L104/H104)</f>
        <v>0</v>
      </c>
      <c r="O104" s="10"/>
      <c r="P104" s="4"/>
      <c r="Q104" s="4"/>
      <c r="R104" s="12">
        <f>IF(P$12=0,0,P104/P$12)</f>
        <v>0</v>
      </c>
      <c r="S104" s="4"/>
      <c r="T104" s="4"/>
      <c r="U104" s="4"/>
      <c r="V104" s="12">
        <f>IF(T$12=0,0,T104/T$12)</f>
        <v>0</v>
      </c>
      <c r="W104" s="4"/>
      <c r="X104" s="4">
        <f>+P104-T104</f>
        <v>0</v>
      </c>
      <c r="Y104" s="4"/>
      <c r="Z104" s="12">
        <f>IF(T104=0,0,X104/T104)</f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5" t="s">
        <v>4</v>
      </c>
      <c r="C106" s="25"/>
      <c r="D106" s="34">
        <f>+D102-D104</f>
        <v>-211174.95</v>
      </c>
      <c r="E106" s="13"/>
      <c r="F106" s="31">
        <f>IF(D$12=0,0,D106/D$12)</f>
        <v>0</v>
      </c>
      <c r="G106" s="13"/>
      <c r="H106" s="34">
        <f>+H102-H104</f>
        <v>-246984.64046153845</v>
      </c>
      <c r="I106" s="13"/>
      <c r="J106" s="31">
        <f>IF(H$12=0,0,H106/H$12)</f>
        <v>0</v>
      </c>
      <c r="K106" s="16"/>
      <c r="L106" s="34">
        <f>D106-H106</f>
        <v>35809.690461538441</v>
      </c>
      <c r="M106" s="16"/>
      <c r="N106" s="31">
        <f>IF(H106=0,0,L106/H106)</f>
        <v>-0.14498751984990291</v>
      </c>
      <c r="O106" s="26"/>
      <c r="P106" s="34">
        <f>+P102-P104</f>
        <v>-951551.21</v>
      </c>
      <c r="Q106" s="13"/>
      <c r="R106" s="31">
        <f>IF(P$12=0,0,P106/P$12)</f>
        <v>0</v>
      </c>
      <c r="S106" s="13"/>
      <c r="T106" s="34">
        <f>+T102-T104</f>
        <v>-1622997.4181461539</v>
      </c>
      <c r="U106" s="13"/>
      <c r="V106" s="31">
        <f>IF(T$12=0,0,T106/T$12)</f>
        <v>0</v>
      </c>
      <c r="W106" s="16"/>
      <c r="X106" s="34">
        <f>P106-T106</f>
        <v>671446.20814615395</v>
      </c>
      <c r="Y106" s="16"/>
      <c r="Z106" s="31">
        <f>IF(T106=0,0,X106/T106)</f>
        <v>-0.41370750232807146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5" t="s">
        <v>5</v>
      </c>
      <c r="C109" s="25"/>
      <c r="D109" s="33">
        <f>SUM(D106:D108)</f>
        <v>-211174.95</v>
      </c>
      <c r="E109" s="13"/>
      <c r="F109" s="32">
        <f>IF(D$12=0,0,D109/D$12)</f>
        <v>0</v>
      </c>
      <c r="G109" s="13"/>
      <c r="H109" s="33">
        <f>SUM(H106:H108)</f>
        <v>-246984.64046153845</v>
      </c>
      <c r="I109" s="13"/>
      <c r="J109" s="32">
        <f>IF(H$12=0,0,H109/H$12)</f>
        <v>0</v>
      </c>
      <c r="K109" s="16"/>
      <c r="L109" s="33">
        <f>+D109-H109</f>
        <v>35809.690461538441</v>
      </c>
      <c r="M109" s="16"/>
      <c r="N109" s="32">
        <f>IF(H109=0,0,L109/H109)</f>
        <v>-0.14498751984990291</v>
      </c>
      <c r="O109" s="26"/>
      <c r="P109" s="33">
        <f>SUM(P106:P108)</f>
        <v>-951551.21</v>
      </c>
      <c r="Q109" s="13"/>
      <c r="R109" s="32">
        <f>IF(P$12=0,0,P109/P$12)</f>
        <v>0</v>
      </c>
      <c r="S109" s="13"/>
      <c r="T109" s="33">
        <f>SUM(T106:T108)</f>
        <v>-1622997.4181461539</v>
      </c>
      <c r="U109" s="13"/>
      <c r="V109" s="32">
        <f>IF(T$12=0,0,T109/T$12)</f>
        <v>0</v>
      </c>
      <c r="W109" s="16"/>
      <c r="X109" s="33">
        <f>+P109-T109</f>
        <v>671446.20814615395</v>
      </c>
      <c r="Y109" s="16"/>
      <c r="Z109" s="32">
        <f>IF(T109=0,0,X109/T109)</f>
        <v>-0.41370750232807146</v>
      </c>
    </row>
    <row r="110" spans="1:26" ht="15.75" thickTop="1" x14ac:dyDescent="0.25">
      <c r="A110" s="9"/>
      <c r="C110" s="9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63">
        <v>44209.518034837965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60" t="s">
        <v>314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58"/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","200", " - ", "Corporate Expense")</f>
        <v>Department 200 - Corporate Expense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6"/>
      <c r="L16" s="21">
        <f>+D16-H16</f>
        <v>0</v>
      </c>
      <c r="M16" s="16"/>
      <c r="N16" s="19">
        <f>IF(H16=0,0,L16/H16)</f>
        <v>0</v>
      </c>
      <c r="O16" s="26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6"/>
      <c r="X16" s="21">
        <f>+P16-T16</f>
        <v>0</v>
      </c>
      <c r="Y16" s="16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30640.19</v>
      </c>
      <c r="E18" s="20"/>
      <c r="F18" s="30">
        <f t="shared" ref="F18:F29" si="0">IF(D$12=0,0,D18/D$12)</f>
        <v>0</v>
      </c>
      <c r="G18" s="20"/>
      <c r="H18" s="20">
        <f>SUM(OSRRefH22x_0)</f>
        <v>42137</v>
      </c>
      <c r="I18" s="20"/>
      <c r="J18" s="30">
        <f t="shared" ref="J18:J29" si="1">IF(H$12=0,0,H18/H$12)</f>
        <v>0</v>
      </c>
      <c r="K18" s="4"/>
      <c r="L18" s="20">
        <f t="shared" ref="L18:L29" si="2">+D18-H18</f>
        <v>-11496.810000000001</v>
      </c>
      <c r="M18" s="4"/>
      <c r="N18" s="30">
        <f t="shared" ref="N18:N29" si="3">IF(H18=0,0,L18/H18)</f>
        <v>-0.27284358165033107</v>
      </c>
      <c r="O18" s="10"/>
      <c r="P18" s="20">
        <f>SUM(OSRRefP22x_0)</f>
        <v>-183200.21000000002</v>
      </c>
      <c r="Q18" s="20"/>
      <c r="R18" s="30">
        <f t="shared" ref="R18:R29" si="4">IF(P$12=0,0,P18/P$12)</f>
        <v>0</v>
      </c>
      <c r="S18" s="20"/>
      <c r="T18" s="20">
        <f>SUM(OSRRefT22x_0)</f>
        <v>289522</v>
      </c>
      <c r="U18" s="20"/>
      <c r="V18" s="30">
        <f t="shared" ref="V18:V29" si="5">IF(T$12=0,0,T18/T$12)</f>
        <v>0</v>
      </c>
      <c r="W18" s="4"/>
      <c r="X18" s="20">
        <f t="shared" ref="X18:X29" si="6">+P18-T18</f>
        <v>-472722.21</v>
      </c>
      <c r="Y18" s="4"/>
      <c r="Z18" s="30">
        <f t="shared" ref="Z18:Z29" si="7">IF(T18=0,0,X18/T18)</f>
        <v>-1.632767838022672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29918.37</v>
      </c>
      <c r="E19" s="1"/>
      <c r="F19" s="5">
        <f t="shared" si="0"/>
        <v>0</v>
      </c>
      <c r="G19" s="1"/>
      <c r="H19" s="1">
        <f>SUM(OSRRefH22_0x_0)</f>
        <v>32000</v>
      </c>
      <c r="I19" s="1"/>
      <c r="J19" s="5">
        <f t="shared" si="1"/>
        <v>0</v>
      </c>
      <c r="K19" s="1"/>
      <c r="L19" s="1">
        <f t="shared" si="2"/>
        <v>-2081.630000000001</v>
      </c>
      <c r="M19" s="1"/>
      <c r="N19" s="5">
        <f t="shared" si="3"/>
        <v>-6.5050937500000031E-2</v>
      </c>
      <c r="O19" s="14"/>
      <c r="P19" s="1">
        <f>SUM(OSRRefP22_0x_0)</f>
        <v>-217338.28</v>
      </c>
      <c r="Q19" s="1"/>
      <c r="R19" s="5">
        <f t="shared" si="4"/>
        <v>0</v>
      </c>
      <c r="S19" s="1"/>
      <c r="T19" s="1">
        <f>SUM(OSRRefT22_0x_0)</f>
        <v>192000</v>
      </c>
      <c r="U19" s="1"/>
      <c r="V19" s="5">
        <f t="shared" si="5"/>
        <v>0</v>
      </c>
      <c r="W19" s="1"/>
      <c r="X19" s="1">
        <f t="shared" si="6"/>
        <v>-409338.28</v>
      </c>
      <c r="Y19" s="1"/>
      <c r="Z19" s="5">
        <f t="shared" si="7"/>
        <v>-2.1319702083333336</v>
      </c>
    </row>
    <row r="20" spans="1:26" s="24" customFormat="1" hidden="1" outlineLevel="2" x14ac:dyDescent="0.25">
      <c r="A20" s="29"/>
      <c r="B20" s="11" t="str">
        <f>CONCATENATE("          ", "6120", " - ", "RETIREES HEALTH INSURANCE")</f>
        <v xml:space="preserve">          6120 - RETIREES HEALTH INSURANCE</v>
      </c>
      <c r="C20" s="11"/>
      <c r="D20" s="7">
        <v>29918.37</v>
      </c>
      <c r="E20" s="2"/>
      <c r="F20" s="6">
        <f t="shared" si="0"/>
        <v>0</v>
      </c>
      <c r="G20" s="2"/>
      <c r="H20" s="7">
        <v>32000</v>
      </c>
      <c r="I20" s="2"/>
      <c r="J20" s="6">
        <f t="shared" si="1"/>
        <v>0</v>
      </c>
      <c r="K20" s="2"/>
      <c r="L20" s="7">
        <f t="shared" si="2"/>
        <v>-2081.630000000001</v>
      </c>
      <c r="M20" s="2"/>
      <c r="N20" s="6">
        <f t="shared" si="3"/>
        <v>-6.5050937500000031E-2</v>
      </c>
      <c r="O20" s="11"/>
      <c r="P20" s="7">
        <v>-217338.28</v>
      </c>
      <c r="Q20" s="2"/>
      <c r="R20" s="6">
        <f t="shared" si="4"/>
        <v>0</v>
      </c>
      <c r="S20" s="2"/>
      <c r="T20" s="7">
        <v>192000</v>
      </c>
      <c r="U20" s="2"/>
      <c r="V20" s="6">
        <f t="shared" si="5"/>
        <v>0</v>
      </c>
      <c r="W20" s="2"/>
      <c r="X20" s="7">
        <f t="shared" si="6"/>
        <v>-409338.28</v>
      </c>
      <c r="Y20" s="2"/>
      <c r="Z20" s="6">
        <f t="shared" si="7"/>
        <v>-2.1319702083333336</v>
      </c>
    </row>
    <row r="21" spans="1:26" s="28" customFormat="1" outlineLevel="1" collapsed="1" x14ac:dyDescent="0.25">
      <c r="A21" s="27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7</v>
      </c>
      <c r="E21" s="1"/>
      <c r="F21" s="5">
        <f t="shared" si="0"/>
        <v>0</v>
      </c>
      <c r="G21" s="1"/>
      <c r="H21" s="1">
        <f>SUM(OSRRefH22_1x_0)</f>
        <v>2000</v>
      </c>
      <c r="I21" s="1"/>
      <c r="J21" s="5">
        <f t="shared" si="1"/>
        <v>0</v>
      </c>
      <c r="K21" s="1"/>
      <c r="L21" s="1">
        <f t="shared" si="2"/>
        <v>-1993</v>
      </c>
      <c r="M21" s="1"/>
      <c r="N21" s="5">
        <f t="shared" si="3"/>
        <v>-0.99650000000000005</v>
      </c>
      <c r="O21" s="14"/>
      <c r="P21" s="1">
        <f>SUM(OSRRefP22_1x_0)</f>
        <v>2904.58</v>
      </c>
      <c r="Q21" s="1"/>
      <c r="R21" s="5">
        <f t="shared" si="4"/>
        <v>0</v>
      </c>
      <c r="S21" s="1"/>
      <c r="T21" s="1">
        <f>SUM(OSRRefT22_1x_0)</f>
        <v>36000</v>
      </c>
      <c r="U21" s="1"/>
      <c r="V21" s="5">
        <f t="shared" si="5"/>
        <v>0</v>
      </c>
      <c r="W21" s="1"/>
      <c r="X21" s="1">
        <f t="shared" si="6"/>
        <v>-33095.42</v>
      </c>
      <c r="Y21" s="1"/>
      <c r="Z21" s="5">
        <f t="shared" si="7"/>
        <v>-0.91931722222222212</v>
      </c>
    </row>
    <row r="22" spans="1:26" s="24" customFormat="1" hidden="1" outlineLevel="2" x14ac:dyDescent="0.25">
      <c r="A22" s="29"/>
      <c r="B22" s="11" t="str">
        <f>CONCATENATE("          ", "6381", " - ", "BANK/CREDIT CARD FEES")</f>
        <v xml:space="preserve">          6381 - BANK/CREDIT CARD FEES</v>
      </c>
      <c r="C22" s="11"/>
      <c r="D22" s="7">
        <v>7</v>
      </c>
      <c r="E22" s="2"/>
      <c r="F22" s="6">
        <f t="shared" si="0"/>
        <v>0</v>
      </c>
      <c r="G22" s="2"/>
      <c r="H22" s="7">
        <v>2000</v>
      </c>
      <c r="I22" s="2"/>
      <c r="J22" s="6">
        <f t="shared" si="1"/>
        <v>0</v>
      </c>
      <c r="K22" s="2"/>
      <c r="L22" s="7">
        <f t="shared" si="2"/>
        <v>-1993</v>
      </c>
      <c r="M22" s="2"/>
      <c r="N22" s="6">
        <f t="shared" si="3"/>
        <v>-0.99650000000000005</v>
      </c>
      <c r="O22" s="11"/>
      <c r="P22" s="7">
        <v>2904.58</v>
      </c>
      <c r="Q22" s="2"/>
      <c r="R22" s="6">
        <f t="shared" si="4"/>
        <v>0</v>
      </c>
      <c r="S22" s="2"/>
      <c r="T22" s="7">
        <v>36000</v>
      </c>
      <c r="U22" s="2"/>
      <c r="V22" s="6">
        <f t="shared" si="5"/>
        <v>0</v>
      </c>
      <c r="W22" s="2"/>
      <c r="X22" s="7">
        <f t="shared" si="6"/>
        <v>-33095.42</v>
      </c>
      <c r="Y22" s="2"/>
      <c r="Z22" s="6">
        <f t="shared" si="7"/>
        <v>-0.91931722222222212</v>
      </c>
    </row>
    <row r="23" spans="1:26" s="28" customFormat="1" outlineLevel="1" collapsed="1" x14ac:dyDescent="0.25">
      <c r="A23" s="27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714.82</v>
      </c>
      <c r="E23" s="1"/>
      <c r="F23" s="5">
        <f t="shared" si="0"/>
        <v>0</v>
      </c>
      <c r="G23" s="1"/>
      <c r="H23" s="1">
        <f>SUM(OSRRefH22_2x_0)</f>
        <v>5137</v>
      </c>
      <c r="I23" s="1"/>
      <c r="J23" s="5">
        <f t="shared" si="1"/>
        <v>0</v>
      </c>
      <c r="K23" s="1"/>
      <c r="L23" s="1">
        <f t="shared" si="2"/>
        <v>-4422.18</v>
      </c>
      <c r="M23" s="1"/>
      <c r="N23" s="5">
        <f t="shared" si="3"/>
        <v>-0.86084874440334835</v>
      </c>
      <c r="O23" s="14"/>
      <c r="P23" s="1">
        <f>SUM(OSRRefP22_2x_0)</f>
        <v>7836.99</v>
      </c>
      <c r="Q23" s="1"/>
      <c r="R23" s="5">
        <f t="shared" si="4"/>
        <v>0</v>
      </c>
      <c r="S23" s="1"/>
      <c r="T23" s="1">
        <f>SUM(OSRRefT22_2x_0)</f>
        <v>16522</v>
      </c>
      <c r="U23" s="1"/>
      <c r="V23" s="5">
        <f t="shared" si="5"/>
        <v>0</v>
      </c>
      <c r="W23" s="1"/>
      <c r="X23" s="1">
        <f t="shared" si="6"/>
        <v>-8685.01</v>
      </c>
      <c r="Y23" s="1"/>
      <c r="Z23" s="5">
        <f t="shared" si="7"/>
        <v>-0.52566335794697983</v>
      </c>
    </row>
    <row r="24" spans="1:26" s="24" customFormat="1" hidden="1" outlineLevel="2" x14ac:dyDescent="0.25">
      <c r="A24" s="29"/>
      <c r="B24" s="11" t="str">
        <f>CONCATENATE("          ", "6397", " - ", "BOARD EXPENSES")</f>
        <v xml:space="preserve">          6397 - BOARD EXPENSES</v>
      </c>
      <c r="C24" s="11"/>
      <c r="D24" s="7">
        <v>714.82</v>
      </c>
      <c r="E24" s="2"/>
      <c r="F24" s="6">
        <f t="shared" si="0"/>
        <v>0</v>
      </c>
      <c r="G24" s="2"/>
      <c r="H24" s="7">
        <v>5137</v>
      </c>
      <c r="I24" s="2"/>
      <c r="J24" s="6">
        <f t="shared" si="1"/>
        <v>0</v>
      </c>
      <c r="K24" s="2"/>
      <c r="L24" s="7">
        <f t="shared" si="2"/>
        <v>-4422.18</v>
      </c>
      <c r="M24" s="2"/>
      <c r="N24" s="6">
        <f t="shared" si="3"/>
        <v>-0.86084874440334835</v>
      </c>
      <c r="O24" s="11"/>
      <c r="P24" s="7">
        <v>7836.99</v>
      </c>
      <c r="Q24" s="2"/>
      <c r="R24" s="6">
        <f t="shared" si="4"/>
        <v>0</v>
      </c>
      <c r="S24" s="2"/>
      <c r="T24" s="7">
        <v>16522</v>
      </c>
      <c r="U24" s="2"/>
      <c r="V24" s="6">
        <f t="shared" si="5"/>
        <v>0</v>
      </c>
      <c r="W24" s="2"/>
      <c r="X24" s="7">
        <f t="shared" si="6"/>
        <v>-8685.01</v>
      </c>
      <c r="Y24" s="2"/>
      <c r="Z24" s="6">
        <f t="shared" si="7"/>
        <v>-0.52566335794697983</v>
      </c>
    </row>
    <row r="25" spans="1:26" s="28" customFormat="1" outlineLevel="1" collapsed="1" x14ac:dyDescent="0.25">
      <c r="A25" s="27"/>
      <c r="B25" s="14" t="str">
        <f>CONCATENATE("     ","Donations                                         ")</f>
        <v xml:space="preserve">     Donations            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0</v>
      </c>
      <c r="Y25" s="1"/>
      <c r="Z25" s="5">
        <f t="shared" si="7"/>
        <v>0</v>
      </c>
    </row>
    <row r="26" spans="1:26" s="24" customFormat="1" hidden="1" outlineLevel="2" x14ac:dyDescent="0.25">
      <c r="A26" s="29"/>
      <c r="B26" s="11" t="str">
        <f>CONCATENATE("          ", "6399", " - ", "DONATION-ON CAMPUS")</f>
        <v xml:space="preserve">          6399 - DONATION-ON CAMPUS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/>
      <c r="Q26" s="2"/>
      <c r="R26" s="6">
        <f t="shared" si="4"/>
        <v>0</v>
      </c>
      <c r="S26" s="2"/>
      <c r="T26" s="7">
        <v>0</v>
      </c>
      <c r="U26" s="2"/>
      <c r="V26" s="6">
        <f t="shared" si="5"/>
        <v>0</v>
      </c>
      <c r="W26" s="2"/>
      <c r="X26" s="7">
        <f t="shared" si="6"/>
        <v>0</v>
      </c>
      <c r="Y26" s="2"/>
      <c r="Z26" s="6">
        <f t="shared" si="7"/>
        <v>0</v>
      </c>
    </row>
    <row r="27" spans="1:26" s="28" customFormat="1" outlineLevel="1" collapsed="1" x14ac:dyDescent="0.25">
      <c r="A27" s="27"/>
      <c r="B27" s="14" t="str">
        <f>CONCATENATE("     ","Professional Services                             ")</f>
        <v xml:space="preserve">     Professional Services                             </v>
      </c>
      <c r="C27" s="14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3000</v>
      </c>
      <c r="I27" s="1"/>
      <c r="J27" s="5">
        <f t="shared" si="1"/>
        <v>0</v>
      </c>
      <c r="K27" s="1"/>
      <c r="L27" s="1">
        <f t="shared" si="2"/>
        <v>-3000</v>
      </c>
      <c r="M27" s="1"/>
      <c r="N27" s="5">
        <f t="shared" si="3"/>
        <v>-1</v>
      </c>
      <c r="O27" s="14"/>
      <c r="P27" s="1">
        <f>SUM(OSRRefP22_4x_0)</f>
        <v>23396.5</v>
      </c>
      <c r="Q27" s="1"/>
      <c r="R27" s="5">
        <f t="shared" si="4"/>
        <v>0</v>
      </c>
      <c r="S27" s="1"/>
      <c r="T27" s="1">
        <f>SUM(OSRRefT22_4x_0)</f>
        <v>45000</v>
      </c>
      <c r="U27" s="1"/>
      <c r="V27" s="5">
        <f t="shared" si="5"/>
        <v>0</v>
      </c>
      <c r="W27" s="1"/>
      <c r="X27" s="1">
        <f t="shared" si="6"/>
        <v>-21603.5</v>
      </c>
      <c r="Y27" s="1"/>
      <c r="Z27" s="5">
        <f t="shared" si="7"/>
        <v>-0.48007777777777777</v>
      </c>
    </row>
    <row r="28" spans="1:26" s="24" customFormat="1" hidden="1" outlineLevel="2" x14ac:dyDescent="0.25">
      <c r="A28" s="29"/>
      <c r="B28" s="11" t="str">
        <f>CONCATENATE("          ", "6331", " - ", "INDIRECT COSTS-AUXILIARY ORGAN")</f>
        <v xml:space="preserve">          6331 - INDIRECT COSTS-AUXILIARY ORGAN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23396.5</v>
      </c>
      <c r="Q28" s="2"/>
      <c r="R28" s="6">
        <f t="shared" si="4"/>
        <v>0</v>
      </c>
      <c r="S28" s="2"/>
      <c r="T28" s="7">
        <v>27000</v>
      </c>
      <c r="U28" s="2"/>
      <c r="V28" s="6">
        <f t="shared" si="5"/>
        <v>0</v>
      </c>
      <c r="W28" s="2"/>
      <c r="X28" s="7">
        <f t="shared" si="6"/>
        <v>-3603.5</v>
      </c>
      <c r="Y28" s="2"/>
      <c r="Z28" s="6">
        <f t="shared" si="7"/>
        <v>-0.13346296296296295</v>
      </c>
    </row>
    <row r="29" spans="1:26" s="24" customFormat="1" hidden="1" outlineLevel="2" x14ac:dyDescent="0.25">
      <c r="A29" s="29"/>
      <c r="B29" s="11" t="str">
        <f>CONCATENATE("          ", "6332", " - ", "CONSULTANT FEES")</f>
        <v xml:space="preserve">          6332 - CONSULTANT FEES</v>
      </c>
      <c r="C29" s="11"/>
      <c r="D29" s="7"/>
      <c r="E29" s="2"/>
      <c r="F29" s="6">
        <f t="shared" si="0"/>
        <v>0</v>
      </c>
      <c r="G29" s="2"/>
      <c r="H29" s="7">
        <v>3000</v>
      </c>
      <c r="I29" s="2"/>
      <c r="J29" s="6">
        <f t="shared" si="1"/>
        <v>0</v>
      </c>
      <c r="K29" s="2"/>
      <c r="L29" s="7">
        <f t="shared" si="2"/>
        <v>-3000</v>
      </c>
      <c r="M29" s="2"/>
      <c r="N29" s="6">
        <f t="shared" si="3"/>
        <v>-1</v>
      </c>
      <c r="O29" s="11"/>
      <c r="P29" s="7"/>
      <c r="Q29" s="2"/>
      <c r="R29" s="6">
        <f t="shared" si="4"/>
        <v>0</v>
      </c>
      <c r="S29" s="2"/>
      <c r="T29" s="7">
        <v>18000</v>
      </c>
      <c r="U29" s="2"/>
      <c r="V29" s="6">
        <f t="shared" si="5"/>
        <v>0</v>
      </c>
      <c r="W29" s="2"/>
      <c r="X29" s="7">
        <f t="shared" si="6"/>
        <v>-18000</v>
      </c>
      <c r="Y29" s="2"/>
      <c r="Z29" s="6">
        <f t="shared" si="7"/>
        <v>-1</v>
      </c>
    </row>
    <row r="30" spans="1:26" s="53" customFormat="1" x14ac:dyDescent="0.25">
      <c r="A30" s="36"/>
      <c r="B30" s="36"/>
      <c r="C30" s="36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6" t="s">
        <v>0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5" t="s">
        <v>3</v>
      </c>
      <c r="C33" s="25"/>
      <c r="D33" s="21">
        <f>+D16-D18+D31</f>
        <v>-30640.19</v>
      </c>
      <c r="E33" s="13"/>
      <c r="F33" s="19">
        <f>IF(D$12=0,0,D33/D$12)</f>
        <v>0</v>
      </c>
      <c r="G33" s="13"/>
      <c r="H33" s="21">
        <f>+H16-H18+H31</f>
        <v>-42137</v>
      </c>
      <c r="I33" s="13"/>
      <c r="J33" s="19">
        <f>IF(H$12=0,0,H33/H$12)</f>
        <v>0</v>
      </c>
      <c r="K33" s="16"/>
      <c r="L33" s="21">
        <f>+D33-H33</f>
        <v>11496.810000000001</v>
      </c>
      <c r="M33" s="16"/>
      <c r="N33" s="19">
        <f>IF(H33=0,0,L33/H33)</f>
        <v>-0.27284358165033107</v>
      </c>
      <c r="O33" s="26"/>
      <c r="P33" s="21">
        <f>+P16-P18+P31</f>
        <v>183200.21000000002</v>
      </c>
      <c r="Q33" s="13"/>
      <c r="R33" s="19">
        <f>IF(P$12=0,0,P33/P$12)</f>
        <v>0</v>
      </c>
      <c r="S33" s="13"/>
      <c r="T33" s="21">
        <f>+T16-T18+T31</f>
        <v>-289522</v>
      </c>
      <c r="U33" s="13"/>
      <c r="V33" s="19">
        <f>IF(T$12=0,0,T33/T$12)</f>
        <v>0</v>
      </c>
      <c r="W33" s="16"/>
      <c r="X33" s="21">
        <f>+P33-T33</f>
        <v>472722.21</v>
      </c>
      <c r="Y33" s="16"/>
      <c r="Z33" s="19">
        <f>IF(T33=0,0,X33/T33)</f>
        <v>-1.632767838022672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2"/>
      <c r="B35" s="10" t="s">
        <v>14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5" t="s">
        <v>4</v>
      </c>
      <c r="C37" s="25"/>
      <c r="D37" s="34">
        <f>+D33-D35</f>
        <v>-30640.19</v>
      </c>
      <c r="E37" s="13"/>
      <c r="F37" s="31">
        <f>IF(D$12=0,0,D37/D$12)</f>
        <v>0</v>
      </c>
      <c r="G37" s="13"/>
      <c r="H37" s="34">
        <f>+H33-H35</f>
        <v>-42137</v>
      </c>
      <c r="I37" s="13"/>
      <c r="J37" s="31">
        <f>IF(H$12=0,0,H37/H$12)</f>
        <v>0</v>
      </c>
      <c r="K37" s="16"/>
      <c r="L37" s="34">
        <f>D37-H37</f>
        <v>11496.810000000001</v>
      </c>
      <c r="M37" s="16"/>
      <c r="N37" s="31">
        <f>IF(H37=0,0,L37/H37)</f>
        <v>-0.27284358165033107</v>
      </c>
      <c r="O37" s="26"/>
      <c r="P37" s="34">
        <f>+P33-P35</f>
        <v>183200.21000000002</v>
      </c>
      <c r="Q37" s="13"/>
      <c r="R37" s="31">
        <f>IF(P$12=0,0,P37/P$12)</f>
        <v>0</v>
      </c>
      <c r="S37" s="13"/>
      <c r="T37" s="34">
        <f>+T33-T35</f>
        <v>-289522</v>
      </c>
      <c r="U37" s="13"/>
      <c r="V37" s="31">
        <f>IF(T$12=0,0,T37/T$12)</f>
        <v>0</v>
      </c>
      <c r="W37" s="16"/>
      <c r="X37" s="34">
        <f>P37-T37</f>
        <v>472722.21</v>
      </c>
      <c r="Y37" s="16"/>
      <c r="Z37" s="31">
        <f>IF(T37=0,0,X37/T37)</f>
        <v>-1.632767838022672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5" t="s">
        <v>5</v>
      </c>
      <c r="C40" s="25"/>
      <c r="D40" s="33">
        <f>SUM(D37:D39)</f>
        <v>-30640.19</v>
      </c>
      <c r="E40" s="13"/>
      <c r="F40" s="32">
        <f>IF(D$12=0,0,D40/D$12)</f>
        <v>0</v>
      </c>
      <c r="G40" s="13"/>
      <c r="H40" s="33">
        <f>SUM(H37:H39)</f>
        <v>-42137</v>
      </c>
      <c r="I40" s="13"/>
      <c r="J40" s="32">
        <f>IF(H$12=0,0,H40/H$12)</f>
        <v>0</v>
      </c>
      <c r="K40" s="16"/>
      <c r="L40" s="33">
        <f>+D40-H40</f>
        <v>11496.810000000001</v>
      </c>
      <c r="M40" s="16"/>
      <c r="N40" s="32">
        <f>IF(H40=0,0,L40/H40)</f>
        <v>-0.27284358165033107</v>
      </c>
      <c r="O40" s="26"/>
      <c r="P40" s="33">
        <f>SUM(P37:P39)</f>
        <v>183200.21000000002</v>
      </c>
      <c r="Q40" s="13"/>
      <c r="R40" s="32">
        <f>IF(P$12=0,0,P40/P$12)</f>
        <v>0</v>
      </c>
      <c r="S40" s="13"/>
      <c r="T40" s="33">
        <f>SUM(T37:T39)</f>
        <v>-289522</v>
      </c>
      <c r="U40" s="13"/>
      <c r="V40" s="32">
        <f>IF(T$12=0,0,T40/T$12)</f>
        <v>0</v>
      </c>
      <c r="W40" s="16"/>
      <c r="X40" s="33">
        <f>+P40-T40</f>
        <v>472722.21</v>
      </c>
      <c r="Y40" s="16"/>
      <c r="Z40" s="32">
        <f>IF(T40=0,0,X40/T40)</f>
        <v>-1.632767838022672</v>
      </c>
    </row>
    <row r="41" spans="1:26" ht="15.75" thickTop="1" x14ac:dyDescent="0.25">
      <c r="A41" s="9"/>
      <c r="C41" s="9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A42" s="9"/>
      <c r="B42" s="63">
        <v>44209.518275196759</v>
      </c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A43" s="9"/>
      <c r="B43" s="60" t="s">
        <v>314</v>
      </c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25">
      <c r="A44" s="9"/>
      <c r="B44" s="58"/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25"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","201", " - ", "General Manager")</f>
        <v>Department 201 - General Manager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21">
        <f>D12-D15</f>
        <v>0</v>
      </c>
      <c r="E17" s="13"/>
      <c r="F17" s="19">
        <f>IF(D$12=0,0,D17/D$12)</f>
        <v>0</v>
      </c>
      <c r="G17" s="13"/>
      <c r="H17" s="21">
        <f>H12-H15</f>
        <v>0</v>
      </c>
      <c r="I17" s="13"/>
      <c r="J17" s="19">
        <f>IF(H$12=0,0,H17/H$12)</f>
        <v>0</v>
      </c>
      <c r="K17" s="16"/>
      <c r="L17" s="21">
        <f>+D17-H17</f>
        <v>0</v>
      </c>
      <c r="M17" s="16"/>
      <c r="N17" s="19">
        <f>IF(H17=0,0,L17/H17)</f>
        <v>0</v>
      </c>
      <c r="O17" s="26"/>
      <c r="P17" s="21">
        <f>P12-P15</f>
        <v>0</v>
      </c>
      <c r="Q17" s="13"/>
      <c r="R17" s="19">
        <f>IF(P$12=0,0,P17/P$12)</f>
        <v>0</v>
      </c>
      <c r="S17" s="13"/>
      <c r="T17" s="21">
        <f>T12-T15</f>
        <v>0</v>
      </c>
      <c r="U17" s="13"/>
      <c r="V17" s="19">
        <f>IF(T$12=0,0,T17/T$12)</f>
        <v>0</v>
      </c>
      <c r="W17" s="16"/>
      <c r="X17" s="21">
        <f>+P17-T17</f>
        <v>0</v>
      </c>
      <c r="Y17" s="16"/>
      <c r="Z17" s="19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20">
        <f>SUM(OSRRefD22x_0)</f>
        <v>43823.630000000005</v>
      </c>
      <c r="E19" s="20"/>
      <c r="F19" s="30">
        <f t="shared" ref="F19:F29" si="4">IF(D$12=0,0,D19/D$12)</f>
        <v>0</v>
      </c>
      <c r="G19" s="20"/>
      <c r="H19" s="20">
        <f>SUM(OSRRefH22x_0)</f>
        <v>38493.75790769227</v>
      </c>
      <c r="I19" s="20"/>
      <c r="J19" s="30">
        <f t="shared" ref="J19:J29" si="5">IF(H$12=0,0,H19/H$12)</f>
        <v>0</v>
      </c>
      <c r="K19" s="4"/>
      <c r="L19" s="20">
        <f t="shared" ref="L19:L29" si="6">+D19-H19</f>
        <v>5329.8720923077344</v>
      </c>
      <c r="M19" s="4"/>
      <c r="N19" s="30">
        <f t="shared" ref="N19:N29" si="7">IF(H19=0,0,L19/H19)</f>
        <v>0.13846068510870582</v>
      </c>
      <c r="O19" s="10"/>
      <c r="P19" s="20">
        <f>SUM(OSRRefP22x_0)</f>
        <v>231738.77</v>
      </c>
      <c r="Q19" s="20"/>
      <c r="R19" s="30">
        <f t="shared" ref="R19:R29" si="8">IF(P$12=0,0,P19/P$12)</f>
        <v>0</v>
      </c>
      <c r="S19" s="20"/>
      <c r="T19" s="20">
        <f>SUM(OSRRefT22x_0)</f>
        <v>300268.20519999985</v>
      </c>
      <c r="U19" s="20"/>
      <c r="V19" s="30">
        <f t="shared" ref="V19:V29" si="9">IF(T$12=0,0,T19/T$12)</f>
        <v>0</v>
      </c>
      <c r="W19" s="4"/>
      <c r="X19" s="20">
        <f t="shared" ref="X19:X29" si="10">+P19-T19</f>
        <v>-68529.435199999862</v>
      </c>
      <c r="Y19" s="4"/>
      <c r="Z19" s="30">
        <f t="shared" ref="Z19:Z29" si="11">IF(T19=0,0,X19/T19)</f>
        <v>-0.22822741140492853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9348.4599999999991</v>
      </c>
      <c r="E20" s="1"/>
      <c r="F20" s="5">
        <f t="shared" si="4"/>
        <v>0</v>
      </c>
      <c r="G20" s="1"/>
      <c r="H20" s="1">
        <f>SUM(OSRRefH22_0x_0)</f>
        <v>8500.0656000000054</v>
      </c>
      <c r="I20" s="1"/>
      <c r="J20" s="5">
        <f t="shared" si="5"/>
        <v>0</v>
      </c>
      <c r="K20" s="1"/>
      <c r="L20" s="1">
        <f t="shared" si="6"/>
        <v>848.39439999999377</v>
      </c>
      <c r="M20" s="1"/>
      <c r="N20" s="5">
        <f t="shared" si="7"/>
        <v>9.981033558140931E-2</v>
      </c>
      <c r="O20" s="14"/>
      <c r="P20" s="1">
        <f>SUM(OSRRefP22_0x_0)</f>
        <v>65463.560000000005</v>
      </c>
      <c r="Q20" s="1"/>
      <c r="R20" s="5">
        <f t="shared" si="8"/>
        <v>0</v>
      </c>
      <c r="S20" s="1"/>
      <c r="T20" s="1">
        <f>SUM(OSRRefT22_0x_0)</f>
        <v>53032.205200000019</v>
      </c>
      <c r="U20" s="1"/>
      <c r="V20" s="5">
        <f t="shared" si="9"/>
        <v>0</v>
      </c>
      <c r="W20" s="1"/>
      <c r="X20" s="1">
        <f t="shared" si="10"/>
        <v>12431.354799999986</v>
      </c>
      <c r="Y20" s="1"/>
      <c r="Z20" s="5">
        <f t="shared" si="11"/>
        <v>0.23441142515416241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7">
        <v>578.15</v>
      </c>
      <c r="E21" s="2"/>
      <c r="F21" s="6">
        <f t="shared" si="4"/>
        <v>0</v>
      </c>
      <c r="G21" s="2"/>
      <c r="H21" s="7">
        <v>1522.1228307692299</v>
      </c>
      <c r="I21" s="2"/>
      <c r="J21" s="6">
        <f t="shared" si="5"/>
        <v>0</v>
      </c>
      <c r="K21" s="2"/>
      <c r="L21" s="7">
        <f t="shared" si="6"/>
        <v>-943.97283076922997</v>
      </c>
      <c r="M21" s="2"/>
      <c r="N21" s="6">
        <f t="shared" si="7"/>
        <v>-0.62016863007841339</v>
      </c>
      <c r="O21" s="11"/>
      <c r="P21" s="7">
        <v>6924.78</v>
      </c>
      <c r="Q21" s="2"/>
      <c r="R21" s="6">
        <f t="shared" si="8"/>
        <v>0</v>
      </c>
      <c r="S21" s="2"/>
      <c r="T21" s="7">
        <v>9615.2291999999998</v>
      </c>
      <c r="U21" s="2"/>
      <c r="V21" s="6">
        <f t="shared" si="9"/>
        <v>0</v>
      </c>
      <c r="W21" s="2"/>
      <c r="X21" s="7">
        <f t="shared" si="10"/>
        <v>-2690.4492</v>
      </c>
      <c r="Y21" s="2"/>
      <c r="Z21" s="6">
        <f t="shared" si="11"/>
        <v>-0.27981123944502539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7">
        <v>193.48</v>
      </c>
      <c r="E22" s="2"/>
      <c r="F22" s="6">
        <f t="shared" si="4"/>
        <v>0</v>
      </c>
      <c r="G22" s="2"/>
      <c r="H22" s="7">
        <v>61.938461538461596</v>
      </c>
      <c r="I22" s="2"/>
      <c r="J22" s="6">
        <f t="shared" si="5"/>
        <v>0</v>
      </c>
      <c r="K22" s="2"/>
      <c r="L22" s="7">
        <f t="shared" si="6"/>
        <v>131.54153846153838</v>
      </c>
      <c r="M22" s="2"/>
      <c r="N22" s="6">
        <f t="shared" si="7"/>
        <v>2.1237456532538466</v>
      </c>
      <c r="O22" s="11"/>
      <c r="P22" s="7">
        <v>636.71</v>
      </c>
      <c r="Q22" s="2"/>
      <c r="R22" s="6">
        <f t="shared" si="8"/>
        <v>0</v>
      </c>
      <c r="S22" s="2"/>
      <c r="T22" s="7">
        <v>402.60000000000019</v>
      </c>
      <c r="U22" s="2"/>
      <c r="V22" s="6">
        <f t="shared" si="9"/>
        <v>0</v>
      </c>
      <c r="W22" s="2"/>
      <c r="X22" s="7">
        <f t="shared" si="10"/>
        <v>234.10999999999984</v>
      </c>
      <c r="Y22" s="2"/>
      <c r="Z22" s="6">
        <f t="shared" si="11"/>
        <v>0.58149528067560785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7">
        <v>3965.44</v>
      </c>
      <c r="E23" s="2"/>
      <c r="F23" s="6">
        <f t="shared" si="4"/>
        <v>0</v>
      </c>
      <c r="G23" s="2"/>
      <c r="H23" s="7">
        <v>3365</v>
      </c>
      <c r="I23" s="2"/>
      <c r="J23" s="6">
        <f t="shared" si="5"/>
        <v>0</v>
      </c>
      <c r="K23" s="2"/>
      <c r="L23" s="7">
        <f t="shared" si="6"/>
        <v>600.44000000000005</v>
      </c>
      <c r="M23" s="2"/>
      <c r="N23" s="6">
        <f t="shared" si="7"/>
        <v>0.1784368499257058</v>
      </c>
      <c r="O23" s="11"/>
      <c r="P23" s="7">
        <v>24213.919999999998</v>
      </c>
      <c r="Q23" s="2"/>
      <c r="R23" s="6">
        <f t="shared" si="8"/>
        <v>0</v>
      </c>
      <c r="S23" s="2"/>
      <c r="T23" s="7">
        <v>20190</v>
      </c>
      <c r="U23" s="2"/>
      <c r="V23" s="6">
        <f t="shared" si="9"/>
        <v>0</v>
      </c>
      <c r="W23" s="2"/>
      <c r="X23" s="7">
        <f t="shared" si="10"/>
        <v>4023.9199999999983</v>
      </c>
      <c r="Y23" s="2"/>
      <c r="Z23" s="6">
        <f t="shared" si="11"/>
        <v>0.19930262506191176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7"/>
      <c r="E24" s="2"/>
      <c r="F24" s="6">
        <f t="shared" si="4"/>
        <v>0</v>
      </c>
      <c r="G24" s="2"/>
      <c r="H24" s="7">
        <v>51.712000000000003</v>
      </c>
      <c r="I24" s="2"/>
      <c r="J24" s="6">
        <f t="shared" si="5"/>
        <v>0</v>
      </c>
      <c r="K24" s="2"/>
      <c r="L24" s="7">
        <f t="shared" si="6"/>
        <v>-51.712000000000003</v>
      </c>
      <c r="M24" s="2"/>
      <c r="N24" s="6">
        <f t="shared" si="7"/>
        <v>-1</v>
      </c>
      <c r="O24" s="11"/>
      <c r="P24" s="7">
        <v>349.22</v>
      </c>
      <c r="Q24" s="2"/>
      <c r="R24" s="6">
        <f t="shared" si="8"/>
        <v>0</v>
      </c>
      <c r="S24" s="2"/>
      <c r="T24" s="7">
        <v>329.57600000000002</v>
      </c>
      <c r="U24" s="2"/>
      <c r="V24" s="6">
        <f t="shared" si="9"/>
        <v>0</v>
      </c>
      <c r="W24" s="2"/>
      <c r="X24" s="7">
        <f t="shared" si="10"/>
        <v>19.644000000000005</v>
      </c>
      <c r="Y24" s="2"/>
      <c r="Z24" s="6">
        <f t="shared" si="11"/>
        <v>5.9603854649610419E-2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7">
        <v>2049.0300000000002</v>
      </c>
      <c r="E25" s="2"/>
      <c r="F25" s="6">
        <f t="shared" si="4"/>
        <v>0</v>
      </c>
      <c r="G25" s="2"/>
      <c r="H25" s="7">
        <v>1614.1538461538501</v>
      </c>
      <c r="I25" s="2"/>
      <c r="J25" s="6">
        <f t="shared" si="5"/>
        <v>0</v>
      </c>
      <c r="K25" s="2"/>
      <c r="L25" s="7">
        <f t="shared" si="6"/>
        <v>434.87615384615015</v>
      </c>
      <c r="M25" s="2"/>
      <c r="N25" s="6">
        <f t="shared" si="7"/>
        <v>0.26941431566907825</v>
      </c>
      <c r="O25" s="11"/>
      <c r="P25" s="7">
        <v>16656.030000000002</v>
      </c>
      <c r="Q25" s="2"/>
      <c r="R25" s="6">
        <f t="shared" si="8"/>
        <v>0</v>
      </c>
      <c r="S25" s="2"/>
      <c r="T25" s="7">
        <v>10492.00000000002</v>
      </c>
      <c r="U25" s="2"/>
      <c r="V25" s="6">
        <f t="shared" si="9"/>
        <v>0</v>
      </c>
      <c r="W25" s="2"/>
      <c r="X25" s="7">
        <f t="shared" si="10"/>
        <v>6164.0299999999825</v>
      </c>
      <c r="Y25" s="2"/>
      <c r="Z25" s="6">
        <f t="shared" si="11"/>
        <v>0.5874980937857387</v>
      </c>
    </row>
    <row r="26" spans="1:26" s="24" customFormat="1" hidden="1" outlineLevel="2" x14ac:dyDescent="0.25">
      <c r="A26" s="29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7">
        <v>1658.98</v>
      </c>
      <c r="E27" s="2"/>
      <c r="F27" s="6">
        <f t="shared" si="4"/>
        <v>0</v>
      </c>
      <c r="G27" s="2"/>
      <c r="H27" s="7">
        <v>938.46153846153913</v>
      </c>
      <c r="I27" s="2"/>
      <c r="J27" s="6">
        <f t="shared" si="5"/>
        <v>0</v>
      </c>
      <c r="K27" s="2"/>
      <c r="L27" s="7">
        <f t="shared" si="6"/>
        <v>720.51846153846088</v>
      </c>
      <c r="M27" s="2"/>
      <c r="N27" s="6">
        <f t="shared" si="7"/>
        <v>0.76776557377049059</v>
      </c>
      <c r="O27" s="11"/>
      <c r="P27" s="7">
        <v>10783.37</v>
      </c>
      <c r="Q27" s="2"/>
      <c r="R27" s="6">
        <f t="shared" si="8"/>
        <v>0</v>
      </c>
      <c r="S27" s="2"/>
      <c r="T27" s="7">
        <v>6099.9999999999955</v>
      </c>
      <c r="U27" s="2"/>
      <c r="V27" s="6">
        <f t="shared" si="9"/>
        <v>0</v>
      </c>
      <c r="W27" s="2"/>
      <c r="X27" s="7">
        <f t="shared" si="10"/>
        <v>4683.3700000000053</v>
      </c>
      <c r="Y27" s="2"/>
      <c r="Z27" s="6">
        <f t="shared" si="11"/>
        <v>0.76776557377049326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7">
        <v>856.8</v>
      </c>
      <c r="E28" s="2"/>
      <c r="F28" s="6">
        <f t="shared" si="4"/>
        <v>0</v>
      </c>
      <c r="G28" s="2"/>
      <c r="H28" s="7">
        <v>596.676923076923</v>
      </c>
      <c r="I28" s="2"/>
      <c r="J28" s="6">
        <f t="shared" si="5"/>
        <v>0</v>
      </c>
      <c r="K28" s="2"/>
      <c r="L28" s="7">
        <f t="shared" si="6"/>
        <v>260.12307692307695</v>
      </c>
      <c r="M28" s="2"/>
      <c r="N28" s="6">
        <f t="shared" si="7"/>
        <v>0.43595297029702978</v>
      </c>
      <c r="O28" s="11"/>
      <c r="P28" s="7">
        <v>5569.2</v>
      </c>
      <c r="Q28" s="2"/>
      <c r="R28" s="6">
        <f t="shared" si="8"/>
        <v>0</v>
      </c>
      <c r="S28" s="2"/>
      <c r="T28" s="7">
        <v>3802.8</v>
      </c>
      <c r="U28" s="2"/>
      <c r="V28" s="6">
        <f t="shared" si="9"/>
        <v>0</v>
      </c>
      <c r="W28" s="2"/>
      <c r="X28" s="7">
        <f t="shared" si="10"/>
        <v>1766.3999999999996</v>
      </c>
      <c r="Y28" s="2"/>
      <c r="Z28" s="6">
        <f t="shared" si="11"/>
        <v>0.46449984222152085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7">
        <v>46.58</v>
      </c>
      <c r="E29" s="2"/>
      <c r="F29" s="6">
        <f t="shared" si="4"/>
        <v>0</v>
      </c>
      <c r="G29" s="2"/>
      <c r="H29" s="7">
        <v>350</v>
      </c>
      <c r="I29" s="2"/>
      <c r="J29" s="6">
        <f t="shared" si="5"/>
        <v>0</v>
      </c>
      <c r="K29" s="2"/>
      <c r="L29" s="7">
        <f t="shared" si="6"/>
        <v>-303.42</v>
      </c>
      <c r="M29" s="2"/>
      <c r="N29" s="6">
        <f t="shared" si="7"/>
        <v>-0.86691428571428575</v>
      </c>
      <c r="O29" s="11"/>
      <c r="P29" s="7">
        <v>330.33</v>
      </c>
      <c r="Q29" s="2"/>
      <c r="R29" s="6">
        <f t="shared" si="8"/>
        <v>0</v>
      </c>
      <c r="S29" s="2"/>
      <c r="T29" s="7">
        <v>2100</v>
      </c>
      <c r="U29" s="2"/>
      <c r="V29" s="6">
        <f t="shared" si="9"/>
        <v>0</v>
      </c>
      <c r="W29" s="2"/>
      <c r="X29" s="7">
        <f t="shared" si="10"/>
        <v>-1769.67</v>
      </c>
      <c r="Y29" s="2"/>
      <c r="Z29" s="6">
        <f t="shared" si="11"/>
        <v>-0.8427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18302.29</v>
      </c>
      <c r="E30" s="1"/>
      <c r="F30" s="5">
        <f t="shared" ref="F30:F40" si="12">IF(D$12=0,0,D30/D$12)</f>
        <v>0</v>
      </c>
      <c r="G30" s="1"/>
      <c r="H30" s="1">
        <f>SUM(OSRRefH22_1x_0)</f>
        <v>18387.692307692269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-85.402307692267641</v>
      </c>
      <c r="M30" s="1"/>
      <c r="N30" s="5">
        <f t="shared" ref="N30:N40" si="15">IF(H30=0,0,L30/H30)</f>
        <v>-4.6445364792481666E-3</v>
      </c>
      <c r="O30" s="14"/>
      <c r="P30" s="1">
        <f>SUM(OSRRefP22_1x_0)</f>
        <v>68699.75</v>
      </c>
      <c r="Q30" s="1"/>
      <c r="R30" s="5">
        <f t="shared" ref="R30:R40" si="16">IF(P$12=0,0,P30/P$12)</f>
        <v>0</v>
      </c>
      <c r="S30" s="1"/>
      <c r="T30" s="1">
        <f>SUM(OSRRefT22_1x_0)</f>
        <v>116999.9999999998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-48300.249999999796</v>
      </c>
      <c r="Y30" s="1"/>
      <c r="Z30" s="5">
        <f t="shared" ref="Z30:Z40" si="19">IF(T30=0,0,X30/T30)</f>
        <v>-0.41282264957264853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>
        <v>14140.28</v>
      </c>
      <c r="E31" s="2"/>
      <c r="F31" s="6">
        <f t="shared" si="12"/>
        <v>0</v>
      </c>
      <c r="G31" s="2"/>
      <c r="H31" s="7">
        <v>12738.461538461499</v>
      </c>
      <c r="I31" s="2"/>
      <c r="J31" s="6">
        <f t="shared" si="13"/>
        <v>0</v>
      </c>
      <c r="K31" s="2"/>
      <c r="L31" s="7">
        <f t="shared" si="14"/>
        <v>1401.8184615385017</v>
      </c>
      <c r="M31" s="2"/>
      <c r="N31" s="6">
        <f t="shared" si="15"/>
        <v>0.11004613526570398</v>
      </c>
      <c r="O31" s="11"/>
      <c r="P31" s="7">
        <v>87124.25</v>
      </c>
      <c r="Q31" s="2"/>
      <c r="R31" s="6">
        <f t="shared" si="16"/>
        <v>0</v>
      </c>
      <c r="S31" s="2"/>
      <c r="T31" s="7">
        <v>82799.999999999796</v>
      </c>
      <c r="U31" s="2"/>
      <c r="V31" s="6">
        <f t="shared" si="17"/>
        <v>0</v>
      </c>
      <c r="W31" s="2"/>
      <c r="X31" s="7">
        <f t="shared" si="18"/>
        <v>4324.2500000002037</v>
      </c>
      <c r="Y31" s="2"/>
      <c r="Z31" s="6">
        <f t="shared" si="19"/>
        <v>5.2225241545896306E-2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>
        <v>4162.01</v>
      </c>
      <c r="E32" s="2"/>
      <c r="F32" s="6">
        <f t="shared" si="12"/>
        <v>0</v>
      </c>
      <c r="G32" s="2"/>
      <c r="H32" s="7">
        <v>4529.2307692307704</v>
      </c>
      <c r="I32" s="2"/>
      <c r="J32" s="6">
        <f t="shared" si="13"/>
        <v>0</v>
      </c>
      <c r="K32" s="2"/>
      <c r="L32" s="7">
        <f t="shared" si="14"/>
        <v>-367.2207692307702</v>
      </c>
      <c r="M32" s="2"/>
      <c r="N32" s="6">
        <f t="shared" si="15"/>
        <v>-8.1077955163043669E-2</v>
      </c>
      <c r="O32" s="11"/>
      <c r="P32" s="7">
        <v>26532.79</v>
      </c>
      <c r="Q32" s="2"/>
      <c r="R32" s="6">
        <f t="shared" si="16"/>
        <v>0</v>
      </c>
      <c r="S32" s="2"/>
      <c r="T32" s="7">
        <v>29440</v>
      </c>
      <c r="U32" s="2"/>
      <c r="V32" s="6">
        <f t="shared" si="17"/>
        <v>0</v>
      </c>
      <c r="W32" s="2"/>
      <c r="X32" s="7">
        <f t="shared" si="18"/>
        <v>-2907.2099999999991</v>
      </c>
      <c r="Y32" s="2"/>
      <c r="Z32" s="6">
        <f t="shared" si="19"/>
        <v>-9.8750339673913015E-2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/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0</v>
      </c>
      <c r="Y35" s="2"/>
      <c r="Z35" s="6">
        <f t="shared" si="19"/>
        <v>0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12"/>
        <v>0</v>
      </c>
      <c r="G37" s="2"/>
      <c r="H37" s="7">
        <v>1120</v>
      </c>
      <c r="I37" s="2"/>
      <c r="J37" s="6">
        <f t="shared" si="13"/>
        <v>0</v>
      </c>
      <c r="K37" s="2"/>
      <c r="L37" s="7">
        <f t="shared" si="14"/>
        <v>-1120</v>
      </c>
      <c r="M37" s="2"/>
      <c r="N37" s="6">
        <f t="shared" si="15"/>
        <v>-1</v>
      </c>
      <c r="O37" s="11"/>
      <c r="P37" s="7">
        <v>-44957.29</v>
      </c>
      <c r="Q37" s="2"/>
      <c r="R37" s="6">
        <f t="shared" si="16"/>
        <v>0</v>
      </c>
      <c r="S37" s="2"/>
      <c r="T37" s="7">
        <v>3640</v>
      </c>
      <c r="U37" s="2"/>
      <c r="V37" s="6">
        <f t="shared" si="17"/>
        <v>0</v>
      </c>
      <c r="W37" s="2"/>
      <c r="X37" s="7">
        <f t="shared" si="18"/>
        <v>-48597.29</v>
      </c>
      <c r="Y37" s="2"/>
      <c r="Z37" s="6">
        <f t="shared" si="19"/>
        <v>-13.350903846153846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12"/>
        <v>0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0</v>
      </c>
      <c r="M38" s="2"/>
      <c r="N38" s="6">
        <f t="shared" si="15"/>
        <v>0</v>
      </c>
      <c r="O38" s="11"/>
      <c r="P38" s="7"/>
      <c r="Q38" s="2"/>
      <c r="R38" s="6">
        <f t="shared" si="16"/>
        <v>0</v>
      </c>
      <c r="S38" s="2"/>
      <c r="T38" s="7">
        <v>1120</v>
      </c>
      <c r="U38" s="2"/>
      <c r="V38" s="6">
        <f t="shared" si="17"/>
        <v>0</v>
      </c>
      <c r="W38" s="2"/>
      <c r="X38" s="7">
        <f t="shared" si="18"/>
        <v>-1120</v>
      </c>
      <c r="Y38" s="2"/>
      <c r="Z38" s="6">
        <f t="shared" si="19"/>
        <v>-1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8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60" si="20">IF(D$12=0,0,D41/D$12)</f>
        <v>0</v>
      </c>
      <c r="G41" s="1"/>
      <c r="H41" s="1">
        <f>SUM(OSRRefH22_2x_0)</f>
        <v>500</v>
      </c>
      <c r="I41" s="1"/>
      <c r="J41" s="5">
        <f t="shared" ref="J41:J60" si="21">IF(H$12=0,0,H41/H$12)</f>
        <v>0</v>
      </c>
      <c r="K41" s="1"/>
      <c r="L41" s="1">
        <f t="shared" ref="L41:L60" si="22">+D41-H41</f>
        <v>-500</v>
      </c>
      <c r="M41" s="1"/>
      <c r="N41" s="5">
        <f t="shared" ref="N41:N60" si="23">IF(H41=0,0,L41/H41)</f>
        <v>-1</v>
      </c>
      <c r="O41" s="14"/>
      <c r="P41" s="1">
        <f>SUM(OSRRefP22_2x_0)</f>
        <v>66.8</v>
      </c>
      <c r="Q41" s="1"/>
      <c r="R41" s="5">
        <f t="shared" ref="R41:R60" si="24">IF(P$12=0,0,P41/P$12)</f>
        <v>0</v>
      </c>
      <c r="S41" s="1"/>
      <c r="T41" s="1">
        <f>SUM(OSRRefT22_2x_0)</f>
        <v>3000</v>
      </c>
      <c r="U41" s="1"/>
      <c r="V41" s="5">
        <f t="shared" ref="V41:V60" si="25">IF(T$12=0,0,T41/T$12)</f>
        <v>0</v>
      </c>
      <c r="W41" s="1"/>
      <c r="X41" s="1">
        <f t="shared" ref="X41:X60" si="26">+P41-T41</f>
        <v>-2933.2</v>
      </c>
      <c r="Y41" s="1"/>
      <c r="Z41" s="5">
        <f t="shared" ref="Z41:Z60" si="27">IF(T41=0,0,X41/T41)</f>
        <v>-0.97773333333333323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0"/>
        <v>0</v>
      </c>
      <c r="G42" s="2"/>
      <c r="H42" s="7">
        <v>500</v>
      </c>
      <c r="I42" s="2"/>
      <c r="J42" s="6">
        <f t="shared" si="21"/>
        <v>0</v>
      </c>
      <c r="K42" s="2"/>
      <c r="L42" s="7">
        <f t="shared" si="22"/>
        <v>-500</v>
      </c>
      <c r="M42" s="2"/>
      <c r="N42" s="6">
        <f t="shared" si="23"/>
        <v>-1</v>
      </c>
      <c r="O42" s="11"/>
      <c r="P42" s="7">
        <v>66.8</v>
      </c>
      <c r="Q42" s="2"/>
      <c r="R42" s="6">
        <f t="shared" si="24"/>
        <v>0</v>
      </c>
      <c r="S42" s="2"/>
      <c r="T42" s="7">
        <v>3000</v>
      </c>
      <c r="U42" s="2"/>
      <c r="V42" s="6">
        <f t="shared" si="25"/>
        <v>0</v>
      </c>
      <c r="W42" s="2"/>
      <c r="X42" s="7">
        <f t="shared" si="26"/>
        <v>-2933.2</v>
      </c>
      <c r="Y42" s="2"/>
      <c r="Z42" s="6">
        <f t="shared" si="27"/>
        <v>-0.97773333333333323</v>
      </c>
    </row>
    <row r="43" spans="1:26" s="28" customFormat="1" outlineLevel="1" collapsed="1" x14ac:dyDescent="0.25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SUM(OSRRefD22_3x_0)</f>
        <v>314.87</v>
      </c>
      <c r="E43" s="1"/>
      <c r="F43" s="5">
        <f t="shared" si="20"/>
        <v>0</v>
      </c>
      <c r="G43" s="1"/>
      <c r="H43" s="1">
        <f>SUM(OSRRefH22_3x_0)</f>
        <v>315</v>
      </c>
      <c r="I43" s="1"/>
      <c r="J43" s="5">
        <f t="shared" si="21"/>
        <v>0</v>
      </c>
      <c r="K43" s="1"/>
      <c r="L43" s="1">
        <f t="shared" si="22"/>
        <v>-0.12999999999999545</v>
      </c>
      <c r="M43" s="1"/>
      <c r="N43" s="5">
        <f t="shared" si="23"/>
        <v>-4.1269841269839827E-4</v>
      </c>
      <c r="O43" s="14"/>
      <c r="P43" s="1">
        <f>SUM(OSRRefP22_3x_0)</f>
        <v>1889.22</v>
      </c>
      <c r="Q43" s="1"/>
      <c r="R43" s="5">
        <f t="shared" si="24"/>
        <v>0</v>
      </c>
      <c r="S43" s="1"/>
      <c r="T43" s="1">
        <f>SUM(OSRRefT22_3x_0)</f>
        <v>1890</v>
      </c>
      <c r="U43" s="1"/>
      <c r="V43" s="5">
        <f t="shared" si="25"/>
        <v>0</v>
      </c>
      <c r="W43" s="1"/>
      <c r="X43" s="1">
        <f t="shared" si="26"/>
        <v>-0.77999999999997272</v>
      </c>
      <c r="Y43" s="1"/>
      <c r="Z43" s="5">
        <f t="shared" si="27"/>
        <v>-4.1269841269839827E-4</v>
      </c>
    </row>
    <row r="44" spans="1:26" s="24" customFormat="1" hidden="1" outlineLevel="2" x14ac:dyDescent="0.25">
      <c r="A44" s="29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314.87</v>
      </c>
      <c r="E44" s="2"/>
      <c r="F44" s="6">
        <f t="shared" si="20"/>
        <v>0</v>
      </c>
      <c r="G44" s="2"/>
      <c r="H44" s="7">
        <v>315</v>
      </c>
      <c r="I44" s="2"/>
      <c r="J44" s="6">
        <f t="shared" si="21"/>
        <v>0</v>
      </c>
      <c r="K44" s="2"/>
      <c r="L44" s="7">
        <f t="shared" si="22"/>
        <v>-0.12999999999999545</v>
      </c>
      <c r="M44" s="2"/>
      <c r="N44" s="6">
        <f t="shared" si="23"/>
        <v>-4.1269841269839827E-4</v>
      </c>
      <c r="O44" s="11"/>
      <c r="P44" s="7">
        <v>1889.22</v>
      </c>
      <c r="Q44" s="2"/>
      <c r="R44" s="6">
        <f t="shared" si="24"/>
        <v>0</v>
      </c>
      <c r="S44" s="2"/>
      <c r="T44" s="7">
        <v>1890</v>
      </c>
      <c r="U44" s="2"/>
      <c r="V44" s="6">
        <f t="shared" si="25"/>
        <v>0</v>
      </c>
      <c r="W44" s="2"/>
      <c r="X44" s="7">
        <f t="shared" si="26"/>
        <v>-0.77999999999997272</v>
      </c>
      <c r="Y44" s="2"/>
      <c r="Z44" s="6">
        <f t="shared" si="27"/>
        <v>-4.1269841269839827E-4</v>
      </c>
    </row>
    <row r="45" spans="1:26" s="28" customFormat="1" outlineLevel="1" collapsed="1" x14ac:dyDescent="0.25">
      <c r="A45" s="27"/>
      <c r="B45" s="14" t="str">
        <f>CONCATENATE("     ","Donations                                         ")</f>
        <v xml:space="preserve">     Donations                                         </v>
      </c>
      <c r="C45" s="14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0</v>
      </c>
      <c r="I45" s="1"/>
      <c r="J45" s="5">
        <f t="shared" si="21"/>
        <v>0</v>
      </c>
      <c r="K45" s="1"/>
      <c r="L45" s="1">
        <f t="shared" si="22"/>
        <v>0</v>
      </c>
      <c r="M45" s="1"/>
      <c r="N45" s="5">
        <f t="shared" si="23"/>
        <v>0</v>
      </c>
      <c r="O45" s="14"/>
      <c r="P45" s="1">
        <f>SUM(OSRRefP22_4x_0)</f>
        <v>25000</v>
      </c>
      <c r="Q45" s="1"/>
      <c r="R45" s="5">
        <f t="shared" si="24"/>
        <v>0</v>
      </c>
      <c r="S45" s="1"/>
      <c r="T45" s="1">
        <f>SUM(OSRRefT22_4x_0)</f>
        <v>34250</v>
      </c>
      <c r="U45" s="1"/>
      <c r="V45" s="5">
        <f t="shared" si="25"/>
        <v>0</v>
      </c>
      <c r="W45" s="1"/>
      <c r="X45" s="1">
        <f t="shared" si="26"/>
        <v>-9250</v>
      </c>
      <c r="Y45" s="1"/>
      <c r="Z45" s="5">
        <f t="shared" si="27"/>
        <v>-0.27007299270072993</v>
      </c>
    </row>
    <row r="46" spans="1:26" s="24" customFormat="1" hidden="1" outlineLevel="2" x14ac:dyDescent="0.25">
      <c r="A46" s="29"/>
      <c r="B46" s="11" t="str">
        <f>CONCATENATE("          ", "6399", " - ", "DONATION-ON CAMPUS")</f>
        <v xml:space="preserve">          6399 - DONATION-ON CAMPUS</v>
      </c>
      <c r="C46" s="11"/>
      <c r="D46" s="7"/>
      <c r="E46" s="2"/>
      <c r="F46" s="6">
        <f t="shared" si="20"/>
        <v>0</v>
      </c>
      <c r="G46" s="2"/>
      <c r="H46" s="7"/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>
        <v>25000</v>
      </c>
      <c r="Q46" s="2"/>
      <c r="R46" s="6">
        <f t="shared" si="24"/>
        <v>0</v>
      </c>
      <c r="S46" s="2"/>
      <c r="T46" s="7">
        <v>34250</v>
      </c>
      <c r="U46" s="2"/>
      <c r="V46" s="6">
        <f t="shared" si="25"/>
        <v>0</v>
      </c>
      <c r="W46" s="2"/>
      <c r="X46" s="7">
        <f t="shared" si="26"/>
        <v>-9250</v>
      </c>
      <c r="Y46" s="2"/>
      <c r="Z46" s="6">
        <f t="shared" si="27"/>
        <v>-0.27007299270072993</v>
      </c>
    </row>
    <row r="47" spans="1:26" s="28" customFormat="1" outlineLevel="1" collapsed="1" x14ac:dyDescent="0.25">
      <c r="A47" s="27"/>
      <c r="B47" s="14" t="str">
        <f>CONCATENATE("     ","Employees' Appreciation                           ")</f>
        <v xml:space="preserve">     Employees' Appreciation                           </v>
      </c>
      <c r="C47" s="14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2000</v>
      </c>
      <c r="I47" s="1"/>
      <c r="J47" s="5">
        <f t="shared" si="21"/>
        <v>0</v>
      </c>
      <c r="K47" s="1"/>
      <c r="L47" s="1">
        <f t="shared" si="22"/>
        <v>-2000</v>
      </c>
      <c r="M47" s="1"/>
      <c r="N47" s="5">
        <f t="shared" si="23"/>
        <v>-1</v>
      </c>
      <c r="O47" s="14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3000</v>
      </c>
      <c r="U47" s="1"/>
      <c r="V47" s="5">
        <f t="shared" si="25"/>
        <v>0</v>
      </c>
      <c r="W47" s="1"/>
      <c r="X47" s="1">
        <f t="shared" si="26"/>
        <v>-3000</v>
      </c>
      <c r="Y47" s="1"/>
      <c r="Z47" s="5">
        <f t="shared" si="27"/>
        <v>-1</v>
      </c>
    </row>
    <row r="48" spans="1:26" s="24" customFormat="1" hidden="1" outlineLevel="2" x14ac:dyDescent="0.25">
      <c r="A48" s="29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20"/>
        <v>0</v>
      </c>
      <c r="G48" s="2"/>
      <c r="H48" s="7">
        <v>2000</v>
      </c>
      <c r="I48" s="2"/>
      <c r="J48" s="6">
        <f t="shared" si="21"/>
        <v>0</v>
      </c>
      <c r="K48" s="2"/>
      <c r="L48" s="7">
        <f t="shared" si="22"/>
        <v>-2000</v>
      </c>
      <c r="M48" s="2"/>
      <c r="N48" s="6">
        <f t="shared" si="23"/>
        <v>-1</v>
      </c>
      <c r="O48" s="11"/>
      <c r="P48" s="7"/>
      <c r="Q48" s="2"/>
      <c r="R48" s="6">
        <f t="shared" si="24"/>
        <v>0</v>
      </c>
      <c r="S48" s="2"/>
      <c r="T48" s="7">
        <v>3000</v>
      </c>
      <c r="U48" s="2"/>
      <c r="V48" s="6">
        <f t="shared" si="25"/>
        <v>0</v>
      </c>
      <c r="W48" s="2"/>
      <c r="X48" s="7">
        <f t="shared" si="26"/>
        <v>-3000</v>
      </c>
      <c r="Y48" s="2"/>
      <c r="Z48" s="6">
        <f t="shared" si="27"/>
        <v>-1</v>
      </c>
    </row>
    <row r="49" spans="1:26" s="28" customFormat="1" outlineLevel="1" collapsed="1" x14ac:dyDescent="0.25">
      <c r="A49" s="27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SUM(OSRRefD22_6x_0)</f>
        <v>117.71</v>
      </c>
      <c r="E49" s="1"/>
      <c r="F49" s="5">
        <f t="shared" si="20"/>
        <v>0</v>
      </c>
      <c r="G49" s="1"/>
      <c r="H49" s="1">
        <f>SUM(OSRRefH22_6x_0)</f>
        <v>118</v>
      </c>
      <c r="I49" s="1"/>
      <c r="J49" s="5">
        <f t="shared" si="21"/>
        <v>0</v>
      </c>
      <c r="K49" s="1"/>
      <c r="L49" s="1">
        <f t="shared" si="22"/>
        <v>-0.29000000000000625</v>
      </c>
      <c r="M49" s="1"/>
      <c r="N49" s="5">
        <f t="shared" si="23"/>
        <v>-2.457627118644121E-3</v>
      </c>
      <c r="O49" s="14"/>
      <c r="P49" s="1">
        <f>SUM(OSRRefP22_6x_0)</f>
        <v>706.26</v>
      </c>
      <c r="Q49" s="1"/>
      <c r="R49" s="5">
        <f t="shared" si="24"/>
        <v>0</v>
      </c>
      <c r="S49" s="1"/>
      <c r="T49" s="1">
        <f>SUM(OSRRefT22_6x_0)</f>
        <v>708</v>
      </c>
      <c r="U49" s="1"/>
      <c r="V49" s="5">
        <f t="shared" si="25"/>
        <v>0</v>
      </c>
      <c r="W49" s="1"/>
      <c r="X49" s="1">
        <f t="shared" si="26"/>
        <v>-1.7400000000000091</v>
      </c>
      <c r="Y49" s="1"/>
      <c r="Z49" s="5">
        <f t="shared" si="27"/>
        <v>-2.4576271186440807E-3</v>
      </c>
    </row>
    <row r="50" spans="1:26" s="24" customFormat="1" hidden="1" outlineLevel="2" x14ac:dyDescent="0.25">
      <c r="A50" s="29"/>
      <c r="B50" s="11" t="str">
        <f>CONCATENATE("          ", "6351", " - ", "EQUIPMENT RENTAL")</f>
        <v xml:space="preserve">          6351 - EQUIPMENT RENTAL</v>
      </c>
      <c r="C50" s="11"/>
      <c r="D50" s="7">
        <v>117.71</v>
      </c>
      <c r="E50" s="2"/>
      <c r="F50" s="6">
        <f t="shared" si="20"/>
        <v>0</v>
      </c>
      <c r="G50" s="2"/>
      <c r="H50" s="7">
        <v>118</v>
      </c>
      <c r="I50" s="2"/>
      <c r="J50" s="6">
        <f t="shared" si="21"/>
        <v>0</v>
      </c>
      <c r="K50" s="2"/>
      <c r="L50" s="7">
        <f t="shared" si="22"/>
        <v>-0.29000000000000625</v>
      </c>
      <c r="M50" s="2"/>
      <c r="N50" s="6">
        <f t="shared" si="23"/>
        <v>-2.457627118644121E-3</v>
      </c>
      <c r="O50" s="11"/>
      <c r="P50" s="7">
        <v>706.26</v>
      </c>
      <c r="Q50" s="2"/>
      <c r="R50" s="6">
        <f t="shared" si="24"/>
        <v>0</v>
      </c>
      <c r="S50" s="2"/>
      <c r="T50" s="7">
        <v>708</v>
      </c>
      <c r="U50" s="2"/>
      <c r="V50" s="6">
        <f t="shared" si="25"/>
        <v>0</v>
      </c>
      <c r="W50" s="2"/>
      <c r="X50" s="7">
        <f t="shared" si="26"/>
        <v>-1.7400000000000091</v>
      </c>
      <c r="Y50" s="2"/>
      <c r="Z50" s="6">
        <f t="shared" si="27"/>
        <v>-2.4576271186440807E-3</v>
      </c>
    </row>
    <row r="51" spans="1:26" s="28" customFormat="1" outlineLevel="1" collapsed="1" x14ac:dyDescent="0.25">
      <c r="A51" s="27"/>
      <c r="B51" s="14" t="str">
        <f>CONCATENATE("     ","Freight out/Postage                               ")</f>
        <v xml:space="preserve">     Freight out/Postage                               </v>
      </c>
      <c r="C51" s="14"/>
      <c r="D51" s="1">
        <f>SUM(OSRRefD22_7x_0)</f>
        <v>1.5</v>
      </c>
      <c r="E51" s="1"/>
      <c r="F51" s="5">
        <f t="shared" si="20"/>
        <v>0</v>
      </c>
      <c r="G51" s="1"/>
      <c r="H51" s="1">
        <f>SUM(OSRRefH22_7x_0)</f>
        <v>15</v>
      </c>
      <c r="I51" s="1"/>
      <c r="J51" s="5">
        <f t="shared" si="21"/>
        <v>0</v>
      </c>
      <c r="K51" s="1"/>
      <c r="L51" s="1">
        <f t="shared" si="22"/>
        <v>-13.5</v>
      </c>
      <c r="M51" s="1"/>
      <c r="N51" s="5">
        <f t="shared" si="23"/>
        <v>-0.9</v>
      </c>
      <c r="O51" s="14"/>
      <c r="P51" s="1">
        <f>SUM(OSRRefP22_7x_0)</f>
        <v>65.06</v>
      </c>
      <c r="Q51" s="1"/>
      <c r="R51" s="5">
        <f t="shared" si="24"/>
        <v>0</v>
      </c>
      <c r="S51" s="1"/>
      <c r="T51" s="1">
        <f>SUM(OSRRefT22_7x_0)</f>
        <v>90</v>
      </c>
      <c r="U51" s="1"/>
      <c r="V51" s="5">
        <f t="shared" si="25"/>
        <v>0</v>
      </c>
      <c r="W51" s="1"/>
      <c r="X51" s="1">
        <f t="shared" si="26"/>
        <v>-24.939999999999998</v>
      </c>
      <c r="Y51" s="1"/>
      <c r="Z51" s="5">
        <f t="shared" si="27"/>
        <v>-0.27711111111111109</v>
      </c>
    </row>
    <row r="52" spans="1:26" s="24" customFormat="1" hidden="1" outlineLevel="2" x14ac:dyDescent="0.25">
      <c r="A52" s="29"/>
      <c r="B52" s="11" t="str">
        <f>CONCATENATE("          ", "6307", " - ", "POSTAGE")</f>
        <v xml:space="preserve">          6307 - POSTAGE</v>
      </c>
      <c r="C52" s="11"/>
      <c r="D52" s="7">
        <v>1.5</v>
      </c>
      <c r="E52" s="2"/>
      <c r="F52" s="6">
        <f t="shared" si="20"/>
        <v>0</v>
      </c>
      <c r="G52" s="2"/>
      <c r="H52" s="7">
        <v>15</v>
      </c>
      <c r="I52" s="2"/>
      <c r="J52" s="6">
        <f t="shared" si="21"/>
        <v>0</v>
      </c>
      <c r="K52" s="2"/>
      <c r="L52" s="7">
        <f t="shared" si="22"/>
        <v>-13.5</v>
      </c>
      <c r="M52" s="2"/>
      <c r="N52" s="6">
        <f t="shared" si="23"/>
        <v>-0.9</v>
      </c>
      <c r="O52" s="11"/>
      <c r="P52" s="7">
        <v>65.06</v>
      </c>
      <c r="Q52" s="2"/>
      <c r="R52" s="6">
        <f t="shared" si="24"/>
        <v>0</v>
      </c>
      <c r="S52" s="2"/>
      <c r="T52" s="7">
        <v>90</v>
      </c>
      <c r="U52" s="2"/>
      <c r="V52" s="6">
        <f t="shared" si="25"/>
        <v>0</v>
      </c>
      <c r="W52" s="2"/>
      <c r="X52" s="7">
        <f t="shared" si="26"/>
        <v>-24.939999999999998</v>
      </c>
      <c r="Y52" s="2"/>
      <c r="Z52" s="6">
        <f t="shared" si="27"/>
        <v>-0.27711111111111109</v>
      </c>
    </row>
    <row r="53" spans="1:26" s="28" customFormat="1" outlineLevel="1" collapsed="1" x14ac:dyDescent="0.25">
      <c r="A53" s="27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1000</v>
      </c>
      <c r="I53" s="1"/>
      <c r="J53" s="5">
        <f t="shared" si="21"/>
        <v>0</v>
      </c>
      <c r="K53" s="1"/>
      <c r="L53" s="1">
        <f t="shared" si="22"/>
        <v>-1000</v>
      </c>
      <c r="M53" s="1"/>
      <c r="N53" s="5">
        <f t="shared" si="23"/>
        <v>-1</v>
      </c>
      <c r="O53" s="14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1500</v>
      </c>
      <c r="U53" s="1"/>
      <c r="V53" s="5">
        <f t="shared" si="25"/>
        <v>0</v>
      </c>
      <c r="W53" s="1"/>
      <c r="X53" s="1">
        <f t="shared" si="26"/>
        <v>-1500</v>
      </c>
      <c r="Y53" s="1"/>
      <c r="Z53" s="5">
        <f t="shared" si="27"/>
        <v>-1</v>
      </c>
    </row>
    <row r="54" spans="1:26" s="24" customFormat="1" hidden="1" outlineLevel="2" x14ac:dyDescent="0.25">
      <c r="A54" s="29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20"/>
        <v>0</v>
      </c>
      <c r="G54" s="2"/>
      <c r="H54" s="7">
        <v>1000</v>
      </c>
      <c r="I54" s="2"/>
      <c r="J54" s="6">
        <f t="shared" si="21"/>
        <v>0</v>
      </c>
      <c r="K54" s="2"/>
      <c r="L54" s="7">
        <f t="shared" si="22"/>
        <v>-1000</v>
      </c>
      <c r="M54" s="2"/>
      <c r="N54" s="6">
        <f t="shared" si="23"/>
        <v>-1</v>
      </c>
      <c r="O54" s="11"/>
      <c r="P54" s="7"/>
      <c r="Q54" s="2"/>
      <c r="R54" s="6">
        <f t="shared" si="24"/>
        <v>0</v>
      </c>
      <c r="S54" s="2"/>
      <c r="T54" s="7">
        <v>1500</v>
      </c>
      <c r="U54" s="2"/>
      <c r="V54" s="6">
        <f t="shared" si="25"/>
        <v>0</v>
      </c>
      <c r="W54" s="2"/>
      <c r="X54" s="7">
        <f t="shared" si="26"/>
        <v>-1500</v>
      </c>
      <c r="Y54" s="2"/>
      <c r="Z54" s="6">
        <f t="shared" si="27"/>
        <v>-1</v>
      </c>
    </row>
    <row r="55" spans="1:26" s="28" customFormat="1" outlineLevel="1" collapsed="1" x14ac:dyDescent="0.25">
      <c r="A55" s="27"/>
      <c r="B55" s="14" t="str">
        <f>CONCATENATE("     ","Insurance                                         ")</f>
        <v xml:space="preserve">     Insurance                                         </v>
      </c>
      <c r="C55" s="14"/>
      <c r="D55" s="1">
        <f>SUM(OSRRefD22_9x_0)</f>
        <v>115.13</v>
      </c>
      <c r="E55" s="1"/>
      <c r="F55" s="5">
        <f t="shared" si="20"/>
        <v>0</v>
      </c>
      <c r="G55" s="1"/>
      <c r="H55" s="1">
        <f>SUM(OSRRefH22_9x_0)</f>
        <v>126</v>
      </c>
      <c r="I55" s="1"/>
      <c r="J55" s="5">
        <f t="shared" si="21"/>
        <v>0</v>
      </c>
      <c r="K55" s="1"/>
      <c r="L55" s="1">
        <f t="shared" si="22"/>
        <v>-10.870000000000005</v>
      </c>
      <c r="M55" s="1"/>
      <c r="N55" s="5">
        <f t="shared" si="23"/>
        <v>-8.6269841269841302E-2</v>
      </c>
      <c r="O55" s="14"/>
      <c r="P55" s="1">
        <f>SUM(OSRRefP22_9x_0)</f>
        <v>690.78</v>
      </c>
      <c r="Q55" s="1"/>
      <c r="R55" s="5">
        <f t="shared" si="24"/>
        <v>0</v>
      </c>
      <c r="S55" s="1"/>
      <c r="T55" s="1">
        <f>SUM(OSRRefT22_9x_0)</f>
        <v>756</v>
      </c>
      <c r="U55" s="1"/>
      <c r="V55" s="5">
        <f t="shared" si="25"/>
        <v>0</v>
      </c>
      <c r="W55" s="1"/>
      <c r="X55" s="1">
        <f t="shared" si="26"/>
        <v>-65.220000000000027</v>
      </c>
      <c r="Y55" s="1"/>
      <c r="Z55" s="5">
        <f t="shared" si="27"/>
        <v>-8.6269841269841302E-2</v>
      </c>
    </row>
    <row r="56" spans="1:26" s="24" customFormat="1" hidden="1" outlineLevel="2" x14ac:dyDescent="0.25">
      <c r="A56" s="29"/>
      <c r="B56" s="11" t="str">
        <f>CONCATENATE("          ", "6314", " - ", "LIABILITY INSURANCE")</f>
        <v xml:space="preserve">          6314 - LIABILITY INSURANCE</v>
      </c>
      <c r="C56" s="11"/>
      <c r="D56" s="7">
        <v>115.13</v>
      </c>
      <c r="E56" s="2"/>
      <c r="F56" s="6">
        <f t="shared" si="20"/>
        <v>0</v>
      </c>
      <c r="G56" s="2"/>
      <c r="H56" s="7">
        <v>126</v>
      </c>
      <c r="I56" s="2"/>
      <c r="J56" s="6">
        <f t="shared" si="21"/>
        <v>0</v>
      </c>
      <c r="K56" s="2"/>
      <c r="L56" s="7">
        <f t="shared" si="22"/>
        <v>-10.870000000000005</v>
      </c>
      <c r="M56" s="2"/>
      <c r="N56" s="6">
        <f t="shared" si="23"/>
        <v>-8.6269841269841302E-2</v>
      </c>
      <c r="O56" s="11"/>
      <c r="P56" s="7">
        <v>690.78</v>
      </c>
      <c r="Q56" s="2"/>
      <c r="R56" s="6">
        <f t="shared" si="24"/>
        <v>0</v>
      </c>
      <c r="S56" s="2"/>
      <c r="T56" s="7">
        <v>756</v>
      </c>
      <c r="U56" s="2"/>
      <c r="V56" s="6">
        <f t="shared" si="25"/>
        <v>0</v>
      </c>
      <c r="W56" s="2"/>
      <c r="X56" s="7">
        <f t="shared" si="26"/>
        <v>-65.220000000000027</v>
      </c>
      <c r="Y56" s="2"/>
      <c r="Z56" s="6">
        <f t="shared" si="27"/>
        <v>-8.6269841269841302E-2</v>
      </c>
    </row>
    <row r="57" spans="1:26" s="28" customFormat="1" outlineLevel="1" collapsed="1" x14ac:dyDescent="0.25">
      <c r="A57" s="27"/>
      <c r="B57" s="14" t="str">
        <f>CONCATENATE("     ","Professional Services                             ")</f>
        <v xml:space="preserve">     Professional Services                             </v>
      </c>
      <c r="C57" s="14"/>
      <c r="D57" s="1">
        <f>SUM(OSRRefD22_10x_0)</f>
        <v>12964.86</v>
      </c>
      <c r="E57" s="1"/>
      <c r="F57" s="5">
        <f t="shared" si="20"/>
        <v>0</v>
      </c>
      <c r="G57" s="1"/>
      <c r="H57" s="1">
        <f>SUM(OSRRefH22_10x_0)</f>
        <v>3000</v>
      </c>
      <c r="I57" s="1"/>
      <c r="J57" s="5">
        <f t="shared" si="21"/>
        <v>0</v>
      </c>
      <c r="K57" s="1"/>
      <c r="L57" s="1">
        <f t="shared" si="22"/>
        <v>9964.86</v>
      </c>
      <c r="M57" s="1"/>
      <c r="N57" s="5">
        <f t="shared" si="23"/>
        <v>3.3216200000000002</v>
      </c>
      <c r="O57" s="14"/>
      <c r="P57" s="1">
        <f>SUM(OSRRefP22_10x_0)</f>
        <v>49654.239999999998</v>
      </c>
      <c r="Q57" s="1"/>
      <c r="R57" s="5">
        <f t="shared" si="24"/>
        <v>0</v>
      </c>
      <c r="S57" s="1"/>
      <c r="T57" s="1">
        <f>SUM(OSRRefT22_10x_0)</f>
        <v>57000</v>
      </c>
      <c r="U57" s="1"/>
      <c r="V57" s="5">
        <f t="shared" si="25"/>
        <v>0</v>
      </c>
      <c r="W57" s="1"/>
      <c r="X57" s="1">
        <f t="shared" si="26"/>
        <v>-7345.760000000002</v>
      </c>
      <c r="Y57" s="1"/>
      <c r="Z57" s="5">
        <f t="shared" si="27"/>
        <v>-0.1288729824561404</v>
      </c>
    </row>
    <row r="58" spans="1:26" s="24" customFormat="1" hidden="1" outlineLevel="2" x14ac:dyDescent="0.25">
      <c r="A58" s="29"/>
      <c r="B58" s="11" t="str">
        <f>CONCATENATE("          ", "6331", " - ", "INDIRECT COSTS-AUXILIARY ORGAN")</f>
        <v xml:space="preserve">          6331 - INDIRECT COSTS-AUXILIARY ORGAN</v>
      </c>
      <c r="C58" s="11"/>
      <c r="D58" s="7">
        <v>12850</v>
      </c>
      <c r="E58" s="2"/>
      <c r="F58" s="6">
        <f t="shared" si="20"/>
        <v>0</v>
      </c>
      <c r="G58" s="2"/>
      <c r="H58" s="7">
        <v>3000</v>
      </c>
      <c r="I58" s="2"/>
      <c r="J58" s="6">
        <f t="shared" si="21"/>
        <v>0</v>
      </c>
      <c r="K58" s="2"/>
      <c r="L58" s="7">
        <f t="shared" si="22"/>
        <v>9850</v>
      </c>
      <c r="M58" s="2"/>
      <c r="N58" s="6">
        <f t="shared" si="23"/>
        <v>3.2833333333333332</v>
      </c>
      <c r="O58" s="11"/>
      <c r="P58" s="7">
        <v>45850</v>
      </c>
      <c r="Q58" s="2"/>
      <c r="R58" s="6">
        <f t="shared" si="24"/>
        <v>0</v>
      </c>
      <c r="S58" s="2"/>
      <c r="T58" s="7">
        <v>49000</v>
      </c>
      <c r="U58" s="2"/>
      <c r="V58" s="6">
        <f t="shared" si="25"/>
        <v>0</v>
      </c>
      <c r="W58" s="2"/>
      <c r="X58" s="7">
        <f t="shared" si="26"/>
        <v>-3150</v>
      </c>
      <c r="Y58" s="2"/>
      <c r="Z58" s="6">
        <f t="shared" si="27"/>
        <v>-6.4285714285714279E-2</v>
      </c>
    </row>
    <row r="59" spans="1:26" s="24" customFormat="1" hidden="1" outlineLevel="2" x14ac:dyDescent="0.25">
      <c r="A59" s="29"/>
      <c r="B59" s="11" t="str">
        <f>CONCATENATE("          ", "6334", " - ", "LEGAL COUNCIL EXPENSE")</f>
        <v xml:space="preserve">          6334 - LEGAL COUNCIL EXPENSE</v>
      </c>
      <c r="C59" s="11"/>
      <c r="D59" s="7">
        <v>114.86</v>
      </c>
      <c r="E59" s="2"/>
      <c r="F59" s="6">
        <f t="shared" si="20"/>
        <v>0</v>
      </c>
      <c r="G59" s="2"/>
      <c r="H59" s="7"/>
      <c r="I59" s="2"/>
      <c r="J59" s="6">
        <f t="shared" si="21"/>
        <v>0</v>
      </c>
      <c r="K59" s="2"/>
      <c r="L59" s="7">
        <f t="shared" si="22"/>
        <v>114.86</v>
      </c>
      <c r="M59" s="2"/>
      <c r="N59" s="6">
        <f t="shared" si="23"/>
        <v>0</v>
      </c>
      <c r="O59" s="11"/>
      <c r="P59" s="7">
        <v>3804.24</v>
      </c>
      <c r="Q59" s="2"/>
      <c r="R59" s="6">
        <f t="shared" si="24"/>
        <v>0</v>
      </c>
      <c r="S59" s="2"/>
      <c r="T59" s="7">
        <v>3000</v>
      </c>
      <c r="U59" s="2"/>
      <c r="V59" s="6">
        <f t="shared" si="25"/>
        <v>0</v>
      </c>
      <c r="W59" s="2"/>
      <c r="X59" s="7">
        <f t="shared" si="26"/>
        <v>804.23999999999978</v>
      </c>
      <c r="Y59" s="2"/>
      <c r="Z59" s="6">
        <f t="shared" si="27"/>
        <v>0.26807999999999993</v>
      </c>
    </row>
    <row r="60" spans="1:26" s="24" customFormat="1" hidden="1" outlineLevel="2" x14ac:dyDescent="0.25">
      <c r="A60" s="29"/>
      <c r="B60" s="11" t="str">
        <f>CONCATENATE("          ", "6336", " - ", "PROFESSIONAL SERVICES")</f>
        <v xml:space="preserve">          6336 - PROFESSIONAL SERVICES</v>
      </c>
      <c r="C60" s="11"/>
      <c r="D60" s="7"/>
      <c r="E60" s="2"/>
      <c r="F60" s="6">
        <f t="shared" si="20"/>
        <v>0</v>
      </c>
      <c r="G60" s="2"/>
      <c r="H60" s="7"/>
      <c r="I60" s="2"/>
      <c r="J60" s="6">
        <f t="shared" si="21"/>
        <v>0</v>
      </c>
      <c r="K60" s="2"/>
      <c r="L60" s="7">
        <f t="shared" si="22"/>
        <v>0</v>
      </c>
      <c r="M60" s="2"/>
      <c r="N60" s="6">
        <f t="shared" si="23"/>
        <v>0</v>
      </c>
      <c r="O60" s="11"/>
      <c r="P60" s="7"/>
      <c r="Q60" s="2"/>
      <c r="R60" s="6">
        <f t="shared" si="24"/>
        <v>0</v>
      </c>
      <c r="S60" s="2"/>
      <c r="T60" s="7">
        <v>5000</v>
      </c>
      <c r="U60" s="2"/>
      <c r="V60" s="6">
        <f t="shared" si="25"/>
        <v>0</v>
      </c>
      <c r="W60" s="2"/>
      <c r="X60" s="7">
        <f t="shared" si="26"/>
        <v>-5000</v>
      </c>
      <c r="Y60" s="2"/>
      <c r="Z60" s="6">
        <f t="shared" si="27"/>
        <v>-1</v>
      </c>
    </row>
    <row r="61" spans="1:26" s="28" customFormat="1" outlineLevel="1" collapsed="1" x14ac:dyDescent="0.25">
      <c r="A61" s="27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SUM(OSRRefD22_11x_0)</f>
        <v>1448.74</v>
      </c>
      <c r="E61" s="1"/>
      <c r="F61" s="5">
        <f t="shared" ref="F61:F68" si="28">IF(D$12=0,0,D61/D$12)</f>
        <v>0</v>
      </c>
      <c r="G61" s="1"/>
      <c r="H61" s="1">
        <f>SUM(OSRRefH22_11x_0)</f>
        <v>2182</v>
      </c>
      <c r="I61" s="1"/>
      <c r="J61" s="5">
        <f t="shared" ref="J61:J68" si="29">IF(H$12=0,0,H61/H$12)</f>
        <v>0</v>
      </c>
      <c r="K61" s="1"/>
      <c r="L61" s="1">
        <f t="shared" ref="L61:L68" si="30">+D61-H61</f>
        <v>-733.26</v>
      </c>
      <c r="M61" s="1"/>
      <c r="N61" s="5">
        <f t="shared" ref="N61:N68" si="31">IF(H61=0,0,L61/H61)</f>
        <v>-0.33604949587534372</v>
      </c>
      <c r="O61" s="14"/>
      <c r="P61" s="1">
        <f>SUM(OSRRefP22_11x_0)</f>
        <v>13261</v>
      </c>
      <c r="Q61" s="1"/>
      <c r="R61" s="5">
        <f t="shared" ref="R61:R68" si="32">IF(P$12=0,0,P61/P$12)</f>
        <v>0</v>
      </c>
      <c r="S61" s="1"/>
      <c r="T61" s="1">
        <f>SUM(OSRRefT22_11x_0)</f>
        <v>13092</v>
      </c>
      <c r="U61" s="1"/>
      <c r="V61" s="5">
        <f t="shared" ref="V61:V68" si="33">IF(T$12=0,0,T61/T$12)</f>
        <v>0</v>
      </c>
      <c r="W61" s="1"/>
      <c r="X61" s="1">
        <f t="shared" ref="X61:X68" si="34">+P61-T61</f>
        <v>169</v>
      </c>
      <c r="Y61" s="1"/>
      <c r="Z61" s="5">
        <f t="shared" ref="Z61:Z68" si="35">IF(T61=0,0,X61/T61)</f>
        <v>1.2908646501680415E-2</v>
      </c>
    </row>
    <row r="62" spans="1:26" s="24" customFormat="1" hidden="1" outlineLevel="2" x14ac:dyDescent="0.25">
      <c r="A62" s="29"/>
      <c r="B62" s="11" t="str">
        <f>CONCATENATE("          ", "6373", " - ", "MAINTENANCE CONTRACTS")</f>
        <v xml:space="preserve">          6373 - MAINTENANCE CONTRACTS</v>
      </c>
      <c r="C62" s="11"/>
      <c r="D62" s="7">
        <v>1448.74</v>
      </c>
      <c r="E62" s="2"/>
      <c r="F62" s="6">
        <f t="shared" si="28"/>
        <v>0</v>
      </c>
      <c r="G62" s="2"/>
      <c r="H62" s="7">
        <v>2182</v>
      </c>
      <c r="I62" s="2"/>
      <c r="J62" s="6">
        <f t="shared" si="29"/>
        <v>0</v>
      </c>
      <c r="K62" s="2"/>
      <c r="L62" s="7">
        <f t="shared" si="30"/>
        <v>-733.26</v>
      </c>
      <c r="M62" s="2"/>
      <c r="N62" s="6">
        <f t="shared" si="31"/>
        <v>-0.33604949587534372</v>
      </c>
      <c r="O62" s="11"/>
      <c r="P62" s="7">
        <v>13261</v>
      </c>
      <c r="Q62" s="2"/>
      <c r="R62" s="6">
        <f t="shared" si="32"/>
        <v>0</v>
      </c>
      <c r="S62" s="2"/>
      <c r="T62" s="7">
        <v>13092</v>
      </c>
      <c r="U62" s="2"/>
      <c r="V62" s="6">
        <f t="shared" si="33"/>
        <v>0</v>
      </c>
      <c r="W62" s="2"/>
      <c r="X62" s="7">
        <f t="shared" si="34"/>
        <v>169</v>
      </c>
      <c r="Y62" s="2"/>
      <c r="Z62" s="6">
        <f t="shared" si="35"/>
        <v>1.2908646501680415E-2</v>
      </c>
    </row>
    <row r="63" spans="1:26" s="28" customFormat="1" outlineLevel="1" collapsed="1" x14ac:dyDescent="0.25">
      <c r="A63" s="27"/>
      <c r="B63" s="14" t="str">
        <f>CONCATENATE("     ","Subscriptions &amp; Dues                              ")</f>
        <v xml:space="preserve">     Subscriptions &amp; Dues                              </v>
      </c>
      <c r="C63" s="14"/>
      <c r="D63" s="1">
        <f>SUM(OSRRefD22_12x_0)</f>
        <v>0</v>
      </c>
      <c r="E63" s="1"/>
      <c r="F63" s="5">
        <f t="shared" si="28"/>
        <v>0</v>
      </c>
      <c r="G63" s="1"/>
      <c r="H63" s="1">
        <f>SUM(OSRRefH22_12x_0)</f>
        <v>0</v>
      </c>
      <c r="I63" s="1"/>
      <c r="J63" s="5">
        <f t="shared" si="29"/>
        <v>0</v>
      </c>
      <c r="K63" s="1"/>
      <c r="L63" s="1">
        <f t="shared" si="30"/>
        <v>0</v>
      </c>
      <c r="M63" s="1"/>
      <c r="N63" s="5">
        <f t="shared" si="31"/>
        <v>0</v>
      </c>
      <c r="O63" s="14"/>
      <c r="P63" s="1">
        <f>SUM(OSRRefP22_12x_0)</f>
        <v>1725</v>
      </c>
      <c r="Q63" s="1"/>
      <c r="R63" s="5">
        <f t="shared" si="32"/>
        <v>0</v>
      </c>
      <c r="S63" s="1"/>
      <c r="T63" s="1">
        <f>SUM(OSRRefT22_12x_0)</f>
        <v>1250</v>
      </c>
      <c r="U63" s="1"/>
      <c r="V63" s="5">
        <f t="shared" si="33"/>
        <v>0</v>
      </c>
      <c r="W63" s="1"/>
      <c r="X63" s="1">
        <f t="shared" si="34"/>
        <v>475</v>
      </c>
      <c r="Y63" s="1"/>
      <c r="Z63" s="5">
        <f t="shared" si="35"/>
        <v>0.38</v>
      </c>
    </row>
    <row r="64" spans="1:26" s="24" customFormat="1" hidden="1" outlineLevel="2" x14ac:dyDescent="0.25">
      <c r="A64" s="29"/>
      <c r="B64" s="11" t="str">
        <f>CONCATENATE("          ", "6258", " - ", "MEMBERSHIP DUES")</f>
        <v xml:space="preserve">          6258 - MEMBERSHIP DUES</v>
      </c>
      <c r="C64" s="11"/>
      <c r="D64" s="7"/>
      <c r="E64" s="2"/>
      <c r="F64" s="6">
        <f t="shared" si="28"/>
        <v>0</v>
      </c>
      <c r="G64" s="2"/>
      <c r="H64" s="7"/>
      <c r="I64" s="2"/>
      <c r="J64" s="6">
        <f t="shared" si="29"/>
        <v>0</v>
      </c>
      <c r="K64" s="2"/>
      <c r="L64" s="7">
        <f t="shared" si="30"/>
        <v>0</v>
      </c>
      <c r="M64" s="2"/>
      <c r="N64" s="6">
        <f t="shared" si="31"/>
        <v>0</v>
      </c>
      <c r="O64" s="11"/>
      <c r="P64" s="7">
        <v>1725</v>
      </c>
      <c r="Q64" s="2"/>
      <c r="R64" s="6">
        <f t="shared" si="32"/>
        <v>0</v>
      </c>
      <c r="S64" s="2"/>
      <c r="T64" s="7">
        <v>1250</v>
      </c>
      <c r="U64" s="2"/>
      <c r="V64" s="6">
        <f t="shared" si="33"/>
        <v>0</v>
      </c>
      <c r="W64" s="2"/>
      <c r="X64" s="7">
        <f t="shared" si="34"/>
        <v>475</v>
      </c>
      <c r="Y64" s="2"/>
      <c r="Z64" s="6">
        <f t="shared" si="35"/>
        <v>0.38</v>
      </c>
    </row>
    <row r="65" spans="1:26" s="28" customFormat="1" outlineLevel="1" collapsed="1" x14ac:dyDescent="0.25">
      <c r="A65" s="27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SUM(OSRRefD22_13x_0)</f>
        <v>15.41</v>
      </c>
      <c r="E65" s="1"/>
      <c r="F65" s="5">
        <f t="shared" si="28"/>
        <v>0</v>
      </c>
      <c r="G65" s="1"/>
      <c r="H65" s="1">
        <f>SUM(OSRRefH22_13x_0)</f>
        <v>1500</v>
      </c>
      <c r="I65" s="1"/>
      <c r="J65" s="5">
        <f t="shared" si="29"/>
        <v>0</v>
      </c>
      <c r="K65" s="1"/>
      <c r="L65" s="1">
        <f t="shared" si="30"/>
        <v>-1484.59</v>
      </c>
      <c r="M65" s="1"/>
      <c r="N65" s="5">
        <f t="shared" si="31"/>
        <v>-0.98972666666666664</v>
      </c>
      <c r="O65" s="14"/>
      <c r="P65" s="1">
        <f>SUM(OSRRefP22_13x_0)</f>
        <v>550.81999999999994</v>
      </c>
      <c r="Q65" s="1"/>
      <c r="R65" s="5">
        <f t="shared" si="32"/>
        <v>0</v>
      </c>
      <c r="S65" s="1"/>
      <c r="T65" s="1">
        <f>SUM(OSRRefT22_13x_0)</f>
        <v>9500</v>
      </c>
      <c r="U65" s="1"/>
      <c r="V65" s="5">
        <f t="shared" si="33"/>
        <v>0</v>
      </c>
      <c r="W65" s="1"/>
      <c r="X65" s="1">
        <f t="shared" si="34"/>
        <v>-8949.18</v>
      </c>
      <c r="Y65" s="1"/>
      <c r="Z65" s="5">
        <f t="shared" si="35"/>
        <v>-0.94201894736842107</v>
      </c>
    </row>
    <row r="66" spans="1:26" s="24" customFormat="1" hidden="1" outlineLevel="2" x14ac:dyDescent="0.25">
      <c r="A66" s="29"/>
      <c r="B66" s="11" t="str">
        <f>CONCATENATE("          ", "6234", " - ", "EXPENDABLE SUPPLIES &amp; EQUIPMEN")</f>
        <v xml:space="preserve">          6234 - EXPENDABLE SUPPLIES &amp; EQUIPMEN</v>
      </c>
      <c r="C66" s="11"/>
      <c r="D66" s="7"/>
      <c r="E66" s="2"/>
      <c r="F66" s="6">
        <f t="shared" si="28"/>
        <v>0</v>
      </c>
      <c r="G66" s="2"/>
      <c r="H66" s="7">
        <v>1000</v>
      </c>
      <c r="I66" s="2"/>
      <c r="J66" s="6">
        <f t="shared" si="29"/>
        <v>0</v>
      </c>
      <c r="K66" s="2"/>
      <c r="L66" s="7">
        <f t="shared" si="30"/>
        <v>-1000</v>
      </c>
      <c r="M66" s="2"/>
      <c r="N66" s="6">
        <f t="shared" si="31"/>
        <v>-1</v>
      </c>
      <c r="O66" s="11"/>
      <c r="P66" s="7"/>
      <c r="Q66" s="2"/>
      <c r="R66" s="6">
        <f t="shared" si="32"/>
        <v>0</v>
      </c>
      <c r="S66" s="2"/>
      <c r="T66" s="7">
        <v>6000</v>
      </c>
      <c r="U66" s="2"/>
      <c r="V66" s="6">
        <f t="shared" si="33"/>
        <v>0</v>
      </c>
      <c r="W66" s="2"/>
      <c r="X66" s="7">
        <f t="shared" si="34"/>
        <v>-6000</v>
      </c>
      <c r="Y66" s="2"/>
      <c r="Z66" s="6">
        <f t="shared" si="35"/>
        <v>-1</v>
      </c>
    </row>
    <row r="67" spans="1:26" s="24" customFormat="1" hidden="1" outlineLevel="2" x14ac:dyDescent="0.25">
      <c r="A67" s="29"/>
      <c r="B67" s="11" t="str">
        <f>CONCATENATE("          ", "6235", " - ", "COVID-19 EXPENSES")</f>
        <v xml:space="preserve">          6235 - COVID-19 EXPENSES</v>
      </c>
      <c r="C67" s="11"/>
      <c r="D67" s="7"/>
      <c r="E67" s="2"/>
      <c r="F67" s="6">
        <f t="shared" si="28"/>
        <v>0</v>
      </c>
      <c r="G67" s="2"/>
      <c r="H67" s="7">
        <v>500</v>
      </c>
      <c r="I67" s="2"/>
      <c r="J67" s="6">
        <f t="shared" si="29"/>
        <v>0</v>
      </c>
      <c r="K67" s="2"/>
      <c r="L67" s="7">
        <f t="shared" si="30"/>
        <v>-500</v>
      </c>
      <c r="M67" s="2"/>
      <c r="N67" s="6">
        <f t="shared" si="31"/>
        <v>-1</v>
      </c>
      <c r="O67" s="11"/>
      <c r="P67" s="7">
        <v>106.94</v>
      </c>
      <c r="Q67" s="2"/>
      <c r="R67" s="6">
        <f t="shared" si="32"/>
        <v>0</v>
      </c>
      <c r="S67" s="2"/>
      <c r="T67" s="7">
        <v>1000</v>
      </c>
      <c r="U67" s="2"/>
      <c r="V67" s="6">
        <f t="shared" si="33"/>
        <v>0</v>
      </c>
      <c r="W67" s="2"/>
      <c r="X67" s="7">
        <f t="shared" si="34"/>
        <v>-893.06</v>
      </c>
      <c r="Y67" s="2"/>
      <c r="Z67" s="6">
        <f t="shared" si="35"/>
        <v>-0.89305999999999996</v>
      </c>
    </row>
    <row r="68" spans="1:26" s="24" customFormat="1" hidden="1" outlineLevel="2" x14ac:dyDescent="0.25">
      <c r="A68" s="29"/>
      <c r="B68" s="11" t="str">
        <f>CONCATENATE("          ", "6241", " - ", "OFFICE EXPENSE")</f>
        <v xml:space="preserve">          6241 - OFFICE EXPENSE</v>
      </c>
      <c r="C68" s="11"/>
      <c r="D68" s="7">
        <v>15.41</v>
      </c>
      <c r="E68" s="2"/>
      <c r="F68" s="6">
        <f t="shared" si="28"/>
        <v>0</v>
      </c>
      <c r="G68" s="2"/>
      <c r="H68" s="7"/>
      <c r="I68" s="2"/>
      <c r="J68" s="6">
        <f t="shared" si="29"/>
        <v>0</v>
      </c>
      <c r="K68" s="2"/>
      <c r="L68" s="7">
        <f t="shared" si="30"/>
        <v>15.41</v>
      </c>
      <c r="M68" s="2"/>
      <c r="N68" s="6">
        <f t="shared" si="31"/>
        <v>0</v>
      </c>
      <c r="O68" s="11"/>
      <c r="P68" s="7">
        <v>443.88</v>
      </c>
      <c r="Q68" s="2"/>
      <c r="R68" s="6">
        <f t="shared" si="32"/>
        <v>0</v>
      </c>
      <c r="S68" s="2"/>
      <c r="T68" s="7">
        <v>2500</v>
      </c>
      <c r="U68" s="2"/>
      <c r="V68" s="6">
        <f t="shared" si="33"/>
        <v>0</v>
      </c>
      <c r="W68" s="2"/>
      <c r="X68" s="7">
        <f t="shared" si="34"/>
        <v>-2056.12</v>
      </c>
      <c r="Y68" s="2"/>
      <c r="Z68" s="6">
        <f t="shared" si="35"/>
        <v>-0.82244799999999996</v>
      </c>
    </row>
    <row r="69" spans="1:26" s="28" customFormat="1" outlineLevel="1" collapsed="1" x14ac:dyDescent="0.25">
      <c r="A69" s="27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SUM(OSRRefD22_14x_0)</f>
        <v>1194.6600000000001</v>
      </c>
      <c r="E69" s="1"/>
      <c r="F69" s="5">
        <f t="shared" ref="F69:F74" si="36">IF(D$12=0,0,D69/D$12)</f>
        <v>0</v>
      </c>
      <c r="G69" s="1"/>
      <c r="H69" s="1">
        <f>SUM(OSRRefH22_14x_0)</f>
        <v>350</v>
      </c>
      <c r="I69" s="1"/>
      <c r="J69" s="5">
        <f t="shared" ref="J69:J74" si="37">IF(H$12=0,0,H69/H$12)</f>
        <v>0</v>
      </c>
      <c r="K69" s="1"/>
      <c r="L69" s="1">
        <f t="shared" ref="L69:L74" si="38">+D69-H69</f>
        <v>844.66000000000008</v>
      </c>
      <c r="M69" s="1"/>
      <c r="N69" s="5">
        <f t="shared" ref="N69:N74" si="39">IF(H69=0,0,L69/H69)</f>
        <v>2.4133142857142857</v>
      </c>
      <c r="O69" s="14"/>
      <c r="P69" s="1">
        <f>SUM(OSRRefP22_14x_0)</f>
        <v>2839.78</v>
      </c>
      <c r="Q69" s="1"/>
      <c r="R69" s="5">
        <f t="shared" ref="R69:R74" si="40">IF(P$12=0,0,P69/P$12)</f>
        <v>0</v>
      </c>
      <c r="S69" s="1"/>
      <c r="T69" s="1">
        <f>SUM(OSRRefT22_14x_0)</f>
        <v>2100</v>
      </c>
      <c r="U69" s="1"/>
      <c r="V69" s="5">
        <f t="shared" ref="V69:V74" si="41">IF(T$12=0,0,T69/T$12)</f>
        <v>0</v>
      </c>
      <c r="W69" s="1"/>
      <c r="X69" s="1">
        <f t="shared" ref="X69:X74" si="42">+P69-T69</f>
        <v>739.7800000000002</v>
      </c>
      <c r="Y69" s="1"/>
      <c r="Z69" s="5">
        <f t="shared" ref="Z69:Z74" si="43">IF(T69=0,0,X69/T69)</f>
        <v>0.35227619047619058</v>
      </c>
    </row>
    <row r="70" spans="1:26" s="24" customFormat="1" hidden="1" outlineLevel="2" x14ac:dyDescent="0.25">
      <c r="A70" s="29"/>
      <c r="B70" s="11" t="str">
        <f>CONCATENATE("          ", "6309", " - ", "TELEPHONE")</f>
        <v xml:space="preserve">          6309 - TELEPHONE</v>
      </c>
      <c r="C70" s="11"/>
      <c r="D70" s="7">
        <v>1194.6600000000001</v>
      </c>
      <c r="E70" s="2"/>
      <c r="F70" s="6">
        <f t="shared" si="36"/>
        <v>0</v>
      </c>
      <c r="G70" s="2"/>
      <c r="H70" s="7">
        <v>350</v>
      </c>
      <c r="I70" s="2"/>
      <c r="J70" s="6">
        <f t="shared" si="37"/>
        <v>0</v>
      </c>
      <c r="K70" s="2"/>
      <c r="L70" s="7">
        <f t="shared" si="38"/>
        <v>844.66000000000008</v>
      </c>
      <c r="M70" s="2"/>
      <c r="N70" s="6">
        <f t="shared" si="39"/>
        <v>2.4133142857142857</v>
      </c>
      <c r="O70" s="11"/>
      <c r="P70" s="7">
        <v>2839.78</v>
      </c>
      <c r="Q70" s="2"/>
      <c r="R70" s="6">
        <f t="shared" si="40"/>
        <v>0</v>
      </c>
      <c r="S70" s="2"/>
      <c r="T70" s="7">
        <v>2100</v>
      </c>
      <c r="U70" s="2"/>
      <c r="V70" s="6">
        <f t="shared" si="41"/>
        <v>0</v>
      </c>
      <c r="W70" s="2"/>
      <c r="X70" s="7">
        <f t="shared" si="42"/>
        <v>739.7800000000002</v>
      </c>
      <c r="Y70" s="2"/>
      <c r="Z70" s="6">
        <f t="shared" si="43"/>
        <v>0.35227619047619058</v>
      </c>
    </row>
    <row r="71" spans="1:26" s="28" customFormat="1" outlineLevel="1" collapsed="1" x14ac:dyDescent="0.25">
      <c r="A71" s="27"/>
      <c r="B71" s="14" t="str">
        <f>CONCATENATE("     ","Training                                          ")</f>
        <v xml:space="preserve">     Training                                          </v>
      </c>
      <c r="C71" s="14"/>
      <c r="D71" s="1">
        <f>SUM(OSRRefD22_15x_0)</f>
        <v>0</v>
      </c>
      <c r="E71" s="1"/>
      <c r="F71" s="5">
        <f t="shared" si="36"/>
        <v>0</v>
      </c>
      <c r="G71" s="1"/>
      <c r="H71" s="1">
        <f>SUM(OSRRefH22_15x_0)</f>
        <v>500</v>
      </c>
      <c r="I71" s="1"/>
      <c r="J71" s="5">
        <f t="shared" si="37"/>
        <v>0</v>
      </c>
      <c r="K71" s="1"/>
      <c r="L71" s="1">
        <f t="shared" si="38"/>
        <v>-500</v>
      </c>
      <c r="M71" s="1"/>
      <c r="N71" s="5">
        <f t="shared" si="39"/>
        <v>-1</v>
      </c>
      <c r="O71" s="14"/>
      <c r="P71" s="1">
        <f>SUM(OSRRefP22_15x_0)</f>
        <v>1126.5</v>
      </c>
      <c r="Q71" s="1"/>
      <c r="R71" s="5">
        <f t="shared" si="40"/>
        <v>0</v>
      </c>
      <c r="S71" s="1"/>
      <c r="T71" s="1">
        <f>SUM(OSRRefT22_15x_0)</f>
        <v>2000</v>
      </c>
      <c r="U71" s="1"/>
      <c r="V71" s="5">
        <f t="shared" si="41"/>
        <v>0</v>
      </c>
      <c r="W71" s="1"/>
      <c r="X71" s="1">
        <f t="shared" si="42"/>
        <v>-873.5</v>
      </c>
      <c r="Y71" s="1"/>
      <c r="Z71" s="5">
        <f t="shared" si="43"/>
        <v>-0.43675000000000003</v>
      </c>
    </row>
    <row r="72" spans="1:26" s="24" customFormat="1" hidden="1" outlineLevel="2" x14ac:dyDescent="0.25">
      <c r="A72" s="29"/>
      <c r="B72" s="11" t="str">
        <f>CONCATENATE("          ", "6376", " - ", "TRAINING")</f>
        <v xml:space="preserve">          6376 - TRAINING</v>
      </c>
      <c r="C72" s="11"/>
      <c r="D72" s="7"/>
      <c r="E72" s="2"/>
      <c r="F72" s="6">
        <f t="shared" si="36"/>
        <v>0</v>
      </c>
      <c r="G72" s="2"/>
      <c r="H72" s="7">
        <v>500</v>
      </c>
      <c r="I72" s="2"/>
      <c r="J72" s="6">
        <f t="shared" si="37"/>
        <v>0</v>
      </c>
      <c r="K72" s="2"/>
      <c r="L72" s="7">
        <f t="shared" si="38"/>
        <v>-500</v>
      </c>
      <c r="M72" s="2"/>
      <c r="N72" s="6">
        <f t="shared" si="39"/>
        <v>-1</v>
      </c>
      <c r="O72" s="11"/>
      <c r="P72" s="7">
        <v>1126.5</v>
      </c>
      <c r="Q72" s="2"/>
      <c r="R72" s="6">
        <f t="shared" si="40"/>
        <v>0</v>
      </c>
      <c r="S72" s="2"/>
      <c r="T72" s="7">
        <v>2000</v>
      </c>
      <c r="U72" s="2"/>
      <c r="V72" s="6">
        <f t="shared" si="41"/>
        <v>0</v>
      </c>
      <c r="W72" s="2"/>
      <c r="X72" s="7">
        <f t="shared" si="42"/>
        <v>-873.5</v>
      </c>
      <c r="Y72" s="2"/>
      <c r="Z72" s="6">
        <f t="shared" si="43"/>
        <v>-0.43675000000000003</v>
      </c>
    </row>
    <row r="73" spans="1:26" s="28" customFormat="1" outlineLevel="1" collapsed="1" x14ac:dyDescent="0.25">
      <c r="A73" s="27"/>
      <c r="B73" s="14" t="str">
        <f>CONCATENATE("     ","Travel                                            ")</f>
        <v xml:space="preserve">     Travel                                            </v>
      </c>
      <c r="C73" s="14"/>
      <c r="D73" s="1">
        <f>SUM(OSRRefD22_16x_0)</f>
        <v>0</v>
      </c>
      <c r="E73" s="1"/>
      <c r="F73" s="5">
        <f t="shared" si="36"/>
        <v>0</v>
      </c>
      <c r="G73" s="1"/>
      <c r="H73" s="1">
        <f>SUM(OSRRefH22_16x_0)</f>
        <v>0</v>
      </c>
      <c r="I73" s="1"/>
      <c r="J73" s="5">
        <f t="shared" si="37"/>
        <v>0</v>
      </c>
      <c r="K73" s="1"/>
      <c r="L73" s="1">
        <f t="shared" si="38"/>
        <v>0</v>
      </c>
      <c r="M73" s="1"/>
      <c r="N73" s="5">
        <f t="shared" si="39"/>
        <v>0</v>
      </c>
      <c r="O73" s="14"/>
      <c r="P73" s="1">
        <f>SUM(OSRRefP22_16x_0)</f>
        <v>0</v>
      </c>
      <c r="Q73" s="1"/>
      <c r="R73" s="5">
        <f t="shared" si="40"/>
        <v>0</v>
      </c>
      <c r="S73" s="1"/>
      <c r="T73" s="1">
        <f>SUM(OSRRefT22_16x_0)</f>
        <v>100</v>
      </c>
      <c r="U73" s="1"/>
      <c r="V73" s="5">
        <f t="shared" si="41"/>
        <v>0</v>
      </c>
      <c r="W73" s="1"/>
      <c r="X73" s="1">
        <f t="shared" si="42"/>
        <v>-100</v>
      </c>
      <c r="Y73" s="1"/>
      <c r="Z73" s="5">
        <f t="shared" si="43"/>
        <v>-1</v>
      </c>
    </row>
    <row r="74" spans="1:26" s="24" customFormat="1" hidden="1" outlineLevel="2" x14ac:dyDescent="0.25">
      <c r="A74" s="29"/>
      <c r="B74" s="11" t="str">
        <f>CONCATENATE("          ", "6294", " - ", "TRAVEL OPERATIONAL")</f>
        <v xml:space="preserve">          6294 - TRAVEL OPERATIONAL</v>
      </c>
      <c r="C74" s="11"/>
      <c r="D74" s="7"/>
      <c r="E74" s="2"/>
      <c r="F74" s="6">
        <f t="shared" si="36"/>
        <v>0</v>
      </c>
      <c r="G74" s="2"/>
      <c r="H74" s="7"/>
      <c r="I74" s="2"/>
      <c r="J74" s="6">
        <f t="shared" si="37"/>
        <v>0</v>
      </c>
      <c r="K74" s="2"/>
      <c r="L74" s="7">
        <f t="shared" si="38"/>
        <v>0</v>
      </c>
      <c r="M74" s="2"/>
      <c r="N74" s="6">
        <f t="shared" si="39"/>
        <v>0</v>
      </c>
      <c r="O74" s="11"/>
      <c r="P74" s="7"/>
      <c r="Q74" s="2"/>
      <c r="R74" s="6">
        <f t="shared" si="40"/>
        <v>0</v>
      </c>
      <c r="S74" s="2"/>
      <c r="T74" s="7">
        <v>100</v>
      </c>
      <c r="U74" s="2"/>
      <c r="V74" s="6">
        <f t="shared" si="41"/>
        <v>0</v>
      </c>
      <c r="W74" s="2"/>
      <c r="X74" s="7">
        <f t="shared" si="42"/>
        <v>-100</v>
      </c>
      <c r="Y74" s="2"/>
      <c r="Z74" s="6">
        <f t="shared" si="43"/>
        <v>-1</v>
      </c>
    </row>
    <row r="75" spans="1:26" s="53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6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5" t="s">
        <v>3</v>
      </c>
      <c r="C78" s="25"/>
      <c r="D78" s="21">
        <f>+D17-D19+D76</f>
        <v>-43823.630000000005</v>
      </c>
      <c r="E78" s="13"/>
      <c r="F78" s="19">
        <f>IF(D$12=0,0,D78/D$12)</f>
        <v>0</v>
      </c>
      <c r="G78" s="13"/>
      <c r="H78" s="21">
        <f>+H17-H19+H76</f>
        <v>-38493.75790769227</v>
      </c>
      <c r="I78" s="13"/>
      <c r="J78" s="19">
        <f>IF(H$12=0,0,H78/H$12)</f>
        <v>0</v>
      </c>
      <c r="K78" s="16"/>
      <c r="L78" s="21">
        <f>+D78-H78</f>
        <v>-5329.8720923077344</v>
      </c>
      <c r="M78" s="16"/>
      <c r="N78" s="19">
        <f>IF(H78=0,0,L78/H78)</f>
        <v>0.13846068510870582</v>
      </c>
      <c r="O78" s="26"/>
      <c r="P78" s="21">
        <f>+P17-P19+P76</f>
        <v>-231738.77</v>
      </c>
      <c r="Q78" s="13"/>
      <c r="R78" s="19">
        <f>IF(P$12=0,0,P78/P$12)</f>
        <v>0</v>
      </c>
      <c r="S78" s="13"/>
      <c r="T78" s="21">
        <f>+T17-T19+T76</f>
        <v>-300268.20519999985</v>
      </c>
      <c r="U78" s="13"/>
      <c r="V78" s="19">
        <f>IF(T$12=0,0,T78/T$12)</f>
        <v>0</v>
      </c>
      <c r="W78" s="16"/>
      <c r="X78" s="21">
        <f>+P78-T78</f>
        <v>68529.435199999862</v>
      </c>
      <c r="Y78" s="16"/>
      <c r="Z78" s="19">
        <f>IF(T78=0,0,X78/T78)</f>
        <v>-0.22822741140492853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/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/>
      <c r="Q80" s="4"/>
      <c r="R80" s="12">
        <f>IF(P$12=0,0,P80/P$12)</f>
        <v>0</v>
      </c>
      <c r="S80" s="4"/>
      <c r="T80" s="4"/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5" t="s">
        <v>4</v>
      </c>
      <c r="C82" s="25"/>
      <c r="D82" s="34">
        <f>+D78-D80</f>
        <v>-43823.630000000005</v>
      </c>
      <c r="E82" s="13"/>
      <c r="F82" s="31">
        <f>IF(D$12=0,0,D82/D$12)</f>
        <v>0</v>
      </c>
      <c r="G82" s="13"/>
      <c r="H82" s="34">
        <f>+H78-H80</f>
        <v>-38493.75790769227</v>
      </c>
      <c r="I82" s="13"/>
      <c r="J82" s="31">
        <f>IF(H$12=0,0,H82/H$12)</f>
        <v>0</v>
      </c>
      <c r="K82" s="16"/>
      <c r="L82" s="34">
        <f>D82-H82</f>
        <v>-5329.8720923077344</v>
      </c>
      <c r="M82" s="16"/>
      <c r="N82" s="31">
        <f>IF(H82=0,0,L82/H82)</f>
        <v>0.13846068510870582</v>
      </c>
      <c r="O82" s="26"/>
      <c r="P82" s="34">
        <f>+P78-P80</f>
        <v>-231738.77</v>
      </c>
      <c r="Q82" s="13"/>
      <c r="R82" s="31">
        <f>IF(P$12=0,0,P82/P$12)</f>
        <v>0</v>
      </c>
      <c r="S82" s="13"/>
      <c r="T82" s="34">
        <f>+T78-T80</f>
        <v>-300268.20519999985</v>
      </c>
      <c r="U82" s="13"/>
      <c r="V82" s="31">
        <f>IF(T$12=0,0,T82/T$12)</f>
        <v>0</v>
      </c>
      <c r="W82" s="16"/>
      <c r="X82" s="34">
        <f>P82-T82</f>
        <v>68529.435199999862</v>
      </c>
      <c r="Y82" s="16"/>
      <c r="Z82" s="31">
        <f>IF(T82=0,0,X82/T82)</f>
        <v>-0.22822741140492853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5" t="s">
        <v>5</v>
      </c>
      <c r="C85" s="25"/>
      <c r="D85" s="33">
        <f>SUM(D82:D84)</f>
        <v>-43823.630000000005</v>
      </c>
      <c r="E85" s="13"/>
      <c r="F85" s="32">
        <f>IF(D$12=0,0,D85/D$12)</f>
        <v>0</v>
      </c>
      <c r="G85" s="13"/>
      <c r="H85" s="33">
        <f>SUM(H82:H84)</f>
        <v>-38493.75790769227</v>
      </c>
      <c r="I85" s="13"/>
      <c r="J85" s="32">
        <f>IF(H$12=0,0,H85/H$12)</f>
        <v>0</v>
      </c>
      <c r="K85" s="16"/>
      <c r="L85" s="33">
        <f>+D85-H85</f>
        <v>-5329.8720923077344</v>
      </c>
      <c r="M85" s="16"/>
      <c r="N85" s="32">
        <f>IF(H85=0,0,L85/H85)</f>
        <v>0.13846068510870582</v>
      </c>
      <c r="O85" s="26"/>
      <c r="P85" s="33">
        <f>SUM(P82:P84)</f>
        <v>-231738.77</v>
      </c>
      <c r="Q85" s="13"/>
      <c r="R85" s="32">
        <f>IF(P$12=0,0,P85/P$12)</f>
        <v>0</v>
      </c>
      <c r="S85" s="13"/>
      <c r="T85" s="33">
        <f>SUM(T82:T84)</f>
        <v>-300268.20519999985</v>
      </c>
      <c r="U85" s="13"/>
      <c r="V85" s="32">
        <f>IF(T$12=0,0,T85/T$12)</f>
        <v>0</v>
      </c>
      <c r="W85" s="16"/>
      <c r="X85" s="33">
        <f>+P85-T85</f>
        <v>68529.435199999862</v>
      </c>
      <c r="Y85" s="16"/>
      <c r="Z85" s="32">
        <f>IF(T85=0,0,X85/T85)</f>
        <v>-0.22822741140492853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63">
        <v>44209.518289930558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60" t="s">
        <v>314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8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","202", " - ", "Accounting")</f>
        <v>Department 202 - Accounting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21">
        <f>D12-D15</f>
        <v>0</v>
      </c>
      <c r="E17" s="13"/>
      <c r="F17" s="19">
        <f>IF(D$12=0,0,D17/D$12)</f>
        <v>0</v>
      </c>
      <c r="G17" s="13"/>
      <c r="H17" s="21">
        <f>H12-H15</f>
        <v>0</v>
      </c>
      <c r="I17" s="13"/>
      <c r="J17" s="19">
        <f>IF(H$12=0,0,H17/H$12)</f>
        <v>0</v>
      </c>
      <c r="K17" s="16"/>
      <c r="L17" s="21">
        <f>+D17-H17</f>
        <v>0</v>
      </c>
      <c r="M17" s="16"/>
      <c r="N17" s="19">
        <f>IF(H17=0,0,L17/H17)</f>
        <v>0</v>
      </c>
      <c r="O17" s="26"/>
      <c r="P17" s="21">
        <f>P12-P15</f>
        <v>0</v>
      </c>
      <c r="Q17" s="13"/>
      <c r="R17" s="19">
        <f>IF(P$12=0,0,P17/P$12)</f>
        <v>0</v>
      </c>
      <c r="S17" s="13"/>
      <c r="T17" s="21">
        <f>T12-T15</f>
        <v>0</v>
      </c>
      <c r="U17" s="13"/>
      <c r="V17" s="19">
        <f>IF(T$12=0,0,T17/T$12)</f>
        <v>0</v>
      </c>
      <c r="W17" s="16"/>
      <c r="X17" s="21">
        <f>+P17-T17</f>
        <v>0</v>
      </c>
      <c r="Y17" s="16"/>
      <c r="Z17" s="19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20">
        <f>SUM(OSRRefD22x_0)</f>
        <v>34402.75</v>
      </c>
      <c r="E19" s="20"/>
      <c r="F19" s="30">
        <f t="shared" ref="F19:F29" si="4">IF(D$12=0,0,D19/D$12)</f>
        <v>0</v>
      </c>
      <c r="G19" s="20"/>
      <c r="H19" s="20">
        <f>SUM(OSRRefH22x_0)</f>
        <v>39956.791615384667</v>
      </c>
      <c r="I19" s="20"/>
      <c r="J19" s="30">
        <f t="shared" ref="J19:J29" si="5">IF(H$12=0,0,H19/H$12)</f>
        <v>0</v>
      </c>
      <c r="K19" s="4"/>
      <c r="L19" s="20">
        <f t="shared" ref="L19:L29" si="6">+D19-H19</f>
        <v>-5554.0416153846672</v>
      </c>
      <c r="M19" s="4"/>
      <c r="N19" s="30">
        <f t="shared" ref="N19:N29" si="7">IF(H19=0,0,L19/H19)</f>
        <v>-0.13900119080747664</v>
      </c>
      <c r="O19" s="10"/>
      <c r="P19" s="20">
        <f>SUM(OSRRefP22x_0)</f>
        <v>224997.35000000003</v>
      </c>
      <c r="Q19" s="20"/>
      <c r="R19" s="30">
        <f t="shared" ref="R19:R29" si="8">IF(P$12=0,0,P19/P$12)</f>
        <v>0</v>
      </c>
      <c r="S19" s="20"/>
      <c r="T19" s="20">
        <f>SUM(OSRRefT22x_0)</f>
        <v>237367.97550000023</v>
      </c>
      <c r="U19" s="20"/>
      <c r="V19" s="30">
        <f t="shared" ref="V19:V29" si="9">IF(T$12=0,0,T19/T$12)</f>
        <v>0</v>
      </c>
      <c r="W19" s="4"/>
      <c r="X19" s="20">
        <f t="shared" ref="X19:X29" si="10">+P19-T19</f>
        <v>-12370.625500000198</v>
      </c>
      <c r="Y19" s="4"/>
      <c r="Z19" s="30">
        <f t="shared" ref="Z19:Z29" si="11">IF(T19=0,0,X19/T19)</f>
        <v>-5.2115815008078825E-2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12837.390000000001</v>
      </c>
      <c r="E20" s="1"/>
      <c r="F20" s="5">
        <f t="shared" si="4"/>
        <v>0</v>
      </c>
      <c r="G20" s="1"/>
      <c r="H20" s="1">
        <f>SUM(OSRRefH22_0x_0)</f>
        <v>11822.176230769233</v>
      </c>
      <c r="I20" s="1"/>
      <c r="J20" s="5">
        <f t="shared" si="5"/>
        <v>0</v>
      </c>
      <c r="K20" s="1"/>
      <c r="L20" s="1">
        <f t="shared" si="6"/>
        <v>1015.2137692307679</v>
      </c>
      <c r="M20" s="1"/>
      <c r="N20" s="5">
        <f t="shared" si="7"/>
        <v>8.5873679212165738E-2</v>
      </c>
      <c r="O20" s="14"/>
      <c r="P20" s="1">
        <f>SUM(OSRRefP22_0x_0)</f>
        <v>79913.799999999988</v>
      </c>
      <c r="Q20" s="1"/>
      <c r="R20" s="5">
        <f t="shared" si="8"/>
        <v>0</v>
      </c>
      <c r="S20" s="1"/>
      <c r="T20" s="1">
        <f>SUM(OSRRefT22_0x_0)</f>
        <v>72698.975500000044</v>
      </c>
      <c r="U20" s="1"/>
      <c r="V20" s="5">
        <f t="shared" si="9"/>
        <v>0</v>
      </c>
      <c r="W20" s="1"/>
      <c r="X20" s="1">
        <f t="shared" si="10"/>
        <v>7214.8244999999442</v>
      </c>
      <c r="Y20" s="1"/>
      <c r="Z20" s="5">
        <f t="shared" si="11"/>
        <v>9.9242450810052202E-2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7">
        <v>1623.95</v>
      </c>
      <c r="E21" s="2"/>
      <c r="F21" s="6">
        <f t="shared" si="4"/>
        <v>0</v>
      </c>
      <c r="G21" s="2"/>
      <c r="H21" s="7">
        <v>1625.37946153846</v>
      </c>
      <c r="I21" s="2"/>
      <c r="J21" s="6">
        <f t="shared" si="5"/>
        <v>0</v>
      </c>
      <c r="K21" s="2"/>
      <c r="L21" s="7">
        <f t="shared" si="6"/>
        <v>-1.4294615384599183</v>
      </c>
      <c r="M21" s="2"/>
      <c r="N21" s="6">
        <f t="shared" si="7"/>
        <v>-8.7946327136858204E-4</v>
      </c>
      <c r="O21" s="11"/>
      <c r="P21" s="7">
        <v>11801.38</v>
      </c>
      <c r="Q21" s="2"/>
      <c r="R21" s="6">
        <f t="shared" si="8"/>
        <v>0</v>
      </c>
      <c r="S21" s="2"/>
      <c r="T21" s="7">
        <v>10564.9665</v>
      </c>
      <c r="U21" s="2"/>
      <c r="V21" s="6">
        <f t="shared" si="9"/>
        <v>0</v>
      </c>
      <c r="W21" s="2"/>
      <c r="X21" s="7">
        <f t="shared" si="10"/>
        <v>1236.4134999999987</v>
      </c>
      <c r="Y21" s="2"/>
      <c r="Z21" s="6">
        <f t="shared" si="11"/>
        <v>0.11702957127218518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7">
        <v>157.1</v>
      </c>
      <c r="E22" s="2"/>
      <c r="F22" s="6">
        <f t="shared" si="4"/>
        <v>0</v>
      </c>
      <c r="G22" s="2"/>
      <c r="H22" s="7">
        <v>73.518923076923102</v>
      </c>
      <c r="I22" s="2"/>
      <c r="J22" s="6">
        <f t="shared" si="5"/>
        <v>0</v>
      </c>
      <c r="K22" s="2"/>
      <c r="L22" s="7">
        <f t="shared" si="6"/>
        <v>83.581076923076893</v>
      </c>
      <c r="M22" s="2"/>
      <c r="N22" s="6">
        <f t="shared" si="7"/>
        <v>1.1368648155472263</v>
      </c>
      <c r="O22" s="11"/>
      <c r="P22" s="7">
        <v>594.29999999999995</v>
      </c>
      <c r="Q22" s="2"/>
      <c r="R22" s="6">
        <f t="shared" si="8"/>
        <v>0</v>
      </c>
      <c r="S22" s="2"/>
      <c r="T22" s="7">
        <v>473.5830000000002</v>
      </c>
      <c r="U22" s="2"/>
      <c r="V22" s="6">
        <f t="shared" si="9"/>
        <v>0</v>
      </c>
      <c r="W22" s="2"/>
      <c r="X22" s="7">
        <f t="shared" si="10"/>
        <v>120.71699999999976</v>
      </c>
      <c r="Y22" s="2"/>
      <c r="Z22" s="6">
        <f t="shared" si="11"/>
        <v>0.25490146394612923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7">
        <v>6246.72</v>
      </c>
      <c r="E23" s="2"/>
      <c r="F23" s="6">
        <f t="shared" si="4"/>
        <v>0</v>
      </c>
      <c r="G23" s="2"/>
      <c r="H23" s="7">
        <v>5415</v>
      </c>
      <c r="I23" s="2"/>
      <c r="J23" s="6">
        <f t="shared" si="5"/>
        <v>0</v>
      </c>
      <c r="K23" s="2"/>
      <c r="L23" s="7">
        <f t="shared" si="6"/>
        <v>831.72000000000025</v>
      </c>
      <c r="M23" s="2"/>
      <c r="N23" s="6">
        <f t="shared" si="7"/>
        <v>0.15359556786703607</v>
      </c>
      <c r="O23" s="11"/>
      <c r="P23" s="7">
        <v>35441.279999999999</v>
      </c>
      <c r="Q23" s="2"/>
      <c r="R23" s="6">
        <f t="shared" si="8"/>
        <v>0</v>
      </c>
      <c r="S23" s="2"/>
      <c r="T23" s="7">
        <v>32490</v>
      </c>
      <c r="U23" s="2"/>
      <c r="V23" s="6">
        <f t="shared" si="9"/>
        <v>0</v>
      </c>
      <c r="W23" s="2"/>
      <c r="X23" s="7">
        <f t="shared" si="10"/>
        <v>2951.2799999999988</v>
      </c>
      <c r="Y23" s="2"/>
      <c r="Z23" s="6">
        <f t="shared" si="11"/>
        <v>9.083656509695287E-2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7"/>
      <c r="E24" s="2"/>
      <c r="F24" s="6">
        <f t="shared" si="4"/>
        <v>0</v>
      </c>
      <c r="G24" s="2"/>
      <c r="H24" s="7">
        <v>57.923999999999999</v>
      </c>
      <c r="I24" s="2"/>
      <c r="J24" s="6">
        <f t="shared" si="5"/>
        <v>0</v>
      </c>
      <c r="K24" s="2"/>
      <c r="L24" s="7">
        <f t="shared" si="6"/>
        <v>-57.923999999999999</v>
      </c>
      <c r="M24" s="2"/>
      <c r="N24" s="6">
        <f t="shared" si="7"/>
        <v>-1</v>
      </c>
      <c r="O24" s="11"/>
      <c r="P24" s="7">
        <v>344.44</v>
      </c>
      <c r="Q24" s="2"/>
      <c r="R24" s="6">
        <f t="shared" si="8"/>
        <v>0</v>
      </c>
      <c r="S24" s="2"/>
      <c r="T24" s="7">
        <v>373.12599999999998</v>
      </c>
      <c r="U24" s="2"/>
      <c r="V24" s="6">
        <f t="shared" si="9"/>
        <v>0</v>
      </c>
      <c r="W24" s="2"/>
      <c r="X24" s="7">
        <f t="shared" si="10"/>
        <v>-28.685999999999979</v>
      </c>
      <c r="Y24" s="2"/>
      <c r="Z24" s="6">
        <f t="shared" si="11"/>
        <v>-7.688019596597391E-2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7">
        <v>1978.76</v>
      </c>
      <c r="E25" s="2"/>
      <c r="F25" s="6">
        <f t="shared" si="4"/>
        <v>0</v>
      </c>
      <c r="G25" s="2"/>
      <c r="H25" s="7">
        <v>1826.5076923076901</v>
      </c>
      <c r="I25" s="2"/>
      <c r="J25" s="6">
        <f t="shared" si="5"/>
        <v>0</v>
      </c>
      <c r="K25" s="2"/>
      <c r="L25" s="7">
        <f t="shared" si="6"/>
        <v>152.25230769230984</v>
      </c>
      <c r="M25" s="2"/>
      <c r="N25" s="6">
        <f t="shared" si="7"/>
        <v>8.3357058025826089E-2</v>
      </c>
      <c r="O25" s="11"/>
      <c r="P25" s="7">
        <v>13713.24</v>
      </c>
      <c r="Q25" s="2"/>
      <c r="R25" s="6">
        <f t="shared" si="8"/>
        <v>0</v>
      </c>
      <c r="S25" s="2"/>
      <c r="T25" s="7">
        <v>11872.3</v>
      </c>
      <c r="U25" s="2"/>
      <c r="V25" s="6">
        <f t="shared" si="9"/>
        <v>0</v>
      </c>
      <c r="W25" s="2"/>
      <c r="X25" s="7">
        <f t="shared" si="10"/>
        <v>1840.9400000000005</v>
      </c>
      <c r="Y25" s="2"/>
      <c r="Z25" s="6">
        <f t="shared" si="11"/>
        <v>0.15506178246843499</v>
      </c>
    </row>
    <row r="26" spans="1:26" s="24" customFormat="1" hidden="1" outlineLevel="2" x14ac:dyDescent="0.25">
      <c r="A26" s="29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7">
        <v>1559.44</v>
      </c>
      <c r="E27" s="2"/>
      <c r="F27" s="6">
        <f t="shared" si="4"/>
        <v>0</v>
      </c>
      <c r="G27" s="2"/>
      <c r="H27" s="7">
        <v>1061.9230769230799</v>
      </c>
      <c r="I27" s="2"/>
      <c r="J27" s="6">
        <f t="shared" si="5"/>
        <v>0</v>
      </c>
      <c r="K27" s="2"/>
      <c r="L27" s="7">
        <f t="shared" si="6"/>
        <v>497.51692307692019</v>
      </c>
      <c r="M27" s="2"/>
      <c r="N27" s="6">
        <f t="shared" si="7"/>
        <v>0.46850561390800033</v>
      </c>
      <c r="O27" s="11"/>
      <c r="P27" s="7">
        <v>10097.67</v>
      </c>
      <c r="Q27" s="2"/>
      <c r="R27" s="6">
        <f t="shared" si="8"/>
        <v>0</v>
      </c>
      <c r="S27" s="2"/>
      <c r="T27" s="7">
        <v>6902.50000000002</v>
      </c>
      <c r="U27" s="2"/>
      <c r="V27" s="6">
        <f t="shared" si="9"/>
        <v>0</v>
      </c>
      <c r="W27" s="2"/>
      <c r="X27" s="7">
        <f t="shared" si="10"/>
        <v>3195.1699999999801</v>
      </c>
      <c r="Y27" s="2"/>
      <c r="Z27" s="6">
        <f t="shared" si="11"/>
        <v>0.46290039840637026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7">
        <v>979.42</v>
      </c>
      <c r="E28" s="2"/>
      <c r="F28" s="6">
        <f t="shared" si="4"/>
        <v>0</v>
      </c>
      <c r="G28" s="2"/>
      <c r="H28" s="7">
        <v>1061.9230769230799</v>
      </c>
      <c r="I28" s="2"/>
      <c r="J28" s="6">
        <f t="shared" si="5"/>
        <v>0</v>
      </c>
      <c r="K28" s="2"/>
      <c r="L28" s="7">
        <f t="shared" si="6"/>
        <v>-82.503076923079902</v>
      </c>
      <c r="M28" s="2"/>
      <c r="N28" s="6">
        <f t="shared" si="7"/>
        <v>-7.7692140528796499E-2</v>
      </c>
      <c r="O28" s="11"/>
      <c r="P28" s="7">
        <v>6366.23</v>
      </c>
      <c r="Q28" s="2"/>
      <c r="R28" s="6">
        <f t="shared" si="8"/>
        <v>0</v>
      </c>
      <c r="S28" s="2"/>
      <c r="T28" s="7">
        <v>6902.50000000002</v>
      </c>
      <c r="U28" s="2"/>
      <c r="V28" s="6">
        <f t="shared" si="9"/>
        <v>0</v>
      </c>
      <c r="W28" s="2"/>
      <c r="X28" s="7">
        <f t="shared" si="10"/>
        <v>-536.27000000002045</v>
      </c>
      <c r="Y28" s="2"/>
      <c r="Z28" s="6">
        <f t="shared" si="11"/>
        <v>-7.7692140528796652E-2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7">
        <v>292</v>
      </c>
      <c r="E29" s="2"/>
      <c r="F29" s="6">
        <f t="shared" si="4"/>
        <v>0</v>
      </c>
      <c r="G29" s="2"/>
      <c r="H29" s="7">
        <v>700</v>
      </c>
      <c r="I29" s="2"/>
      <c r="J29" s="6">
        <f t="shared" si="5"/>
        <v>0</v>
      </c>
      <c r="K29" s="2"/>
      <c r="L29" s="7">
        <f t="shared" si="6"/>
        <v>-408</v>
      </c>
      <c r="M29" s="2"/>
      <c r="N29" s="6">
        <f t="shared" si="7"/>
        <v>-0.58285714285714285</v>
      </c>
      <c r="O29" s="11"/>
      <c r="P29" s="7">
        <v>1555.26</v>
      </c>
      <c r="Q29" s="2"/>
      <c r="R29" s="6">
        <f t="shared" si="8"/>
        <v>0</v>
      </c>
      <c r="S29" s="2"/>
      <c r="T29" s="7">
        <v>3120</v>
      </c>
      <c r="U29" s="2"/>
      <c r="V29" s="6">
        <f t="shared" si="9"/>
        <v>0</v>
      </c>
      <c r="W29" s="2"/>
      <c r="X29" s="7">
        <f t="shared" si="10"/>
        <v>-1564.74</v>
      </c>
      <c r="Y29" s="2"/>
      <c r="Z29" s="6">
        <f t="shared" si="11"/>
        <v>-0.50151923076923077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18337.96</v>
      </c>
      <c r="E30" s="1"/>
      <c r="F30" s="5">
        <f t="shared" ref="F30:F40" si="12">IF(D$12=0,0,D30/D$12)</f>
        <v>0</v>
      </c>
      <c r="G30" s="1"/>
      <c r="H30" s="1">
        <f>SUM(OSRRefH22_1x_0)</f>
        <v>20154.61538461543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-1816.6553846154311</v>
      </c>
      <c r="M30" s="1"/>
      <c r="N30" s="5">
        <f t="shared" ref="N30:N40" si="15">IF(H30=0,0,L30/H30)</f>
        <v>-9.0135949009581884E-2</v>
      </c>
      <c r="O30" s="14"/>
      <c r="P30" s="1">
        <f>SUM(OSRRefP22_1x_0)</f>
        <v>125859.51999999999</v>
      </c>
      <c r="Q30" s="1"/>
      <c r="R30" s="5">
        <f t="shared" ref="R30:R40" si="16">IF(P$12=0,0,P30/P$12)</f>
        <v>0</v>
      </c>
      <c r="S30" s="1"/>
      <c r="T30" s="1">
        <f>SUM(OSRRefT22_1x_0)</f>
        <v>129705.0000000002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-3845.4800000002142</v>
      </c>
      <c r="Y30" s="1"/>
      <c r="Z30" s="5">
        <f t="shared" ref="Z30:Z40" si="19">IF(T30=0,0,X30/T30)</f>
        <v>-2.9647893296327884E-2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12"/>
        <v>0</v>
      </c>
      <c r="G31" s="2"/>
      <c r="H31" s="7">
        <v>5420.7692307692296</v>
      </c>
      <c r="I31" s="2"/>
      <c r="J31" s="6">
        <f t="shared" si="13"/>
        <v>0</v>
      </c>
      <c r="K31" s="2"/>
      <c r="L31" s="7">
        <f t="shared" si="14"/>
        <v>-5420.7692307692296</v>
      </c>
      <c r="M31" s="2"/>
      <c r="N31" s="6">
        <f t="shared" si="15"/>
        <v>-1</v>
      </c>
      <c r="O31" s="11"/>
      <c r="P31" s="7"/>
      <c r="Q31" s="2"/>
      <c r="R31" s="6">
        <f t="shared" si="16"/>
        <v>0</v>
      </c>
      <c r="S31" s="2"/>
      <c r="T31" s="7">
        <v>35235</v>
      </c>
      <c r="U31" s="2"/>
      <c r="V31" s="6">
        <f t="shared" si="17"/>
        <v>0</v>
      </c>
      <c r="W31" s="2"/>
      <c r="X31" s="7">
        <f t="shared" si="18"/>
        <v>-35235</v>
      </c>
      <c r="Y31" s="2"/>
      <c r="Z31" s="6">
        <f t="shared" si="19"/>
        <v>-1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>
        <v>18337.96</v>
      </c>
      <c r="E32" s="2"/>
      <c r="F32" s="6">
        <f t="shared" si="12"/>
        <v>0</v>
      </c>
      <c r="G32" s="2"/>
      <c r="H32" s="7">
        <v>13693.846153846202</v>
      </c>
      <c r="I32" s="2"/>
      <c r="J32" s="6">
        <f t="shared" si="13"/>
        <v>0</v>
      </c>
      <c r="K32" s="2"/>
      <c r="L32" s="7">
        <f t="shared" si="14"/>
        <v>4644.1138461537976</v>
      </c>
      <c r="M32" s="2"/>
      <c r="N32" s="6">
        <f t="shared" si="15"/>
        <v>0.33913874845522501</v>
      </c>
      <c r="O32" s="11"/>
      <c r="P32" s="7">
        <v>125477.75999999999</v>
      </c>
      <c r="Q32" s="2"/>
      <c r="R32" s="6">
        <f t="shared" si="16"/>
        <v>0</v>
      </c>
      <c r="S32" s="2"/>
      <c r="T32" s="7">
        <v>89010.000000000204</v>
      </c>
      <c r="U32" s="2"/>
      <c r="V32" s="6">
        <f t="shared" si="17"/>
        <v>0</v>
      </c>
      <c r="W32" s="2"/>
      <c r="X32" s="7">
        <f t="shared" si="18"/>
        <v>36467.759999999791</v>
      </c>
      <c r="Y32" s="2"/>
      <c r="Z32" s="6">
        <f t="shared" si="19"/>
        <v>0.40970407819345811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12"/>
        <v>0</v>
      </c>
      <c r="G35" s="2"/>
      <c r="H35" s="7">
        <v>0</v>
      </c>
      <c r="I35" s="2"/>
      <c r="J35" s="6">
        <f t="shared" si="13"/>
        <v>0</v>
      </c>
      <c r="K35" s="2"/>
      <c r="L35" s="7">
        <f t="shared" si="14"/>
        <v>0</v>
      </c>
      <c r="M35" s="2"/>
      <c r="N35" s="6">
        <f t="shared" si="15"/>
        <v>0</v>
      </c>
      <c r="O35" s="11"/>
      <c r="P35" s="7">
        <v>265.48</v>
      </c>
      <c r="Q35" s="2"/>
      <c r="R35" s="6">
        <f t="shared" si="16"/>
        <v>0</v>
      </c>
      <c r="S35" s="2"/>
      <c r="T35" s="7">
        <v>0</v>
      </c>
      <c r="U35" s="2"/>
      <c r="V35" s="6">
        <f t="shared" si="17"/>
        <v>0</v>
      </c>
      <c r="W35" s="2"/>
      <c r="X35" s="7">
        <f t="shared" si="18"/>
        <v>265.48</v>
      </c>
      <c r="Y35" s="2"/>
      <c r="Z35" s="6">
        <f t="shared" si="19"/>
        <v>0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12"/>
        <v>0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0</v>
      </c>
      <c r="M36" s="2"/>
      <c r="N36" s="6">
        <f t="shared" si="15"/>
        <v>0</v>
      </c>
      <c r="O36" s="11"/>
      <c r="P36" s="7"/>
      <c r="Q36" s="2"/>
      <c r="R36" s="6">
        <f t="shared" si="16"/>
        <v>0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0</v>
      </c>
      <c r="Y36" s="2"/>
      <c r="Z36" s="6">
        <f t="shared" si="19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>
        <v>116.28</v>
      </c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116.28</v>
      </c>
      <c r="Y37" s="2"/>
      <c r="Z37" s="6">
        <f t="shared" si="19"/>
        <v>0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12"/>
        <v>0</v>
      </c>
      <c r="G38" s="2"/>
      <c r="H38" s="7">
        <v>1040</v>
      </c>
      <c r="I38" s="2"/>
      <c r="J38" s="6">
        <f t="shared" si="13"/>
        <v>0</v>
      </c>
      <c r="K38" s="2"/>
      <c r="L38" s="7">
        <f t="shared" si="14"/>
        <v>-1040</v>
      </c>
      <c r="M38" s="2"/>
      <c r="N38" s="6">
        <f t="shared" si="15"/>
        <v>-1</v>
      </c>
      <c r="O38" s="11"/>
      <c r="P38" s="7"/>
      <c r="Q38" s="2"/>
      <c r="R38" s="6">
        <f t="shared" si="16"/>
        <v>0</v>
      </c>
      <c r="S38" s="2"/>
      <c r="T38" s="7">
        <v>5460</v>
      </c>
      <c r="U38" s="2"/>
      <c r="V38" s="6">
        <f t="shared" si="17"/>
        <v>0</v>
      </c>
      <c r="W38" s="2"/>
      <c r="X38" s="7">
        <f t="shared" si="18"/>
        <v>-5460</v>
      </c>
      <c r="Y38" s="2"/>
      <c r="Z38" s="6">
        <f t="shared" si="19"/>
        <v>-1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12"/>
        <v>0</v>
      </c>
      <c r="G39" s="2"/>
      <c r="H39" s="7">
        <v>0</v>
      </c>
      <c r="I39" s="2"/>
      <c r="J39" s="6">
        <f t="shared" si="13"/>
        <v>0</v>
      </c>
      <c r="K39" s="2"/>
      <c r="L39" s="7">
        <f t="shared" si="14"/>
        <v>0</v>
      </c>
      <c r="M39" s="2"/>
      <c r="N39" s="6">
        <f t="shared" si="15"/>
        <v>0</v>
      </c>
      <c r="O39" s="11"/>
      <c r="P39" s="7"/>
      <c r="Q39" s="2"/>
      <c r="R39" s="6">
        <f t="shared" si="16"/>
        <v>0</v>
      </c>
      <c r="S39" s="2"/>
      <c r="T39" s="7">
        <v>0</v>
      </c>
      <c r="U39" s="2"/>
      <c r="V39" s="6">
        <f t="shared" si="17"/>
        <v>0</v>
      </c>
      <c r="W39" s="2"/>
      <c r="X39" s="7">
        <f t="shared" si="18"/>
        <v>0</v>
      </c>
      <c r="Y39" s="2"/>
      <c r="Z39" s="6">
        <f t="shared" si="19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8" customFormat="1" outlineLevel="1" collapsed="1" x14ac:dyDescent="0.25">
      <c r="A41" s="27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SUM(OSRRefD22_2x_0)</f>
        <v>1558.88</v>
      </c>
      <c r="E41" s="1"/>
      <c r="F41" s="5">
        <f t="shared" ref="F41:F47" si="20">IF(D$12=0,0,D41/D$12)</f>
        <v>0</v>
      </c>
      <c r="G41" s="1"/>
      <c r="H41" s="1">
        <f>SUM(OSRRefH22_2x_0)</f>
        <v>1559</v>
      </c>
      <c r="I41" s="1"/>
      <c r="J41" s="5">
        <f t="shared" ref="J41:J47" si="21">IF(H$12=0,0,H41/H$12)</f>
        <v>0</v>
      </c>
      <c r="K41" s="1"/>
      <c r="L41" s="1">
        <f t="shared" ref="L41:L47" si="22">+D41-H41</f>
        <v>-0.11999999999989086</v>
      </c>
      <c r="M41" s="1"/>
      <c r="N41" s="5">
        <f t="shared" ref="N41:N47" si="23">IF(H41=0,0,L41/H41)</f>
        <v>-7.6972418216735637E-5</v>
      </c>
      <c r="O41" s="14"/>
      <c r="P41" s="1">
        <f>SUM(OSRRefP22_2x_0)</f>
        <v>9353.2800000000007</v>
      </c>
      <c r="Q41" s="1"/>
      <c r="R41" s="5">
        <f t="shared" ref="R41:R47" si="24">IF(P$12=0,0,P41/P$12)</f>
        <v>0</v>
      </c>
      <c r="S41" s="1"/>
      <c r="T41" s="1">
        <f>SUM(OSRRefT22_2x_0)</f>
        <v>9354</v>
      </c>
      <c r="U41" s="1"/>
      <c r="V41" s="5">
        <f t="shared" ref="V41:V47" si="25">IF(T$12=0,0,T41/T$12)</f>
        <v>0</v>
      </c>
      <c r="W41" s="1"/>
      <c r="X41" s="1">
        <f t="shared" ref="X41:X47" si="26">+P41-T41</f>
        <v>-0.71999999999934516</v>
      </c>
      <c r="Y41" s="1"/>
      <c r="Z41" s="5">
        <f t="shared" ref="Z41:Z47" si="27">IF(T41=0,0,X41/T41)</f>
        <v>-7.6972418216735637E-5</v>
      </c>
    </row>
    <row r="42" spans="1:26" s="24" customFormat="1" hidden="1" outlineLevel="2" x14ac:dyDescent="0.25">
      <c r="A42" s="29"/>
      <c r="B42" s="11" t="str">
        <f>CONCATENATE("          ", "6322", " - ", "EQUIPMENT DEPRECIATION EXPENSE")</f>
        <v xml:space="preserve">          6322 - EQUIPMENT DEPRECIATION EXPENSE</v>
      </c>
      <c r="C42" s="11"/>
      <c r="D42" s="7">
        <v>1558.88</v>
      </c>
      <c r="E42" s="2"/>
      <c r="F42" s="6">
        <f t="shared" si="20"/>
        <v>0</v>
      </c>
      <c r="G42" s="2"/>
      <c r="H42" s="7">
        <v>1559</v>
      </c>
      <c r="I42" s="2"/>
      <c r="J42" s="6">
        <f t="shared" si="21"/>
        <v>0</v>
      </c>
      <c r="K42" s="2"/>
      <c r="L42" s="7">
        <f t="shared" si="22"/>
        <v>-0.11999999999989086</v>
      </c>
      <c r="M42" s="2"/>
      <c r="N42" s="6">
        <f t="shared" si="23"/>
        <v>-7.6972418216735637E-5</v>
      </c>
      <c r="O42" s="11"/>
      <c r="P42" s="7">
        <v>9353.2800000000007</v>
      </c>
      <c r="Q42" s="2"/>
      <c r="R42" s="6">
        <f t="shared" si="24"/>
        <v>0</v>
      </c>
      <c r="S42" s="2"/>
      <c r="T42" s="7">
        <v>9354</v>
      </c>
      <c r="U42" s="2"/>
      <c r="V42" s="6">
        <f t="shared" si="25"/>
        <v>0</v>
      </c>
      <c r="W42" s="2"/>
      <c r="X42" s="7">
        <f t="shared" si="26"/>
        <v>-0.71999999999934516</v>
      </c>
      <c r="Y42" s="2"/>
      <c r="Z42" s="6">
        <f t="shared" si="27"/>
        <v>-7.6972418216735637E-5</v>
      </c>
    </row>
    <row r="43" spans="1:26" s="28" customFormat="1" outlineLevel="1" collapsed="1" x14ac:dyDescent="0.25">
      <c r="A43" s="27"/>
      <c r="B43" s="14" t="str">
        <f>CONCATENATE("     ","Equipment Rental                                  ")</f>
        <v xml:space="preserve">     Equipment Rental                                  </v>
      </c>
      <c r="C43" s="14"/>
      <c r="D43" s="1">
        <f>SUM(OSRRefD22_3x_0)</f>
        <v>91.26</v>
      </c>
      <c r="E43" s="1"/>
      <c r="F43" s="5">
        <f t="shared" si="20"/>
        <v>0</v>
      </c>
      <c r="G43" s="1"/>
      <c r="H43" s="1">
        <f>SUM(OSRRefH22_3x_0)</f>
        <v>91</v>
      </c>
      <c r="I43" s="1"/>
      <c r="J43" s="5">
        <f t="shared" si="21"/>
        <v>0</v>
      </c>
      <c r="K43" s="1"/>
      <c r="L43" s="1">
        <f t="shared" si="22"/>
        <v>0.26000000000000512</v>
      </c>
      <c r="M43" s="1"/>
      <c r="N43" s="5">
        <f t="shared" si="23"/>
        <v>2.8571428571429135E-3</v>
      </c>
      <c r="O43" s="14"/>
      <c r="P43" s="1">
        <f>SUM(OSRRefP22_3x_0)</f>
        <v>547.55999999999995</v>
      </c>
      <c r="Q43" s="1"/>
      <c r="R43" s="5">
        <f t="shared" si="24"/>
        <v>0</v>
      </c>
      <c r="S43" s="1"/>
      <c r="T43" s="1">
        <f>SUM(OSRRefT22_3x_0)</f>
        <v>546</v>
      </c>
      <c r="U43" s="1"/>
      <c r="V43" s="5">
        <f t="shared" si="25"/>
        <v>0</v>
      </c>
      <c r="W43" s="1"/>
      <c r="X43" s="1">
        <f t="shared" si="26"/>
        <v>1.5599999999999454</v>
      </c>
      <c r="Y43" s="1"/>
      <c r="Z43" s="5">
        <f t="shared" si="27"/>
        <v>2.8571428571427574E-3</v>
      </c>
    </row>
    <row r="44" spans="1:26" s="24" customFormat="1" hidden="1" outlineLevel="2" x14ac:dyDescent="0.25">
      <c r="A44" s="29"/>
      <c r="B44" s="11" t="str">
        <f>CONCATENATE("          ", "6351", " - ", "EQUIPMENT RENTAL")</f>
        <v xml:space="preserve">          6351 - EQUIPMENT RENTAL</v>
      </c>
      <c r="C44" s="11"/>
      <c r="D44" s="7">
        <v>91.26</v>
      </c>
      <c r="E44" s="2"/>
      <c r="F44" s="6">
        <f t="shared" si="20"/>
        <v>0</v>
      </c>
      <c r="G44" s="2"/>
      <c r="H44" s="7">
        <v>91</v>
      </c>
      <c r="I44" s="2"/>
      <c r="J44" s="6">
        <f t="shared" si="21"/>
        <v>0</v>
      </c>
      <c r="K44" s="2"/>
      <c r="L44" s="7">
        <f t="shared" si="22"/>
        <v>0.26000000000000512</v>
      </c>
      <c r="M44" s="2"/>
      <c r="N44" s="6">
        <f t="shared" si="23"/>
        <v>2.8571428571429135E-3</v>
      </c>
      <c r="O44" s="11"/>
      <c r="P44" s="7">
        <v>547.55999999999995</v>
      </c>
      <c r="Q44" s="2"/>
      <c r="R44" s="6">
        <f t="shared" si="24"/>
        <v>0</v>
      </c>
      <c r="S44" s="2"/>
      <c r="T44" s="7">
        <v>546</v>
      </c>
      <c r="U44" s="2"/>
      <c r="V44" s="6">
        <f t="shared" si="25"/>
        <v>0</v>
      </c>
      <c r="W44" s="2"/>
      <c r="X44" s="7">
        <f t="shared" si="26"/>
        <v>1.5599999999999454</v>
      </c>
      <c r="Y44" s="2"/>
      <c r="Z44" s="6">
        <f t="shared" si="27"/>
        <v>2.8571428571427574E-3</v>
      </c>
    </row>
    <row r="45" spans="1:26" s="28" customFormat="1" outlineLevel="1" collapsed="1" x14ac:dyDescent="0.25">
      <c r="A45" s="27"/>
      <c r="B45" s="14" t="str">
        <f>CONCATENATE("     ","Freight out/Postage                               ")</f>
        <v xml:space="preserve">     Freight out/Postage                               </v>
      </c>
      <c r="C45" s="14"/>
      <c r="D45" s="1">
        <f>SUM(OSRRefD22_4x_0)</f>
        <v>66.5</v>
      </c>
      <c r="E45" s="1"/>
      <c r="F45" s="5">
        <f t="shared" si="20"/>
        <v>0</v>
      </c>
      <c r="G45" s="1"/>
      <c r="H45" s="1">
        <f>SUM(OSRRefH22_4x_0)</f>
        <v>100</v>
      </c>
      <c r="I45" s="1"/>
      <c r="J45" s="5">
        <f t="shared" si="21"/>
        <v>0</v>
      </c>
      <c r="K45" s="1"/>
      <c r="L45" s="1">
        <f t="shared" si="22"/>
        <v>-33.5</v>
      </c>
      <c r="M45" s="1"/>
      <c r="N45" s="5">
        <f t="shared" si="23"/>
        <v>-0.33500000000000002</v>
      </c>
      <c r="O45" s="14"/>
      <c r="P45" s="1">
        <f>SUM(OSRRefP22_4x_0)</f>
        <v>604.86</v>
      </c>
      <c r="Q45" s="1"/>
      <c r="R45" s="5">
        <f t="shared" si="24"/>
        <v>0</v>
      </c>
      <c r="S45" s="1"/>
      <c r="T45" s="1">
        <f>SUM(OSRRefT22_4x_0)</f>
        <v>600</v>
      </c>
      <c r="U45" s="1"/>
      <c r="V45" s="5">
        <f t="shared" si="25"/>
        <v>0</v>
      </c>
      <c r="W45" s="1"/>
      <c r="X45" s="1">
        <f t="shared" si="26"/>
        <v>4.8600000000000136</v>
      </c>
      <c r="Y45" s="1"/>
      <c r="Z45" s="5">
        <f t="shared" si="27"/>
        <v>8.1000000000000221E-3</v>
      </c>
    </row>
    <row r="46" spans="1:26" s="24" customFormat="1" hidden="1" outlineLevel="2" x14ac:dyDescent="0.25">
      <c r="A46" s="29"/>
      <c r="B46" s="11" t="str">
        <f>CONCATENATE("          ", "6305", " - ", "FREIGHT OUT")</f>
        <v xml:space="preserve">          6305 - FREIGHT OUT</v>
      </c>
      <c r="C46" s="11"/>
      <c r="D46" s="7"/>
      <c r="E46" s="2"/>
      <c r="F46" s="6">
        <f t="shared" si="20"/>
        <v>0</v>
      </c>
      <c r="G46" s="2"/>
      <c r="H46" s="7"/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>
        <v>5.41</v>
      </c>
      <c r="Q46" s="2"/>
      <c r="R46" s="6">
        <f t="shared" si="24"/>
        <v>0</v>
      </c>
      <c r="S46" s="2"/>
      <c r="T46" s="7"/>
      <c r="U46" s="2"/>
      <c r="V46" s="6">
        <f t="shared" si="25"/>
        <v>0</v>
      </c>
      <c r="W46" s="2"/>
      <c r="X46" s="7">
        <f t="shared" si="26"/>
        <v>5.41</v>
      </c>
      <c r="Y46" s="2"/>
      <c r="Z46" s="6">
        <f t="shared" si="27"/>
        <v>0</v>
      </c>
    </row>
    <row r="47" spans="1:26" s="24" customFormat="1" hidden="1" outlineLevel="2" x14ac:dyDescent="0.25">
      <c r="A47" s="29"/>
      <c r="B47" s="11" t="str">
        <f>CONCATENATE("          ", "6307", " - ", "POSTAGE")</f>
        <v xml:space="preserve">          6307 - POSTAGE</v>
      </c>
      <c r="C47" s="11"/>
      <c r="D47" s="7">
        <v>66.5</v>
      </c>
      <c r="E47" s="2"/>
      <c r="F47" s="6">
        <f t="shared" si="20"/>
        <v>0</v>
      </c>
      <c r="G47" s="2"/>
      <c r="H47" s="7">
        <v>100</v>
      </c>
      <c r="I47" s="2"/>
      <c r="J47" s="6">
        <f t="shared" si="21"/>
        <v>0</v>
      </c>
      <c r="K47" s="2"/>
      <c r="L47" s="7">
        <f t="shared" si="22"/>
        <v>-33.5</v>
      </c>
      <c r="M47" s="2"/>
      <c r="N47" s="6">
        <f t="shared" si="23"/>
        <v>-0.33500000000000002</v>
      </c>
      <c r="O47" s="11"/>
      <c r="P47" s="7">
        <v>599.45000000000005</v>
      </c>
      <c r="Q47" s="2"/>
      <c r="R47" s="6">
        <f t="shared" si="24"/>
        <v>0</v>
      </c>
      <c r="S47" s="2"/>
      <c r="T47" s="7">
        <v>600</v>
      </c>
      <c r="U47" s="2"/>
      <c r="V47" s="6">
        <f t="shared" si="25"/>
        <v>0</v>
      </c>
      <c r="W47" s="2"/>
      <c r="X47" s="7">
        <f t="shared" si="26"/>
        <v>-0.54999999999995453</v>
      </c>
      <c r="Y47" s="2"/>
      <c r="Z47" s="6">
        <f t="shared" si="27"/>
        <v>-9.1666666666659086E-4</v>
      </c>
    </row>
    <row r="48" spans="1:26" s="28" customFormat="1" outlineLevel="1" collapsed="1" x14ac:dyDescent="0.25">
      <c r="A48" s="27"/>
      <c r="B48" s="14" t="str">
        <f>CONCATENATE("     ","Insurance                                         ")</f>
        <v xml:space="preserve">     Insurance                                         </v>
      </c>
      <c r="C48" s="14"/>
      <c r="D48" s="1">
        <f>SUM(OSRRefD22_5x_0)</f>
        <v>132.16999999999999</v>
      </c>
      <c r="E48" s="1"/>
      <c r="F48" s="5">
        <f t="shared" ref="F48:F54" si="28">IF(D$12=0,0,D48/D$12)</f>
        <v>0</v>
      </c>
      <c r="G48" s="1"/>
      <c r="H48" s="1">
        <f>SUM(OSRRefH22_5x_0)</f>
        <v>145</v>
      </c>
      <c r="I48" s="1"/>
      <c r="J48" s="5">
        <f t="shared" ref="J48:J54" si="29">IF(H$12=0,0,H48/H$12)</f>
        <v>0</v>
      </c>
      <c r="K48" s="1"/>
      <c r="L48" s="1">
        <f t="shared" ref="L48:L54" si="30">+D48-H48</f>
        <v>-12.830000000000013</v>
      </c>
      <c r="M48" s="1"/>
      <c r="N48" s="5">
        <f t="shared" ref="N48:N54" si="31">IF(H48=0,0,L48/H48)</f>
        <v>-8.8482758620689744E-2</v>
      </c>
      <c r="O48" s="14"/>
      <c r="P48" s="1">
        <f>SUM(OSRRefP22_5x_0)</f>
        <v>793.02</v>
      </c>
      <c r="Q48" s="1"/>
      <c r="R48" s="5">
        <f t="shared" ref="R48:R54" si="32">IF(P$12=0,0,P48/P$12)</f>
        <v>0</v>
      </c>
      <c r="S48" s="1"/>
      <c r="T48" s="1">
        <f>SUM(OSRRefT22_5x_0)</f>
        <v>870</v>
      </c>
      <c r="U48" s="1"/>
      <c r="V48" s="5">
        <f t="shared" ref="V48:V54" si="33">IF(T$12=0,0,T48/T$12)</f>
        <v>0</v>
      </c>
      <c r="W48" s="1"/>
      <c r="X48" s="1">
        <f t="shared" ref="X48:X54" si="34">+P48-T48</f>
        <v>-76.980000000000018</v>
      </c>
      <c r="Y48" s="1"/>
      <c r="Z48" s="5">
        <f t="shared" ref="Z48:Z54" si="35">IF(T48=0,0,X48/T48)</f>
        <v>-8.8482758620689675E-2</v>
      </c>
    </row>
    <row r="49" spans="1:26" s="24" customFormat="1" hidden="1" outlineLevel="2" x14ac:dyDescent="0.25">
      <c r="A49" s="29"/>
      <c r="B49" s="11" t="str">
        <f>CONCATENATE("          ", "6314", " - ", "LIABILITY INSURANCE")</f>
        <v xml:space="preserve">          6314 - LIABILITY INSURANCE</v>
      </c>
      <c r="C49" s="11"/>
      <c r="D49" s="7">
        <v>132.16999999999999</v>
      </c>
      <c r="E49" s="2"/>
      <c r="F49" s="6">
        <f t="shared" si="28"/>
        <v>0</v>
      </c>
      <c r="G49" s="2"/>
      <c r="H49" s="7">
        <v>145</v>
      </c>
      <c r="I49" s="2"/>
      <c r="J49" s="6">
        <f t="shared" si="29"/>
        <v>0</v>
      </c>
      <c r="K49" s="2"/>
      <c r="L49" s="7">
        <f t="shared" si="30"/>
        <v>-12.830000000000013</v>
      </c>
      <c r="M49" s="2"/>
      <c r="N49" s="6">
        <f t="shared" si="31"/>
        <v>-8.8482758620689744E-2</v>
      </c>
      <c r="O49" s="11"/>
      <c r="P49" s="7">
        <v>793.02</v>
      </c>
      <c r="Q49" s="2"/>
      <c r="R49" s="6">
        <f t="shared" si="32"/>
        <v>0</v>
      </c>
      <c r="S49" s="2"/>
      <c r="T49" s="7">
        <v>870</v>
      </c>
      <c r="U49" s="2"/>
      <c r="V49" s="6">
        <f t="shared" si="33"/>
        <v>0</v>
      </c>
      <c r="W49" s="2"/>
      <c r="X49" s="7">
        <f t="shared" si="34"/>
        <v>-76.980000000000018</v>
      </c>
      <c r="Y49" s="2"/>
      <c r="Z49" s="6">
        <f t="shared" si="35"/>
        <v>-8.8482758620689675E-2</v>
      </c>
    </row>
    <row r="50" spans="1:26" s="28" customFormat="1" outlineLevel="1" collapsed="1" x14ac:dyDescent="0.25">
      <c r="A50" s="27"/>
      <c r="B50" s="14" t="str">
        <f>CONCATENATE("     ","Professional Services                             ")</f>
        <v xml:space="preserve">     Professional Services                             </v>
      </c>
      <c r="C50" s="14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250</v>
      </c>
      <c r="I50" s="1"/>
      <c r="J50" s="5">
        <f t="shared" si="29"/>
        <v>0</v>
      </c>
      <c r="K50" s="1"/>
      <c r="L50" s="1">
        <f t="shared" si="30"/>
        <v>-250</v>
      </c>
      <c r="M50" s="1"/>
      <c r="N50" s="5">
        <f t="shared" si="31"/>
        <v>-1</v>
      </c>
      <c r="O50" s="14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1500</v>
      </c>
      <c r="U50" s="1"/>
      <c r="V50" s="5">
        <f t="shared" si="33"/>
        <v>0</v>
      </c>
      <c r="W50" s="1"/>
      <c r="X50" s="1">
        <f t="shared" si="34"/>
        <v>-1500</v>
      </c>
      <c r="Y50" s="1"/>
      <c r="Z50" s="5">
        <f t="shared" si="35"/>
        <v>-1</v>
      </c>
    </row>
    <row r="51" spans="1:26" s="24" customFormat="1" hidden="1" outlineLevel="2" x14ac:dyDescent="0.25">
      <c r="A51" s="29"/>
      <c r="B51" s="11" t="str">
        <f>CONCATENATE("          ", "6332", " - ", "CONSULTANT FEES")</f>
        <v xml:space="preserve">          6332 - CONSULTANT FEES</v>
      </c>
      <c r="C51" s="11"/>
      <c r="D51" s="7"/>
      <c r="E51" s="2"/>
      <c r="F51" s="6">
        <f t="shared" si="28"/>
        <v>0</v>
      </c>
      <c r="G51" s="2"/>
      <c r="H51" s="7">
        <v>250</v>
      </c>
      <c r="I51" s="2"/>
      <c r="J51" s="6">
        <f t="shared" si="29"/>
        <v>0</v>
      </c>
      <c r="K51" s="2"/>
      <c r="L51" s="7">
        <f t="shared" si="30"/>
        <v>-250</v>
      </c>
      <c r="M51" s="2"/>
      <c r="N51" s="6">
        <f t="shared" si="31"/>
        <v>-1</v>
      </c>
      <c r="O51" s="11"/>
      <c r="P51" s="7"/>
      <c r="Q51" s="2"/>
      <c r="R51" s="6">
        <f t="shared" si="32"/>
        <v>0</v>
      </c>
      <c r="S51" s="2"/>
      <c r="T51" s="7">
        <v>1500</v>
      </c>
      <c r="U51" s="2"/>
      <c r="V51" s="6">
        <f t="shared" si="33"/>
        <v>0</v>
      </c>
      <c r="W51" s="2"/>
      <c r="X51" s="7">
        <f t="shared" si="34"/>
        <v>-1500</v>
      </c>
      <c r="Y51" s="2"/>
      <c r="Z51" s="6">
        <f t="shared" si="35"/>
        <v>-1</v>
      </c>
    </row>
    <row r="52" spans="1:26" s="28" customFormat="1" outlineLevel="1" collapsed="1" x14ac:dyDescent="0.25">
      <c r="A52" s="27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SUM(OSRRefD22_7x_0)</f>
        <v>233.10999999999999</v>
      </c>
      <c r="E52" s="1"/>
      <c r="F52" s="5">
        <f t="shared" si="28"/>
        <v>0</v>
      </c>
      <c r="G52" s="1"/>
      <c r="H52" s="1">
        <f>SUM(OSRRefH22_7x_0)</f>
        <v>4510</v>
      </c>
      <c r="I52" s="1"/>
      <c r="J52" s="5">
        <f t="shared" si="29"/>
        <v>0</v>
      </c>
      <c r="K52" s="1"/>
      <c r="L52" s="1">
        <f t="shared" si="30"/>
        <v>-4276.8900000000003</v>
      </c>
      <c r="M52" s="1"/>
      <c r="N52" s="5">
        <f t="shared" si="31"/>
        <v>-0.94831263858093129</v>
      </c>
      <c r="O52" s="14"/>
      <c r="P52" s="1">
        <f>SUM(OSRRefP22_7x_0)</f>
        <v>952.87</v>
      </c>
      <c r="Q52" s="1"/>
      <c r="R52" s="5">
        <f t="shared" si="32"/>
        <v>0</v>
      </c>
      <c r="S52" s="1"/>
      <c r="T52" s="1">
        <f>SUM(OSRRefT22_7x_0)</f>
        <v>4810</v>
      </c>
      <c r="U52" s="1"/>
      <c r="V52" s="5">
        <f t="shared" si="33"/>
        <v>0</v>
      </c>
      <c r="W52" s="1"/>
      <c r="X52" s="1">
        <f t="shared" si="34"/>
        <v>-3857.13</v>
      </c>
      <c r="Y52" s="1"/>
      <c r="Z52" s="5">
        <f t="shared" si="35"/>
        <v>-0.80189812889812895</v>
      </c>
    </row>
    <row r="53" spans="1:26" s="24" customFormat="1" hidden="1" outlineLevel="2" x14ac:dyDescent="0.25">
      <c r="A53" s="29"/>
      <c r="B53" s="11" t="str">
        <f>CONCATENATE("          ", "6371", " - ", "COMPUTER SOFTWARE MAINTENANCE")</f>
        <v xml:space="preserve">          6371 - COMPUTER SOFTWARE MAINTENANCE</v>
      </c>
      <c r="C53" s="11"/>
      <c r="D53" s="7">
        <v>224.95</v>
      </c>
      <c r="E53" s="2"/>
      <c r="F53" s="6">
        <f t="shared" si="28"/>
        <v>0</v>
      </c>
      <c r="G53" s="2"/>
      <c r="H53" s="7">
        <v>60</v>
      </c>
      <c r="I53" s="2"/>
      <c r="J53" s="6">
        <f t="shared" si="29"/>
        <v>0</v>
      </c>
      <c r="K53" s="2"/>
      <c r="L53" s="7">
        <f t="shared" si="30"/>
        <v>164.95</v>
      </c>
      <c r="M53" s="2"/>
      <c r="N53" s="6">
        <f t="shared" si="31"/>
        <v>2.7491666666666665</v>
      </c>
      <c r="O53" s="11"/>
      <c r="P53" s="7">
        <v>895.95</v>
      </c>
      <c r="Q53" s="2"/>
      <c r="R53" s="6">
        <f t="shared" si="32"/>
        <v>0</v>
      </c>
      <c r="S53" s="2"/>
      <c r="T53" s="7">
        <v>360</v>
      </c>
      <c r="U53" s="2"/>
      <c r="V53" s="6">
        <f t="shared" si="33"/>
        <v>0</v>
      </c>
      <c r="W53" s="2"/>
      <c r="X53" s="7">
        <f t="shared" si="34"/>
        <v>535.95000000000005</v>
      </c>
      <c r="Y53" s="2"/>
      <c r="Z53" s="6">
        <f t="shared" si="35"/>
        <v>1.48875</v>
      </c>
    </row>
    <row r="54" spans="1:26" s="24" customFormat="1" hidden="1" outlineLevel="2" x14ac:dyDescent="0.25">
      <c r="A54" s="29"/>
      <c r="B54" s="11" t="str">
        <f>CONCATENATE("          ", "6373", " - ", "MAINTENANCE CONTRACTS")</f>
        <v xml:space="preserve">          6373 - MAINTENANCE CONTRACTS</v>
      </c>
      <c r="C54" s="11"/>
      <c r="D54" s="7">
        <v>8.16</v>
      </c>
      <c r="E54" s="2"/>
      <c r="F54" s="6">
        <f t="shared" si="28"/>
        <v>0</v>
      </c>
      <c r="G54" s="2"/>
      <c r="H54" s="7">
        <v>4450</v>
      </c>
      <c r="I54" s="2"/>
      <c r="J54" s="6">
        <f t="shared" si="29"/>
        <v>0</v>
      </c>
      <c r="K54" s="2"/>
      <c r="L54" s="7">
        <f t="shared" si="30"/>
        <v>-4441.84</v>
      </c>
      <c r="M54" s="2"/>
      <c r="N54" s="6">
        <f t="shared" si="31"/>
        <v>-0.99816629213483155</v>
      </c>
      <c r="O54" s="11"/>
      <c r="P54" s="7">
        <v>56.92</v>
      </c>
      <c r="Q54" s="2"/>
      <c r="R54" s="6">
        <f t="shared" si="32"/>
        <v>0</v>
      </c>
      <c r="S54" s="2"/>
      <c r="T54" s="7">
        <v>4450</v>
      </c>
      <c r="U54" s="2"/>
      <c r="V54" s="6">
        <f t="shared" si="33"/>
        <v>0</v>
      </c>
      <c r="W54" s="2"/>
      <c r="X54" s="7">
        <f t="shared" si="34"/>
        <v>-4393.08</v>
      </c>
      <c r="Y54" s="2"/>
      <c r="Z54" s="6">
        <f t="shared" si="35"/>
        <v>-0.98720898876404495</v>
      </c>
    </row>
    <row r="55" spans="1:26" s="28" customFormat="1" outlineLevel="1" collapsed="1" x14ac:dyDescent="0.25">
      <c r="A55" s="27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SUM(OSRRefD22_8x_0)</f>
        <v>512.48</v>
      </c>
      <c r="E55" s="1"/>
      <c r="F55" s="5">
        <f t="shared" ref="F55:F60" si="36">IF(D$12=0,0,D55/D$12)</f>
        <v>0</v>
      </c>
      <c r="G55" s="1"/>
      <c r="H55" s="1">
        <f>SUM(OSRRefH22_8x_0)</f>
        <v>500</v>
      </c>
      <c r="I55" s="1"/>
      <c r="J55" s="5">
        <f t="shared" ref="J55:J60" si="37">IF(H$12=0,0,H55/H$12)</f>
        <v>0</v>
      </c>
      <c r="K55" s="1"/>
      <c r="L55" s="1">
        <f t="shared" ref="L55:L60" si="38">+D55-H55</f>
        <v>12.480000000000018</v>
      </c>
      <c r="M55" s="1"/>
      <c r="N55" s="5">
        <f t="shared" ref="N55:N60" si="39">IF(H55=0,0,L55/H55)</f>
        <v>2.4960000000000038E-2</v>
      </c>
      <c r="O55" s="14"/>
      <c r="P55" s="1">
        <f>SUM(OSRRefP22_8x_0)</f>
        <v>3074.88</v>
      </c>
      <c r="Q55" s="1"/>
      <c r="R55" s="5">
        <f t="shared" ref="R55:R60" si="40">IF(P$12=0,0,P55/P$12)</f>
        <v>0</v>
      </c>
      <c r="S55" s="1"/>
      <c r="T55" s="1">
        <f>SUM(OSRRefT22_8x_0)</f>
        <v>3000</v>
      </c>
      <c r="U55" s="1"/>
      <c r="V55" s="5">
        <f t="shared" ref="V55:V60" si="41">IF(T$12=0,0,T55/T$12)</f>
        <v>0</v>
      </c>
      <c r="W55" s="1"/>
      <c r="X55" s="1">
        <f t="shared" ref="X55:X60" si="42">+P55-T55</f>
        <v>74.880000000000109</v>
      </c>
      <c r="Y55" s="1"/>
      <c r="Z55" s="5">
        <f t="shared" ref="Z55:Z60" si="43">IF(T55=0,0,X55/T55)</f>
        <v>2.4960000000000038E-2</v>
      </c>
    </row>
    <row r="56" spans="1:26" s="24" customFormat="1" hidden="1" outlineLevel="2" x14ac:dyDescent="0.25">
      <c r="A56" s="29"/>
      <c r="B56" s="11" t="str">
        <f>CONCATENATE("          ", "6281", " - ", "STORAGE FEE")</f>
        <v xml:space="preserve">          6281 - STORAGE FEE</v>
      </c>
      <c r="C56" s="11"/>
      <c r="D56" s="7">
        <v>512.48</v>
      </c>
      <c r="E56" s="2"/>
      <c r="F56" s="6">
        <f t="shared" si="36"/>
        <v>0</v>
      </c>
      <c r="G56" s="2"/>
      <c r="H56" s="7">
        <v>500</v>
      </c>
      <c r="I56" s="2"/>
      <c r="J56" s="6">
        <f t="shared" si="37"/>
        <v>0</v>
      </c>
      <c r="K56" s="2"/>
      <c r="L56" s="7">
        <f t="shared" si="38"/>
        <v>12.480000000000018</v>
      </c>
      <c r="M56" s="2"/>
      <c r="N56" s="6">
        <f t="shared" si="39"/>
        <v>2.4960000000000038E-2</v>
      </c>
      <c r="O56" s="11"/>
      <c r="P56" s="7">
        <v>3074.88</v>
      </c>
      <c r="Q56" s="2"/>
      <c r="R56" s="6">
        <f t="shared" si="40"/>
        <v>0</v>
      </c>
      <c r="S56" s="2"/>
      <c r="T56" s="7">
        <v>3000</v>
      </c>
      <c r="U56" s="2"/>
      <c r="V56" s="6">
        <f t="shared" si="41"/>
        <v>0</v>
      </c>
      <c r="W56" s="2"/>
      <c r="X56" s="7">
        <f t="shared" si="42"/>
        <v>74.880000000000109</v>
      </c>
      <c r="Y56" s="2"/>
      <c r="Z56" s="6">
        <f t="shared" si="43"/>
        <v>2.4960000000000038E-2</v>
      </c>
    </row>
    <row r="57" spans="1:26" s="28" customFormat="1" outlineLevel="1" collapsed="1" x14ac:dyDescent="0.25">
      <c r="A57" s="27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SUM(OSRRefD22_9x_0)</f>
        <v>68.849999999999994</v>
      </c>
      <c r="E57" s="1"/>
      <c r="F57" s="5">
        <f t="shared" si="36"/>
        <v>0</v>
      </c>
      <c r="G57" s="1"/>
      <c r="H57" s="1">
        <f>SUM(OSRRefH22_9x_0)</f>
        <v>200</v>
      </c>
      <c r="I57" s="1"/>
      <c r="J57" s="5">
        <f t="shared" si="37"/>
        <v>0</v>
      </c>
      <c r="K57" s="1"/>
      <c r="L57" s="1">
        <f t="shared" si="38"/>
        <v>-131.15</v>
      </c>
      <c r="M57" s="1"/>
      <c r="N57" s="5">
        <f t="shared" si="39"/>
        <v>-0.65575000000000006</v>
      </c>
      <c r="O57" s="14"/>
      <c r="P57" s="1">
        <f>SUM(OSRRefP22_9x_0)</f>
        <v>782.8900000000001</v>
      </c>
      <c r="Q57" s="1"/>
      <c r="R57" s="5">
        <f t="shared" si="40"/>
        <v>0</v>
      </c>
      <c r="S57" s="1"/>
      <c r="T57" s="1">
        <f>SUM(OSRRefT22_9x_0)</f>
        <v>10784</v>
      </c>
      <c r="U57" s="1"/>
      <c r="V57" s="5">
        <f t="shared" si="41"/>
        <v>0</v>
      </c>
      <c r="W57" s="1"/>
      <c r="X57" s="1">
        <f t="shared" si="42"/>
        <v>-10001.11</v>
      </c>
      <c r="Y57" s="1"/>
      <c r="Z57" s="5">
        <f t="shared" si="43"/>
        <v>-0.92740263353115737</v>
      </c>
    </row>
    <row r="58" spans="1:26" s="24" customFormat="1" hidden="1" outlineLevel="2" x14ac:dyDescent="0.25">
      <c r="A58" s="29"/>
      <c r="B58" s="11" t="str">
        <f>CONCATENATE("          ", "6234", " - ", "EXPENDABLE SUPPLIES &amp; EQUIPMEN")</f>
        <v xml:space="preserve">          6234 - EXPENDABLE SUPPLIES &amp; EQUIPMEN</v>
      </c>
      <c r="C58" s="11"/>
      <c r="D58" s="7"/>
      <c r="E58" s="2"/>
      <c r="F58" s="6">
        <f t="shared" si="36"/>
        <v>0</v>
      </c>
      <c r="G58" s="2"/>
      <c r="H58" s="7"/>
      <c r="I58" s="2"/>
      <c r="J58" s="6">
        <f t="shared" si="37"/>
        <v>0</v>
      </c>
      <c r="K58" s="2"/>
      <c r="L58" s="7">
        <f t="shared" si="38"/>
        <v>0</v>
      </c>
      <c r="M58" s="2"/>
      <c r="N58" s="6">
        <f t="shared" si="39"/>
        <v>0</v>
      </c>
      <c r="O58" s="11"/>
      <c r="P58" s="7"/>
      <c r="Q58" s="2"/>
      <c r="R58" s="6">
        <f t="shared" si="40"/>
        <v>0</v>
      </c>
      <c r="S58" s="2"/>
      <c r="T58" s="7">
        <v>9584</v>
      </c>
      <c r="U58" s="2"/>
      <c r="V58" s="6">
        <f t="shared" si="41"/>
        <v>0</v>
      </c>
      <c r="W58" s="2"/>
      <c r="X58" s="7">
        <f t="shared" si="42"/>
        <v>-9584</v>
      </c>
      <c r="Y58" s="2"/>
      <c r="Z58" s="6">
        <f t="shared" si="43"/>
        <v>-1</v>
      </c>
    </row>
    <row r="59" spans="1:26" s="24" customFormat="1" hidden="1" outlineLevel="2" x14ac:dyDescent="0.25">
      <c r="A59" s="29"/>
      <c r="B59" s="11" t="str">
        <f>CONCATENATE("          ", "6235", " - ", "COVID-19 EXPENSES")</f>
        <v xml:space="preserve">          6235 - COVID-19 EXPENSES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>
        <v>426.66</v>
      </c>
      <c r="Q59" s="2"/>
      <c r="R59" s="6">
        <f t="shared" si="40"/>
        <v>0</v>
      </c>
      <c r="S59" s="2"/>
      <c r="T59" s="7"/>
      <c r="U59" s="2"/>
      <c r="V59" s="6">
        <f t="shared" si="41"/>
        <v>0</v>
      </c>
      <c r="W59" s="2"/>
      <c r="X59" s="7">
        <f t="shared" si="42"/>
        <v>426.66</v>
      </c>
      <c r="Y59" s="2"/>
      <c r="Z59" s="6">
        <f t="shared" si="43"/>
        <v>0</v>
      </c>
    </row>
    <row r="60" spans="1:26" s="24" customFormat="1" hidden="1" outlineLevel="2" x14ac:dyDescent="0.25">
      <c r="A60" s="29"/>
      <c r="B60" s="11" t="str">
        <f>CONCATENATE("          ", "6241", " - ", "OFFICE EXPENSE")</f>
        <v xml:space="preserve">          6241 - OFFICE EXPENSE</v>
      </c>
      <c r="C60" s="11"/>
      <c r="D60" s="7">
        <v>68.849999999999994</v>
      </c>
      <c r="E60" s="2"/>
      <c r="F60" s="6">
        <f t="shared" si="36"/>
        <v>0</v>
      </c>
      <c r="G60" s="2"/>
      <c r="H60" s="7">
        <v>200</v>
      </c>
      <c r="I60" s="2"/>
      <c r="J60" s="6">
        <f t="shared" si="37"/>
        <v>0</v>
      </c>
      <c r="K60" s="2"/>
      <c r="L60" s="7">
        <f t="shared" si="38"/>
        <v>-131.15</v>
      </c>
      <c r="M60" s="2"/>
      <c r="N60" s="6">
        <f t="shared" si="39"/>
        <v>-0.65575000000000006</v>
      </c>
      <c r="O60" s="11"/>
      <c r="P60" s="7">
        <v>356.23</v>
      </c>
      <c r="Q60" s="2"/>
      <c r="R60" s="6">
        <f t="shared" si="40"/>
        <v>0</v>
      </c>
      <c r="S60" s="2"/>
      <c r="T60" s="7">
        <v>1200</v>
      </c>
      <c r="U60" s="2"/>
      <c r="V60" s="6">
        <f t="shared" si="41"/>
        <v>0</v>
      </c>
      <c r="W60" s="2"/>
      <c r="X60" s="7">
        <f t="shared" si="42"/>
        <v>-843.77</v>
      </c>
      <c r="Y60" s="2"/>
      <c r="Z60" s="6">
        <f t="shared" si="43"/>
        <v>-0.70314166666666666</v>
      </c>
    </row>
    <row r="61" spans="1:26" s="28" customFormat="1" outlineLevel="1" collapsed="1" x14ac:dyDescent="0.25">
      <c r="A61" s="27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SUM(OSRRefD22_10x_0)</f>
        <v>414.15</v>
      </c>
      <c r="E61" s="1"/>
      <c r="F61" s="5">
        <f t="shared" ref="F61:F66" si="44">IF(D$12=0,0,D61/D$12)</f>
        <v>0</v>
      </c>
      <c r="G61" s="1"/>
      <c r="H61" s="1">
        <f>SUM(OSRRefH22_10x_0)</f>
        <v>375</v>
      </c>
      <c r="I61" s="1"/>
      <c r="J61" s="5">
        <f t="shared" ref="J61:J66" si="45">IF(H$12=0,0,H61/H$12)</f>
        <v>0</v>
      </c>
      <c r="K61" s="1"/>
      <c r="L61" s="1">
        <f t="shared" ref="L61:L66" si="46">+D61-H61</f>
        <v>39.149999999999977</v>
      </c>
      <c r="M61" s="1"/>
      <c r="N61" s="5">
        <f t="shared" ref="N61:N66" si="47">IF(H61=0,0,L61/H61)</f>
        <v>0.10439999999999994</v>
      </c>
      <c r="O61" s="14"/>
      <c r="P61" s="1">
        <f>SUM(OSRRefP22_10x_0)</f>
        <v>2520.0500000000002</v>
      </c>
      <c r="Q61" s="1"/>
      <c r="R61" s="5">
        <f t="shared" ref="R61:R66" si="48">IF(P$12=0,0,P61/P$12)</f>
        <v>0</v>
      </c>
      <c r="S61" s="1"/>
      <c r="T61" s="1">
        <f>SUM(OSRRefT22_10x_0)</f>
        <v>2250</v>
      </c>
      <c r="U61" s="1"/>
      <c r="V61" s="5">
        <f t="shared" ref="V61:V66" si="49">IF(T$12=0,0,T61/T$12)</f>
        <v>0</v>
      </c>
      <c r="W61" s="1"/>
      <c r="X61" s="1">
        <f t="shared" ref="X61:X66" si="50">+P61-T61</f>
        <v>270.05000000000018</v>
      </c>
      <c r="Y61" s="1"/>
      <c r="Z61" s="5">
        <f t="shared" ref="Z61:Z66" si="51">IF(T61=0,0,X61/T61)</f>
        <v>0.12002222222222231</v>
      </c>
    </row>
    <row r="62" spans="1:26" s="24" customFormat="1" hidden="1" outlineLevel="2" x14ac:dyDescent="0.25">
      <c r="A62" s="29"/>
      <c r="B62" s="11" t="str">
        <f>CONCATENATE("          ", "6309", " - ", "TELEPHONE")</f>
        <v xml:space="preserve">          6309 - TELEPHONE</v>
      </c>
      <c r="C62" s="11"/>
      <c r="D62" s="7">
        <v>414.15</v>
      </c>
      <c r="E62" s="2"/>
      <c r="F62" s="6">
        <f t="shared" si="44"/>
        <v>0</v>
      </c>
      <c r="G62" s="2"/>
      <c r="H62" s="7">
        <v>375</v>
      </c>
      <c r="I62" s="2"/>
      <c r="J62" s="6">
        <f t="shared" si="45"/>
        <v>0</v>
      </c>
      <c r="K62" s="2"/>
      <c r="L62" s="7">
        <f t="shared" si="46"/>
        <v>39.149999999999977</v>
      </c>
      <c r="M62" s="2"/>
      <c r="N62" s="6">
        <f t="shared" si="47"/>
        <v>0.10439999999999994</v>
      </c>
      <c r="O62" s="11"/>
      <c r="P62" s="7">
        <v>2520.0500000000002</v>
      </c>
      <c r="Q62" s="2"/>
      <c r="R62" s="6">
        <f t="shared" si="48"/>
        <v>0</v>
      </c>
      <c r="S62" s="2"/>
      <c r="T62" s="7">
        <v>2250</v>
      </c>
      <c r="U62" s="2"/>
      <c r="V62" s="6">
        <f t="shared" si="49"/>
        <v>0</v>
      </c>
      <c r="W62" s="2"/>
      <c r="X62" s="7">
        <f t="shared" si="50"/>
        <v>270.05000000000018</v>
      </c>
      <c r="Y62" s="2"/>
      <c r="Z62" s="6">
        <f t="shared" si="51"/>
        <v>0.12002222222222231</v>
      </c>
    </row>
    <row r="63" spans="1:26" s="28" customFormat="1" outlineLevel="1" collapsed="1" x14ac:dyDescent="0.25">
      <c r="A63" s="27"/>
      <c r="B63" s="14" t="str">
        <f>CONCATENATE("     ","Training                                          ")</f>
        <v xml:space="preserve">     Training                                          </v>
      </c>
      <c r="C63" s="14"/>
      <c r="D63" s="1">
        <f>SUM(OSRRefD22_11x_0)</f>
        <v>150</v>
      </c>
      <c r="E63" s="1"/>
      <c r="F63" s="5">
        <f t="shared" si="44"/>
        <v>0</v>
      </c>
      <c r="G63" s="1"/>
      <c r="H63" s="1">
        <f>SUM(OSRRefH22_11x_0)</f>
        <v>250</v>
      </c>
      <c r="I63" s="1"/>
      <c r="J63" s="5">
        <f t="shared" si="45"/>
        <v>0</v>
      </c>
      <c r="K63" s="1"/>
      <c r="L63" s="1">
        <f t="shared" si="46"/>
        <v>-100</v>
      </c>
      <c r="M63" s="1"/>
      <c r="N63" s="5">
        <f t="shared" si="47"/>
        <v>-0.4</v>
      </c>
      <c r="O63" s="14"/>
      <c r="P63" s="1">
        <f>SUM(OSRRefP22_11x_0)</f>
        <v>548</v>
      </c>
      <c r="Q63" s="1"/>
      <c r="R63" s="5">
        <f t="shared" si="48"/>
        <v>0</v>
      </c>
      <c r="S63" s="1"/>
      <c r="T63" s="1">
        <f>SUM(OSRRefT22_11x_0)</f>
        <v>1250</v>
      </c>
      <c r="U63" s="1"/>
      <c r="V63" s="5">
        <f t="shared" si="49"/>
        <v>0</v>
      </c>
      <c r="W63" s="1"/>
      <c r="X63" s="1">
        <f t="shared" si="50"/>
        <v>-702</v>
      </c>
      <c r="Y63" s="1"/>
      <c r="Z63" s="5">
        <f t="shared" si="51"/>
        <v>-0.56159999999999999</v>
      </c>
    </row>
    <row r="64" spans="1:26" s="24" customFormat="1" hidden="1" outlineLevel="2" x14ac:dyDescent="0.25">
      <c r="A64" s="29"/>
      <c r="B64" s="11" t="str">
        <f>CONCATENATE("          ", "6376", " - ", "TRAINING")</f>
        <v xml:space="preserve">          6376 - TRAINING</v>
      </c>
      <c r="C64" s="11"/>
      <c r="D64" s="7">
        <v>150</v>
      </c>
      <c r="E64" s="2"/>
      <c r="F64" s="6">
        <f t="shared" si="44"/>
        <v>0</v>
      </c>
      <c r="G64" s="2"/>
      <c r="H64" s="7">
        <v>250</v>
      </c>
      <c r="I64" s="2"/>
      <c r="J64" s="6">
        <f t="shared" si="45"/>
        <v>0</v>
      </c>
      <c r="K64" s="2"/>
      <c r="L64" s="7">
        <f t="shared" si="46"/>
        <v>-100</v>
      </c>
      <c r="M64" s="2"/>
      <c r="N64" s="6">
        <f t="shared" si="47"/>
        <v>-0.4</v>
      </c>
      <c r="O64" s="11"/>
      <c r="P64" s="7">
        <v>548</v>
      </c>
      <c r="Q64" s="2"/>
      <c r="R64" s="6">
        <f t="shared" si="48"/>
        <v>0</v>
      </c>
      <c r="S64" s="2"/>
      <c r="T64" s="7">
        <v>1250</v>
      </c>
      <c r="U64" s="2"/>
      <c r="V64" s="6">
        <f t="shared" si="49"/>
        <v>0</v>
      </c>
      <c r="W64" s="2"/>
      <c r="X64" s="7">
        <f t="shared" si="50"/>
        <v>-702</v>
      </c>
      <c r="Y64" s="2"/>
      <c r="Z64" s="6">
        <f t="shared" si="51"/>
        <v>-0.56159999999999999</v>
      </c>
    </row>
    <row r="65" spans="1:26" s="28" customFormat="1" outlineLevel="1" collapsed="1" x14ac:dyDescent="0.25">
      <c r="A65" s="27"/>
      <c r="B65" s="14" t="str">
        <f>CONCATENATE("     ","Travel                                            ")</f>
        <v xml:space="preserve">     Travel                                            </v>
      </c>
      <c r="C65" s="14"/>
      <c r="D65" s="1">
        <f>SUM(OSRRefD22_12x_0)</f>
        <v>0</v>
      </c>
      <c r="E65" s="1"/>
      <c r="F65" s="5">
        <f t="shared" si="44"/>
        <v>0</v>
      </c>
      <c r="G65" s="1"/>
      <c r="H65" s="1">
        <f>SUM(OSRRefH22_12x_0)</f>
        <v>0</v>
      </c>
      <c r="I65" s="1"/>
      <c r="J65" s="5">
        <f t="shared" si="45"/>
        <v>0</v>
      </c>
      <c r="K65" s="1"/>
      <c r="L65" s="1">
        <f t="shared" si="46"/>
        <v>0</v>
      </c>
      <c r="M65" s="1"/>
      <c r="N65" s="5">
        <f t="shared" si="47"/>
        <v>0</v>
      </c>
      <c r="O65" s="14"/>
      <c r="P65" s="1">
        <f>SUM(OSRRefP22_12x_0)</f>
        <v>46.62</v>
      </c>
      <c r="Q65" s="1"/>
      <c r="R65" s="5">
        <f t="shared" si="48"/>
        <v>0</v>
      </c>
      <c r="S65" s="1"/>
      <c r="T65" s="1">
        <f>SUM(OSRRefT22_12x_0)</f>
        <v>0</v>
      </c>
      <c r="U65" s="1"/>
      <c r="V65" s="5">
        <f t="shared" si="49"/>
        <v>0</v>
      </c>
      <c r="W65" s="1"/>
      <c r="X65" s="1">
        <f t="shared" si="50"/>
        <v>46.62</v>
      </c>
      <c r="Y65" s="1"/>
      <c r="Z65" s="5">
        <f t="shared" si="51"/>
        <v>0</v>
      </c>
    </row>
    <row r="66" spans="1:26" s="24" customFormat="1" hidden="1" outlineLevel="2" x14ac:dyDescent="0.25">
      <c r="A66" s="29"/>
      <c r="B66" s="11" t="str">
        <f>CONCATENATE("          ", "6294", " - ", "TRAVEL OPERATIONAL")</f>
        <v xml:space="preserve">          6294 - TRAVEL OPERATIONAL</v>
      </c>
      <c r="C66" s="11"/>
      <c r="D66" s="7"/>
      <c r="E66" s="2"/>
      <c r="F66" s="6">
        <f t="shared" si="44"/>
        <v>0</v>
      </c>
      <c r="G66" s="2"/>
      <c r="H66" s="7"/>
      <c r="I66" s="2"/>
      <c r="J66" s="6">
        <f t="shared" si="45"/>
        <v>0</v>
      </c>
      <c r="K66" s="2"/>
      <c r="L66" s="7">
        <f t="shared" si="46"/>
        <v>0</v>
      </c>
      <c r="M66" s="2"/>
      <c r="N66" s="6">
        <f t="shared" si="47"/>
        <v>0</v>
      </c>
      <c r="O66" s="11"/>
      <c r="P66" s="7">
        <v>46.62</v>
      </c>
      <c r="Q66" s="2"/>
      <c r="R66" s="6">
        <f t="shared" si="48"/>
        <v>0</v>
      </c>
      <c r="S66" s="2"/>
      <c r="T66" s="7"/>
      <c r="U66" s="2"/>
      <c r="V66" s="6">
        <f t="shared" si="49"/>
        <v>0</v>
      </c>
      <c r="W66" s="2"/>
      <c r="X66" s="7">
        <f t="shared" si="50"/>
        <v>46.62</v>
      </c>
      <c r="Y66" s="2"/>
      <c r="Z66" s="6">
        <f t="shared" si="51"/>
        <v>0</v>
      </c>
    </row>
    <row r="67" spans="1:26" s="53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25">
      <c r="A68" s="10"/>
      <c r="B68" s="26" t="s">
        <v>0</v>
      </c>
      <c r="C68" s="10"/>
      <c r="D68" s="4">
        <f>SUM(OSRRefD25x_0)</f>
        <v>0</v>
      </c>
      <c r="E68" s="4"/>
      <c r="F68" s="12">
        <f t="shared" ref="F68:F71" si="52">IF(D$12=0,0,D68/D$12)</f>
        <v>0</v>
      </c>
      <c r="G68" s="4"/>
      <c r="H68" s="4">
        <f>SUM(OSRRefH25x_0)</f>
        <v>0</v>
      </c>
      <c r="I68" s="4"/>
      <c r="J68" s="12">
        <f t="shared" ref="J68:J71" si="53">IF(H$12=0,0,H68/H$12)</f>
        <v>0</v>
      </c>
      <c r="K68" s="4"/>
      <c r="L68" s="4">
        <f t="shared" ref="L68:L71" si="54">+D68-H68</f>
        <v>0</v>
      </c>
      <c r="M68" s="4"/>
      <c r="N68" s="12">
        <f t="shared" ref="N68:N71" si="55">IF(H68=0,0,L68/H68)</f>
        <v>0</v>
      </c>
      <c r="O68" s="10"/>
      <c r="P68" s="4">
        <f>SUM(OSRRefP25x_0)</f>
        <v>0</v>
      </c>
      <c r="Q68" s="4"/>
      <c r="R68" s="12">
        <f t="shared" ref="R68:R71" si="56">IF(P$12=0,0,P68/P$12)</f>
        <v>0</v>
      </c>
      <c r="S68" s="4"/>
      <c r="T68" s="4">
        <f>SUM(OSRRefT25x_0)</f>
        <v>0</v>
      </c>
      <c r="U68" s="4"/>
      <c r="V68" s="12">
        <f t="shared" ref="V68:V71" si="57">IF(T$12=0,0,T68/T$12)</f>
        <v>0</v>
      </c>
      <c r="W68" s="4"/>
      <c r="X68" s="4">
        <f t="shared" ref="X68:X71" si="58">+P68-T68</f>
        <v>0</v>
      </c>
      <c r="Y68" s="4"/>
      <c r="Z68" s="12">
        <f t="shared" ref="Z68:Z71" si="59">IF(T68=0,0,X68/T68)</f>
        <v>0</v>
      </c>
    </row>
    <row r="69" spans="1:26" s="24" customFormat="1" hidden="1" outlineLevel="1" x14ac:dyDescent="0.25">
      <c r="A69" s="51"/>
      <c r="B69" s="11" t="str">
        <f>CONCATENATE("          ", "9150", " - ", "MISC. INCOME")</f>
        <v xml:space="preserve">          9150 - MISC. INCOME</v>
      </c>
      <c r="C69" s="11"/>
      <c r="D69" s="2">
        <f t="shared" ref="D69:D71" si="60">0</f>
        <v>0</v>
      </c>
      <c r="E69" s="2"/>
      <c r="F69" s="22">
        <f t="shared" si="52"/>
        <v>0</v>
      </c>
      <c r="G69" s="2"/>
      <c r="H69" s="2"/>
      <c r="I69" s="2"/>
      <c r="J69" s="22">
        <f t="shared" si="53"/>
        <v>0</v>
      </c>
      <c r="K69" s="2"/>
      <c r="L69" s="2">
        <f t="shared" si="54"/>
        <v>0</v>
      </c>
      <c r="M69" s="2"/>
      <c r="N69" s="22">
        <f t="shared" si="55"/>
        <v>0</v>
      </c>
      <c r="O69" s="11"/>
      <c r="P69" s="2">
        <f t="shared" ref="P69:P71" si="61">0</f>
        <v>0</v>
      </c>
      <c r="Q69" s="2"/>
      <c r="R69" s="22">
        <f t="shared" si="56"/>
        <v>0</v>
      </c>
      <c r="S69" s="2"/>
      <c r="T69" s="2">
        <v>0</v>
      </c>
      <c r="U69" s="2"/>
      <c r="V69" s="22">
        <f t="shared" si="57"/>
        <v>0</v>
      </c>
      <c r="W69" s="2"/>
      <c r="X69" s="2">
        <f t="shared" si="58"/>
        <v>0</v>
      </c>
      <c r="Y69" s="2"/>
      <c r="Z69" s="22">
        <f t="shared" si="59"/>
        <v>0</v>
      </c>
    </row>
    <row r="70" spans="1:26" s="24" customFormat="1" hidden="1" outlineLevel="1" x14ac:dyDescent="0.25">
      <c r="A70" s="51"/>
      <c r="B70" s="11" t="str">
        <f>CONCATENATE("          ", "9151", " - ", "MISC. INCOME")</f>
        <v xml:space="preserve">          9151 - MISC. INCOME</v>
      </c>
      <c r="C70" s="11"/>
      <c r="D70" s="2">
        <f t="shared" si="60"/>
        <v>0</v>
      </c>
      <c r="E70" s="2"/>
      <c r="F70" s="22">
        <f t="shared" si="52"/>
        <v>0</v>
      </c>
      <c r="G70" s="2"/>
      <c r="H70" s="2"/>
      <c r="I70" s="2"/>
      <c r="J70" s="22">
        <f t="shared" si="53"/>
        <v>0</v>
      </c>
      <c r="K70" s="2"/>
      <c r="L70" s="2">
        <f t="shared" si="54"/>
        <v>0</v>
      </c>
      <c r="M70" s="2"/>
      <c r="N70" s="22">
        <f t="shared" si="55"/>
        <v>0</v>
      </c>
      <c r="O70" s="11"/>
      <c r="P70" s="2">
        <f t="shared" si="61"/>
        <v>0</v>
      </c>
      <c r="Q70" s="2"/>
      <c r="R70" s="22">
        <f t="shared" si="56"/>
        <v>0</v>
      </c>
      <c r="S70" s="2"/>
      <c r="T70" s="2">
        <v>0</v>
      </c>
      <c r="U70" s="2"/>
      <c r="V70" s="22">
        <f t="shared" si="57"/>
        <v>0</v>
      </c>
      <c r="W70" s="2"/>
      <c r="X70" s="2">
        <f t="shared" si="58"/>
        <v>0</v>
      </c>
      <c r="Y70" s="2"/>
      <c r="Z70" s="22">
        <f t="shared" si="59"/>
        <v>0</v>
      </c>
    </row>
    <row r="71" spans="1:26" s="24" customFormat="1" hidden="1" outlineLevel="1" x14ac:dyDescent="0.25">
      <c r="A71" s="51"/>
      <c r="B71" s="11" t="str">
        <f>CONCATENATE("          ", "9160", " - ", "MISC. INCOME")</f>
        <v xml:space="preserve">          9160 - MISC. INCOME</v>
      </c>
      <c r="C71" s="11"/>
      <c r="D71" s="2">
        <f t="shared" si="60"/>
        <v>0</v>
      </c>
      <c r="E71" s="2"/>
      <c r="F71" s="22">
        <f t="shared" si="52"/>
        <v>0</v>
      </c>
      <c r="G71" s="2"/>
      <c r="H71" s="2"/>
      <c r="I71" s="2"/>
      <c r="J71" s="22">
        <f t="shared" si="53"/>
        <v>0</v>
      </c>
      <c r="K71" s="2"/>
      <c r="L71" s="2">
        <f t="shared" si="54"/>
        <v>0</v>
      </c>
      <c r="M71" s="2"/>
      <c r="N71" s="22">
        <f t="shared" si="55"/>
        <v>0</v>
      </c>
      <c r="O71" s="11"/>
      <c r="P71" s="2">
        <f t="shared" si="61"/>
        <v>0</v>
      </c>
      <c r="Q71" s="2"/>
      <c r="R71" s="22">
        <f t="shared" si="56"/>
        <v>0</v>
      </c>
      <c r="S71" s="2"/>
      <c r="T71" s="2">
        <v>0</v>
      </c>
      <c r="U71" s="2"/>
      <c r="V71" s="22">
        <f t="shared" si="57"/>
        <v>0</v>
      </c>
      <c r="W71" s="2"/>
      <c r="X71" s="2">
        <f t="shared" si="58"/>
        <v>0</v>
      </c>
      <c r="Y71" s="2"/>
      <c r="Z71" s="22">
        <f t="shared" si="59"/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5" t="s">
        <v>3</v>
      </c>
      <c r="C73" s="25"/>
      <c r="D73" s="21">
        <f>+D17-D19+D68</f>
        <v>-34402.75</v>
      </c>
      <c r="E73" s="13"/>
      <c r="F73" s="19">
        <f>IF(D$12=0,0,D73/D$12)</f>
        <v>0</v>
      </c>
      <c r="G73" s="13"/>
      <c r="H73" s="21">
        <f>+H17-H19+H68</f>
        <v>-39956.791615384667</v>
      </c>
      <c r="I73" s="13"/>
      <c r="J73" s="19">
        <f>IF(H$12=0,0,H73/H$12)</f>
        <v>0</v>
      </c>
      <c r="K73" s="16"/>
      <c r="L73" s="21">
        <f>+D73-H73</f>
        <v>5554.0416153846672</v>
      </c>
      <c r="M73" s="16"/>
      <c r="N73" s="19">
        <f>IF(H73=0,0,L73/H73)</f>
        <v>-0.13900119080747664</v>
      </c>
      <c r="O73" s="26"/>
      <c r="P73" s="21">
        <f>+P17-P19+P68</f>
        <v>-224997.35000000003</v>
      </c>
      <c r="Q73" s="13"/>
      <c r="R73" s="19">
        <f>IF(P$12=0,0,P73/P$12)</f>
        <v>0</v>
      </c>
      <c r="S73" s="13"/>
      <c r="T73" s="21">
        <f>+T17-T19+T68</f>
        <v>-237367.97550000023</v>
      </c>
      <c r="U73" s="13"/>
      <c r="V73" s="19">
        <f>IF(T$12=0,0,T73/T$12)</f>
        <v>0</v>
      </c>
      <c r="W73" s="16"/>
      <c r="X73" s="21">
        <f>+P73-T73</f>
        <v>12370.625500000198</v>
      </c>
      <c r="Y73" s="16"/>
      <c r="Z73" s="19">
        <f>IF(T73=0,0,X73/T73)</f>
        <v>-5.2115815008078825E-2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2"/>
      <c r="B75" s="10" t="s">
        <v>14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5" t="s">
        <v>4</v>
      </c>
      <c r="C77" s="25"/>
      <c r="D77" s="34">
        <f>+D73-D75</f>
        <v>-34402.75</v>
      </c>
      <c r="E77" s="13"/>
      <c r="F77" s="31">
        <f>IF(D$12=0,0,D77/D$12)</f>
        <v>0</v>
      </c>
      <c r="G77" s="13"/>
      <c r="H77" s="34">
        <f>+H73-H75</f>
        <v>-39956.791615384667</v>
      </c>
      <c r="I77" s="13"/>
      <c r="J77" s="31">
        <f>IF(H$12=0,0,H77/H$12)</f>
        <v>0</v>
      </c>
      <c r="K77" s="16"/>
      <c r="L77" s="34">
        <f>D77-H77</f>
        <v>5554.0416153846672</v>
      </c>
      <c r="M77" s="16"/>
      <c r="N77" s="31">
        <f>IF(H77=0,0,L77/H77)</f>
        <v>-0.13900119080747664</v>
      </c>
      <c r="O77" s="26"/>
      <c r="P77" s="34">
        <f>+P73-P75</f>
        <v>-224997.35000000003</v>
      </c>
      <c r="Q77" s="13"/>
      <c r="R77" s="31">
        <f>IF(P$12=0,0,P77/P$12)</f>
        <v>0</v>
      </c>
      <c r="S77" s="13"/>
      <c r="T77" s="34">
        <f>+T73-T75</f>
        <v>-237367.97550000023</v>
      </c>
      <c r="U77" s="13"/>
      <c r="V77" s="31">
        <f>IF(T$12=0,0,T77/T$12)</f>
        <v>0</v>
      </c>
      <c r="W77" s="16"/>
      <c r="X77" s="34">
        <f>P77-T77</f>
        <v>12370.625500000198</v>
      </c>
      <c r="Y77" s="16"/>
      <c r="Z77" s="31">
        <f>IF(T77=0,0,X77/T77)</f>
        <v>-5.2115815008078825E-2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5" t="s">
        <v>5</v>
      </c>
      <c r="C80" s="25"/>
      <c r="D80" s="33">
        <f>SUM(D77:D79)</f>
        <v>-34402.75</v>
      </c>
      <c r="E80" s="13"/>
      <c r="F80" s="32">
        <f>IF(D$12=0,0,D80/D$12)</f>
        <v>0</v>
      </c>
      <c r="G80" s="13"/>
      <c r="H80" s="33">
        <f>SUM(H77:H79)</f>
        <v>-39956.791615384667</v>
      </c>
      <c r="I80" s="13"/>
      <c r="J80" s="32">
        <f>IF(H$12=0,0,H80/H$12)</f>
        <v>0</v>
      </c>
      <c r="K80" s="16"/>
      <c r="L80" s="33">
        <f>+D80-H80</f>
        <v>5554.0416153846672</v>
      </c>
      <c r="M80" s="16"/>
      <c r="N80" s="32">
        <f>IF(H80=0,0,L80/H80)</f>
        <v>-0.13900119080747664</v>
      </c>
      <c r="O80" s="26"/>
      <c r="P80" s="33">
        <f>SUM(P77:P79)</f>
        <v>-224997.35000000003</v>
      </c>
      <c r="Q80" s="13"/>
      <c r="R80" s="32">
        <f>IF(P$12=0,0,P80/P$12)</f>
        <v>0</v>
      </c>
      <c r="S80" s="13"/>
      <c r="T80" s="33">
        <f>SUM(T77:T79)</f>
        <v>-237367.97550000023</v>
      </c>
      <c r="U80" s="13"/>
      <c r="V80" s="32">
        <f>IF(T$12=0,0,T80/T$12)</f>
        <v>0</v>
      </c>
      <c r="W80" s="16"/>
      <c r="X80" s="33">
        <f>+P80-T80</f>
        <v>12370.625500000198</v>
      </c>
      <c r="Y80" s="16"/>
      <c r="Z80" s="32">
        <f>IF(T80=0,0,X80/T80)</f>
        <v>-5.2115815008078825E-2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63">
        <v>44209.51830358796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60" t="s">
        <v>314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58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","203", " - ", "Human Resources")</f>
        <v>Department 203 - Human Resources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6"/>
      <c r="L16" s="21">
        <f>+D16-H16</f>
        <v>0</v>
      </c>
      <c r="M16" s="16"/>
      <c r="N16" s="19">
        <f>IF(H16=0,0,L16/H16)</f>
        <v>0</v>
      </c>
      <c r="O16" s="26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6"/>
      <c r="X16" s="21">
        <f>+P16-T16</f>
        <v>0</v>
      </c>
      <c r="Y16" s="16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41240.700000000004</v>
      </c>
      <c r="E18" s="20"/>
      <c r="F18" s="30">
        <f t="shared" ref="F18:F29" si="0">IF(D$12=0,0,D18/D$12)</f>
        <v>0</v>
      </c>
      <c r="G18" s="20"/>
      <c r="H18" s="20">
        <f>SUM(OSRRefH22x_0)</f>
        <v>50605.525784615391</v>
      </c>
      <c r="I18" s="20"/>
      <c r="J18" s="30">
        <f t="shared" ref="J18:J29" si="1">IF(H$12=0,0,H18/H$12)</f>
        <v>0</v>
      </c>
      <c r="K18" s="4"/>
      <c r="L18" s="20">
        <f t="shared" ref="L18:L29" si="2">+D18-H18</f>
        <v>-9364.8257846153865</v>
      </c>
      <c r="M18" s="4"/>
      <c r="N18" s="30">
        <f t="shared" ref="N18:N29" si="3">IF(H18=0,0,L18/H18)</f>
        <v>-0.1850553993742397</v>
      </c>
      <c r="O18" s="10"/>
      <c r="P18" s="20">
        <f>SUM(OSRRefP22x_0)</f>
        <v>271629.11000000004</v>
      </c>
      <c r="Q18" s="20"/>
      <c r="R18" s="30">
        <f t="shared" ref="R18:R29" si="4">IF(P$12=0,0,P18/P$12)</f>
        <v>0</v>
      </c>
      <c r="S18" s="20"/>
      <c r="T18" s="20">
        <f>SUM(OSRRefT22x_0)</f>
        <v>317850.41760000016</v>
      </c>
      <c r="U18" s="20"/>
      <c r="V18" s="30">
        <f t="shared" ref="V18:V29" si="5">IF(T$12=0,0,T18/T$12)</f>
        <v>0</v>
      </c>
      <c r="W18" s="4"/>
      <c r="X18" s="20">
        <f t="shared" ref="X18:X29" si="6">+P18-T18</f>
        <v>-46221.307600000117</v>
      </c>
      <c r="Y18" s="4"/>
      <c r="Z18" s="30">
        <f t="shared" ref="Z18:Z29" si="7">IF(T18=0,0,X18/T18)</f>
        <v>-0.14541842653221701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10978.25</v>
      </c>
      <c r="E19" s="1"/>
      <c r="F19" s="5">
        <f t="shared" si="0"/>
        <v>0</v>
      </c>
      <c r="G19" s="1"/>
      <c r="H19" s="1">
        <f>SUM(OSRRefH22_0x_0)</f>
        <v>10515.895015384624</v>
      </c>
      <c r="I19" s="1"/>
      <c r="J19" s="5">
        <f t="shared" si="1"/>
        <v>0</v>
      </c>
      <c r="K19" s="1"/>
      <c r="L19" s="1">
        <f t="shared" si="2"/>
        <v>462.35498461537645</v>
      </c>
      <c r="M19" s="1"/>
      <c r="N19" s="5">
        <f t="shared" si="3"/>
        <v>4.3967249952472601E-2</v>
      </c>
      <c r="O19" s="14"/>
      <c r="P19" s="1">
        <f>SUM(OSRRefP22_0x_0)</f>
        <v>75974.59</v>
      </c>
      <c r="Q19" s="1"/>
      <c r="R19" s="5">
        <f t="shared" si="4"/>
        <v>0</v>
      </c>
      <c r="S19" s="1"/>
      <c r="T19" s="1">
        <f>SUM(OSRRefT22_0x_0)</f>
        <v>67100.817600000039</v>
      </c>
      <c r="U19" s="1"/>
      <c r="V19" s="5">
        <f t="shared" si="5"/>
        <v>0</v>
      </c>
      <c r="W19" s="1"/>
      <c r="X19" s="1">
        <f t="shared" si="6"/>
        <v>8873.772399999958</v>
      </c>
      <c r="Y19" s="1"/>
      <c r="Z19" s="5">
        <f t="shared" si="7"/>
        <v>0.13224536924271327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1657.48</v>
      </c>
      <c r="E20" s="2"/>
      <c r="F20" s="6">
        <f t="shared" si="0"/>
        <v>0</v>
      </c>
      <c r="G20" s="2"/>
      <c r="H20" s="7">
        <v>1518.5906769230799</v>
      </c>
      <c r="I20" s="2"/>
      <c r="J20" s="6">
        <f t="shared" si="1"/>
        <v>0</v>
      </c>
      <c r="K20" s="2"/>
      <c r="L20" s="7">
        <f t="shared" si="2"/>
        <v>138.88932307692016</v>
      </c>
      <c r="M20" s="2"/>
      <c r="N20" s="6">
        <f t="shared" si="3"/>
        <v>9.145935451041573E-2</v>
      </c>
      <c r="O20" s="11"/>
      <c r="P20" s="7">
        <v>13334.73</v>
      </c>
      <c r="Q20" s="2"/>
      <c r="R20" s="6">
        <f t="shared" si="4"/>
        <v>0</v>
      </c>
      <c r="S20" s="2"/>
      <c r="T20" s="7">
        <v>9870.8394000000208</v>
      </c>
      <c r="U20" s="2"/>
      <c r="V20" s="6">
        <f t="shared" si="5"/>
        <v>0</v>
      </c>
      <c r="W20" s="2"/>
      <c r="X20" s="7">
        <f t="shared" si="6"/>
        <v>3463.8905999999788</v>
      </c>
      <c r="Y20" s="2"/>
      <c r="Z20" s="6">
        <f t="shared" si="7"/>
        <v>0.35092158423730119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160.16999999999999</v>
      </c>
      <c r="E21" s="2"/>
      <c r="F21" s="6">
        <f t="shared" si="0"/>
        <v>0</v>
      </c>
      <c r="G21" s="2"/>
      <c r="H21" s="7">
        <v>91.129753846153889</v>
      </c>
      <c r="I21" s="2"/>
      <c r="J21" s="6">
        <f t="shared" si="1"/>
        <v>0</v>
      </c>
      <c r="K21" s="2"/>
      <c r="L21" s="7">
        <f t="shared" si="2"/>
        <v>69.040246153846098</v>
      </c>
      <c r="M21" s="2"/>
      <c r="N21" s="6">
        <f t="shared" si="3"/>
        <v>0.75760378186031863</v>
      </c>
      <c r="O21" s="11"/>
      <c r="P21" s="7">
        <v>660.78</v>
      </c>
      <c r="Q21" s="2"/>
      <c r="R21" s="6">
        <f t="shared" si="4"/>
        <v>0</v>
      </c>
      <c r="S21" s="2"/>
      <c r="T21" s="7">
        <v>592.34339999999963</v>
      </c>
      <c r="U21" s="2"/>
      <c r="V21" s="6">
        <f t="shared" si="5"/>
        <v>0</v>
      </c>
      <c r="W21" s="2"/>
      <c r="X21" s="7">
        <f t="shared" si="6"/>
        <v>68.43660000000034</v>
      </c>
      <c r="Y21" s="2"/>
      <c r="Z21" s="6">
        <f t="shared" si="7"/>
        <v>0.11553534655741987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6091.67</v>
      </c>
      <c r="E22" s="2"/>
      <c r="F22" s="6">
        <f t="shared" si="0"/>
        <v>0</v>
      </c>
      <c r="G22" s="2"/>
      <c r="H22" s="7">
        <v>5635.3846153846198</v>
      </c>
      <c r="I22" s="2"/>
      <c r="J22" s="6">
        <f t="shared" si="1"/>
        <v>0</v>
      </c>
      <c r="K22" s="2"/>
      <c r="L22" s="7">
        <f t="shared" si="2"/>
        <v>456.28538461538028</v>
      </c>
      <c r="M22" s="2"/>
      <c r="N22" s="6">
        <f t="shared" si="3"/>
        <v>8.096792246792163E-2</v>
      </c>
      <c r="O22" s="11"/>
      <c r="P22" s="7">
        <v>36550.019999999997</v>
      </c>
      <c r="Q22" s="2"/>
      <c r="R22" s="6">
        <f t="shared" si="4"/>
        <v>0</v>
      </c>
      <c r="S22" s="2"/>
      <c r="T22" s="7">
        <v>35640.000000000022</v>
      </c>
      <c r="U22" s="2"/>
      <c r="V22" s="6">
        <f t="shared" si="5"/>
        <v>0</v>
      </c>
      <c r="W22" s="2"/>
      <c r="X22" s="7">
        <f t="shared" si="6"/>
        <v>910.01999999997497</v>
      </c>
      <c r="Y22" s="2"/>
      <c r="Z22" s="6">
        <f t="shared" si="7"/>
        <v>2.5533670033669315E-2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71.799199999999999</v>
      </c>
      <c r="I23" s="2"/>
      <c r="J23" s="6">
        <f t="shared" si="1"/>
        <v>0</v>
      </c>
      <c r="K23" s="2"/>
      <c r="L23" s="7">
        <f t="shared" si="2"/>
        <v>-71.799199999999999</v>
      </c>
      <c r="M23" s="2"/>
      <c r="N23" s="6">
        <f t="shared" si="3"/>
        <v>-1</v>
      </c>
      <c r="O23" s="11"/>
      <c r="P23" s="7">
        <v>394.42</v>
      </c>
      <c r="Q23" s="2"/>
      <c r="R23" s="6">
        <f t="shared" si="4"/>
        <v>0</v>
      </c>
      <c r="S23" s="2"/>
      <c r="T23" s="7">
        <v>466.69479999999999</v>
      </c>
      <c r="U23" s="2"/>
      <c r="V23" s="6">
        <f t="shared" si="5"/>
        <v>0</v>
      </c>
      <c r="W23" s="2"/>
      <c r="X23" s="7">
        <f t="shared" si="6"/>
        <v>-72.274799999999971</v>
      </c>
      <c r="Y23" s="2"/>
      <c r="Z23" s="6">
        <f t="shared" si="7"/>
        <v>-0.15486523526724527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1091.48</v>
      </c>
      <c r="E24" s="2"/>
      <c r="F24" s="6">
        <f t="shared" si="0"/>
        <v>0</v>
      </c>
      <c r="G24" s="2"/>
      <c r="H24" s="7">
        <v>853.38461538461502</v>
      </c>
      <c r="I24" s="2"/>
      <c r="J24" s="6">
        <f t="shared" si="1"/>
        <v>0</v>
      </c>
      <c r="K24" s="2"/>
      <c r="L24" s="7">
        <f t="shared" si="2"/>
        <v>238.095384615385</v>
      </c>
      <c r="M24" s="2"/>
      <c r="N24" s="6">
        <f t="shared" si="3"/>
        <v>0.27900126194339342</v>
      </c>
      <c r="O24" s="11"/>
      <c r="P24" s="7">
        <v>8371.66</v>
      </c>
      <c r="Q24" s="2"/>
      <c r="R24" s="6">
        <f t="shared" si="4"/>
        <v>0</v>
      </c>
      <c r="S24" s="2"/>
      <c r="T24" s="7">
        <v>5547</v>
      </c>
      <c r="U24" s="2"/>
      <c r="V24" s="6">
        <f t="shared" si="5"/>
        <v>0</v>
      </c>
      <c r="W24" s="2"/>
      <c r="X24" s="7">
        <f t="shared" si="6"/>
        <v>2824.66</v>
      </c>
      <c r="Y24" s="2"/>
      <c r="Z24" s="6">
        <f t="shared" si="7"/>
        <v>0.50922300342527493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"6117", " - ", "RETIREMENT STAFF HOURLY")</f>
        <v xml:space="preserve">          6117 - RETIREMENT STAFF HOURLY</v>
      </c>
      <c r="C26" s="11"/>
      <c r="D26" s="7">
        <v>590.65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590.65</v>
      </c>
      <c r="M26" s="2"/>
      <c r="N26" s="6">
        <f t="shared" si="3"/>
        <v>0</v>
      </c>
      <c r="O26" s="11"/>
      <c r="P26" s="7">
        <v>3845.81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3845.81</v>
      </c>
      <c r="Y26" s="2"/>
      <c r="Z26" s="6">
        <f t="shared" si="7"/>
        <v>0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7">
        <v>478.68</v>
      </c>
      <c r="E27" s="2"/>
      <c r="F27" s="6">
        <f t="shared" si="0"/>
        <v>0</v>
      </c>
      <c r="G27" s="2"/>
      <c r="H27" s="7">
        <v>992.15384615384596</v>
      </c>
      <c r="I27" s="2"/>
      <c r="J27" s="6">
        <f t="shared" si="1"/>
        <v>0</v>
      </c>
      <c r="K27" s="2"/>
      <c r="L27" s="7">
        <f t="shared" si="2"/>
        <v>-513.4738461538459</v>
      </c>
      <c r="M27" s="2"/>
      <c r="N27" s="6">
        <f t="shared" si="3"/>
        <v>-0.51753450147309643</v>
      </c>
      <c r="O27" s="11"/>
      <c r="P27" s="7">
        <v>6574.56</v>
      </c>
      <c r="Q27" s="2"/>
      <c r="R27" s="6">
        <f t="shared" si="4"/>
        <v>0</v>
      </c>
      <c r="S27" s="2"/>
      <c r="T27" s="7">
        <v>6449.0000000000045</v>
      </c>
      <c r="U27" s="2"/>
      <c r="V27" s="6">
        <f t="shared" si="5"/>
        <v>0</v>
      </c>
      <c r="W27" s="2"/>
      <c r="X27" s="7">
        <f t="shared" si="6"/>
        <v>125.55999999999585</v>
      </c>
      <c r="Y27" s="2"/>
      <c r="Z27" s="6">
        <f t="shared" si="7"/>
        <v>1.9469685222514462E-2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7">
        <v>908.12</v>
      </c>
      <c r="E28" s="2"/>
      <c r="F28" s="6">
        <f t="shared" si="0"/>
        <v>0</v>
      </c>
      <c r="G28" s="2"/>
      <c r="H28" s="7">
        <v>828.45230769230795</v>
      </c>
      <c r="I28" s="2"/>
      <c r="J28" s="6">
        <f t="shared" si="1"/>
        <v>0</v>
      </c>
      <c r="K28" s="2"/>
      <c r="L28" s="7">
        <f t="shared" si="2"/>
        <v>79.66769230769205</v>
      </c>
      <c r="M28" s="2"/>
      <c r="N28" s="6">
        <f t="shared" si="3"/>
        <v>9.6164488369415102E-2</v>
      </c>
      <c r="O28" s="11"/>
      <c r="P28" s="7">
        <v>5902.78</v>
      </c>
      <c r="Q28" s="2"/>
      <c r="R28" s="6">
        <f t="shared" si="4"/>
        <v>0</v>
      </c>
      <c r="S28" s="2"/>
      <c r="T28" s="7">
        <v>5384.9399999999914</v>
      </c>
      <c r="U28" s="2"/>
      <c r="V28" s="6">
        <f t="shared" si="5"/>
        <v>0</v>
      </c>
      <c r="W28" s="2"/>
      <c r="X28" s="7">
        <f t="shared" si="6"/>
        <v>517.84000000000833</v>
      </c>
      <c r="Y28" s="2"/>
      <c r="Z28" s="6">
        <f t="shared" si="7"/>
        <v>9.6164488369417142E-2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7"/>
      <c r="E29" s="2"/>
      <c r="F29" s="6">
        <f t="shared" si="0"/>
        <v>0</v>
      </c>
      <c r="G29" s="2"/>
      <c r="H29" s="7">
        <v>525</v>
      </c>
      <c r="I29" s="2"/>
      <c r="J29" s="6">
        <f t="shared" si="1"/>
        <v>0</v>
      </c>
      <c r="K29" s="2"/>
      <c r="L29" s="7">
        <f t="shared" si="2"/>
        <v>-525</v>
      </c>
      <c r="M29" s="2"/>
      <c r="N29" s="6">
        <f t="shared" si="3"/>
        <v>-1</v>
      </c>
      <c r="O29" s="11"/>
      <c r="P29" s="7">
        <v>339.83</v>
      </c>
      <c r="Q29" s="2"/>
      <c r="R29" s="6">
        <f t="shared" si="4"/>
        <v>0</v>
      </c>
      <c r="S29" s="2"/>
      <c r="T29" s="7">
        <v>3150</v>
      </c>
      <c r="U29" s="2"/>
      <c r="V29" s="6">
        <f t="shared" si="5"/>
        <v>0</v>
      </c>
      <c r="W29" s="2"/>
      <c r="X29" s="7">
        <f t="shared" si="6"/>
        <v>-2810.17</v>
      </c>
      <c r="Y29" s="2"/>
      <c r="Z29" s="6">
        <f t="shared" si="7"/>
        <v>-0.89211746031746031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23993.41</v>
      </c>
      <c r="E30" s="1"/>
      <c r="F30" s="5">
        <f t="shared" ref="F30:F40" si="8">IF(D$12=0,0,D30/D$12)</f>
        <v>0</v>
      </c>
      <c r="G30" s="1"/>
      <c r="H30" s="1">
        <f>SUM(OSRRefH22_1x_0)</f>
        <v>26027.630769230767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-2034.2207692307675</v>
      </c>
      <c r="M30" s="1"/>
      <c r="N30" s="5">
        <f t="shared" ref="N30:N40" si="11">IF(H30=0,0,L30/H30)</f>
        <v>-7.8156202048001E-2</v>
      </c>
      <c r="O30" s="14"/>
      <c r="P30" s="1">
        <f>SUM(OSRRefP22_1x_0)</f>
        <v>159672.59</v>
      </c>
      <c r="Q30" s="1"/>
      <c r="R30" s="5">
        <f t="shared" ref="R30:R40" si="12">IF(P$12=0,0,P30/P$12)</f>
        <v>0</v>
      </c>
      <c r="S30" s="1"/>
      <c r="T30" s="1">
        <f>SUM(OSRRefT22_1x_0)</f>
        <v>169179.60000000009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-9507.0100000000966</v>
      </c>
      <c r="Y30" s="1"/>
      <c r="Z30" s="5">
        <f t="shared" ref="Z30:Z40" si="15">IF(T30=0,0,X30/T30)</f>
        <v>-5.6194777620943021E-2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>
        <v>9894.68</v>
      </c>
      <c r="E31" s="2"/>
      <c r="F31" s="6">
        <f t="shared" si="8"/>
        <v>0</v>
      </c>
      <c r="G31" s="2"/>
      <c r="H31" s="7">
        <v>9129.2307692307695</v>
      </c>
      <c r="I31" s="2"/>
      <c r="J31" s="6">
        <f t="shared" si="9"/>
        <v>0</v>
      </c>
      <c r="K31" s="2"/>
      <c r="L31" s="7">
        <f t="shared" si="10"/>
        <v>765.44923076923078</v>
      </c>
      <c r="M31" s="2"/>
      <c r="N31" s="6">
        <f t="shared" si="11"/>
        <v>8.3845972362655882E-2</v>
      </c>
      <c r="O31" s="11"/>
      <c r="P31" s="7">
        <v>60852.3</v>
      </c>
      <c r="Q31" s="2"/>
      <c r="R31" s="6">
        <f t="shared" si="12"/>
        <v>0</v>
      </c>
      <c r="S31" s="2"/>
      <c r="T31" s="7">
        <v>59340.00000000008</v>
      </c>
      <c r="U31" s="2"/>
      <c r="V31" s="6">
        <f t="shared" si="13"/>
        <v>0</v>
      </c>
      <c r="W31" s="2"/>
      <c r="X31" s="7">
        <f t="shared" si="14"/>
        <v>1512.2999999999229</v>
      </c>
      <c r="Y31" s="2"/>
      <c r="Z31" s="6">
        <f t="shared" si="15"/>
        <v>2.5485338725984512E-2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>
        <v>8881.4500000000007</v>
      </c>
      <c r="E34" s="2"/>
      <c r="F34" s="6">
        <f t="shared" si="8"/>
        <v>0</v>
      </c>
      <c r="G34" s="2"/>
      <c r="H34" s="7">
        <v>9126.4</v>
      </c>
      <c r="I34" s="2"/>
      <c r="J34" s="6">
        <f t="shared" si="9"/>
        <v>0</v>
      </c>
      <c r="K34" s="2"/>
      <c r="L34" s="7">
        <f t="shared" si="10"/>
        <v>-244.94999999999891</v>
      </c>
      <c r="M34" s="2"/>
      <c r="N34" s="6">
        <f t="shared" si="11"/>
        <v>-2.6839717741935366E-2</v>
      </c>
      <c r="O34" s="11"/>
      <c r="P34" s="7">
        <v>62554.239999999998</v>
      </c>
      <c r="Q34" s="2"/>
      <c r="R34" s="6">
        <f t="shared" si="12"/>
        <v>0</v>
      </c>
      <c r="S34" s="2"/>
      <c r="T34" s="7">
        <v>59321.599999999999</v>
      </c>
      <c r="U34" s="2"/>
      <c r="V34" s="6">
        <f t="shared" si="13"/>
        <v>0</v>
      </c>
      <c r="W34" s="2"/>
      <c r="X34" s="7">
        <f t="shared" si="14"/>
        <v>3232.6399999999994</v>
      </c>
      <c r="Y34" s="2"/>
      <c r="Z34" s="6">
        <f t="shared" si="15"/>
        <v>5.4493472866544386E-2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5217.28</v>
      </c>
      <c r="E35" s="2"/>
      <c r="F35" s="6">
        <f t="shared" si="8"/>
        <v>0</v>
      </c>
      <c r="G35" s="2"/>
      <c r="H35" s="7">
        <v>7772</v>
      </c>
      <c r="I35" s="2"/>
      <c r="J35" s="6">
        <f t="shared" si="9"/>
        <v>0</v>
      </c>
      <c r="K35" s="2"/>
      <c r="L35" s="7">
        <f t="shared" si="10"/>
        <v>-2554.7200000000003</v>
      </c>
      <c r="M35" s="2"/>
      <c r="N35" s="6">
        <f t="shared" si="11"/>
        <v>-0.32870818322182194</v>
      </c>
      <c r="O35" s="11"/>
      <c r="P35" s="7">
        <v>36266.049999999996</v>
      </c>
      <c r="Q35" s="2"/>
      <c r="R35" s="6">
        <f t="shared" si="12"/>
        <v>0</v>
      </c>
      <c r="S35" s="2"/>
      <c r="T35" s="7">
        <v>50518</v>
      </c>
      <c r="U35" s="2"/>
      <c r="V35" s="6">
        <f t="shared" si="13"/>
        <v>0</v>
      </c>
      <c r="W35" s="2"/>
      <c r="X35" s="7">
        <f t="shared" si="14"/>
        <v>-14251.950000000004</v>
      </c>
      <c r="Y35" s="2"/>
      <c r="Z35" s="6">
        <f t="shared" si="15"/>
        <v>-0.28211627538699086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>
        <v>0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8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3" si="16">IF(D$12=0,0,D41/D$12)</f>
        <v>0</v>
      </c>
      <c r="G41" s="1"/>
      <c r="H41" s="1">
        <f>SUM(OSRRefH22_2x_0)</f>
        <v>250</v>
      </c>
      <c r="I41" s="1"/>
      <c r="J41" s="5">
        <f t="shared" ref="J41:J53" si="17">IF(H$12=0,0,H41/H$12)</f>
        <v>0</v>
      </c>
      <c r="K41" s="1"/>
      <c r="L41" s="1">
        <f t="shared" ref="L41:L53" si="18">+D41-H41</f>
        <v>-250</v>
      </c>
      <c r="M41" s="1"/>
      <c r="N41" s="5">
        <f t="shared" ref="N41:N53" si="19">IF(H41=0,0,L41/H41)</f>
        <v>-1</v>
      </c>
      <c r="O41" s="14"/>
      <c r="P41" s="1">
        <f>SUM(OSRRefP22_2x_0)</f>
        <v>0</v>
      </c>
      <c r="Q41" s="1"/>
      <c r="R41" s="5">
        <f t="shared" ref="R41:R53" si="20">IF(P$12=0,0,P41/P$12)</f>
        <v>0</v>
      </c>
      <c r="S41" s="1"/>
      <c r="T41" s="1">
        <f>SUM(OSRRefT22_2x_0)</f>
        <v>1500</v>
      </c>
      <c r="U41" s="1"/>
      <c r="V41" s="5">
        <f t="shared" ref="V41:V53" si="21">IF(T$12=0,0,T41/T$12)</f>
        <v>0</v>
      </c>
      <c r="W41" s="1"/>
      <c r="X41" s="1">
        <f t="shared" ref="X41:X53" si="22">+P41-T41</f>
        <v>-1500</v>
      </c>
      <c r="Y41" s="1"/>
      <c r="Z41" s="5">
        <f t="shared" ref="Z41:Z53" si="23">IF(T41=0,0,X41/T41)</f>
        <v>-1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>
        <v>250</v>
      </c>
      <c r="I42" s="2"/>
      <c r="J42" s="6">
        <f t="shared" si="17"/>
        <v>0</v>
      </c>
      <c r="K42" s="2"/>
      <c r="L42" s="7">
        <f t="shared" si="18"/>
        <v>-250</v>
      </c>
      <c r="M42" s="2"/>
      <c r="N42" s="6">
        <f t="shared" si="19"/>
        <v>-1</v>
      </c>
      <c r="O42" s="11"/>
      <c r="P42" s="7"/>
      <c r="Q42" s="2"/>
      <c r="R42" s="6">
        <f t="shared" si="20"/>
        <v>0</v>
      </c>
      <c r="S42" s="2"/>
      <c r="T42" s="7">
        <v>1500</v>
      </c>
      <c r="U42" s="2"/>
      <c r="V42" s="6">
        <f t="shared" si="21"/>
        <v>0</v>
      </c>
      <c r="W42" s="2"/>
      <c r="X42" s="7">
        <f t="shared" si="22"/>
        <v>-1500</v>
      </c>
      <c r="Y42" s="2"/>
      <c r="Z42" s="6">
        <f t="shared" si="23"/>
        <v>-1</v>
      </c>
    </row>
    <row r="43" spans="1:26" s="28" customFormat="1" outlineLevel="1" collapsed="1" x14ac:dyDescent="0.25">
      <c r="A43" s="27"/>
      <c r="B43" s="14" t="str">
        <f>CONCATENATE("     ","Employees' Appreciation                           ")</f>
        <v xml:space="preserve">     Employees' Appreciation                           </v>
      </c>
      <c r="C43" s="14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700</v>
      </c>
      <c r="I43" s="1"/>
      <c r="J43" s="5">
        <f t="shared" si="17"/>
        <v>0</v>
      </c>
      <c r="K43" s="1"/>
      <c r="L43" s="1">
        <f t="shared" si="18"/>
        <v>-700</v>
      </c>
      <c r="M43" s="1"/>
      <c r="N43" s="5">
        <f t="shared" si="19"/>
        <v>-1</v>
      </c>
      <c r="O43" s="14"/>
      <c r="P43" s="1">
        <f>SUM(OSRRefP22_3x_0)</f>
        <v>81.56</v>
      </c>
      <c r="Q43" s="1"/>
      <c r="R43" s="5">
        <f t="shared" si="20"/>
        <v>0</v>
      </c>
      <c r="S43" s="1"/>
      <c r="T43" s="1">
        <f>SUM(OSRRefT22_3x_0)</f>
        <v>700</v>
      </c>
      <c r="U43" s="1"/>
      <c r="V43" s="5">
        <f t="shared" si="21"/>
        <v>0</v>
      </c>
      <c r="W43" s="1"/>
      <c r="X43" s="1">
        <f t="shared" si="22"/>
        <v>-618.44000000000005</v>
      </c>
      <c r="Y43" s="1"/>
      <c r="Z43" s="5">
        <f t="shared" si="23"/>
        <v>-0.88348571428571432</v>
      </c>
    </row>
    <row r="44" spans="1:26" s="24" customFormat="1" hidden="1" outlineLevel="2" x14ac:dyDescent="0.25">
      <c r="A44" s="29"/>
      <c r="B44" s="11" t="str">
        <f>CONCATENATE("          ", "6277", " - ", "EMPLOYEE APPRECIATION")</f>
        <v xml:space="preserve">          6277 - EMPLOYEE APPRECIATION</v>
      </c>
      <c r="C44" s="11"/>
      <c r="D44" s="7"/>
      <c r="E44" s="2"/>
      <c r="F44" s="6">
        <f t="shared" si="16"/>
        <v>0</v>
      </c>
      <c r="G44" s="2"/>
      <c r="H44" s="7">
        <v>700</v>
      </c>
      <c r="I44" s="2"/>
      <c r="J44" s="6">
        <f t="shared" si="17"/>
        <v>0</v>
      </c>
      <c r="K44" s="2"/>
      <c r="L44" s="7">
        <f t="shared" si="18"/>
        <v>-700</v>
      </c>
      <c r="M44" s="2"/>
      <c r="N44" s="6">
        <f t="shared" si="19"/>
        <v>-1</v>
      </c>
      <c r="O44" s="11"/>
      <c r="P44" s="7">
        <v>81.56</v>
      </c>
      <c r="Q44" s="2"/>
      <c r="R44" s="6">
        <f t="shared" si="20"/>
        <v>0</v>
      </c>
      <c r="S44" s="2"/>
      <c r="T44" s="7">
        <v>700</v>
      </c>
      <c r="U44" s="2"/>
      <c r="V44" s="6">
        <f t="shared" si="21"/>
        <v>0</v>
      </c>
      <c r="W44" s="2"/>
      <c r="X44" s="7">
        <f t="shared" si="22"/>
        <v>-618.44000000000005</v>
      </c>
      <c r="Y44" s="2"/>
      <c r="Z44" s="6">
        <f t="shared" si="23"/>
        <v>-0.88348571428571432</v>
      </c>
    </row>
    <row r="45" spans="1:26" s="28" customFormat="1" outlineLevel="1" collapsed="1" x14ac:dyDescent="0.25">
      <c r="A45" s="27"/>
      <c r="B45" s="14" t="str">
        <f>CONCATENATE("     ","Equipment Rental                                  ")</f>
        <v xml:space="preserve">     Equipment Rental                                  </v>
      </c>
      <c r="C45" s="14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82</v>
      </c>
      <c r="I45" s="1"/>
      <c r="J45" s="5">
        <f t="shared" si="17"/>
        <v>0</v>
      </c>
      <c r="K45" s="1"/>
      <c r="L45" s="1">
        <f t="shared" si="18"/>
        <v>-82</v>
      </c>
      <c r="M45" s="1"/>
      <c r="N45" s="5">
        <f t="shared" si="19"/>
        <v>-1</v>
      </c>
      <c r="O45" s="14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410</v>
      </c>
      <c r="U45" s="1"/>
      <c r="V45" s="5">
        <f t="shared" si="21"/>
        <v>0</v>
      </c>
      <c r="W45" s="1"/>
      <c r="X45" s="1">
        <f t="shared" si="22"/>
        <v>-410</v>
      </c>
      <c r="Y45" s="1"/>
      <c r="Z45" s="5">
        <f t="shared" si="23"/>
        <v>-1</v>
      </c>
    </row>
    <row r="46" spans="1:26" s="24" customFormat="1" hidden="1" outlineLevel="2" x14ac:dyDescent="0.25">
      <c r="A46" s="29"/>
      <c r="B46" s="11" t="str">
        <f>CONCATENATE("          ", "6351", " - ", "EQUIPMENT RENTAL")</f>
        <v xml:space="preserve">          6351 - EQUIPMENT RENTAL</v>
      </c>
      <c r="C46" s="11"/>
      <c r="D46" s="7"/>
      <c r="E46" s="2"/>
      <c r="F46" s="6">
        <f t="shared" si="16"/>
        <v>0</v>
      </c>
      <c r="G46" s="2"/>
      <c r="H46" s="7">
        <v>82</v>
      </c>
      <c r="I46" s="2"/>
      <c r="J46" s="6">
        <f t="shared" si="17"/>
        <v>0</v>
      </c>
      <c r="K46" s="2"/>
      <c r="L46" s="7">
        <f t="shared" si="18"/>
        <v>-82</v>
      </c>
      <c r="M46" s="2"/>
      <c r="N46" s="6">
        <f t="shared" si="19"/>
        <v>-1</v>
      </c>
      <c r="O46" s="11"/>
      <c r="P46" s="7"/>
      <c r="Q46" s="2"/>
      <c r="R46" s="6">
        <f t="shared" si="20"/>
        <v>0</v>
      </c>
      <c r="S46" s="2"/>
      <c r="T46" s="7">
        <v>410</v>
      </c>
      <c r="U46" s="2"/>
      <c r="V46" s="6">
        <f t="shared" si="21"/>
        <v>0</v>
      </c>
      <c r="W46" s="2"/>
      <c r="X46" s="7">
        <f t="shared" si="22"/>
        <v>-410</v>
      </c>
      <c r="Y46" s="2"/>
      <c r="Z46" s="6">
        <f t="shared" si="23"/>
        <v>-1</v>
      </c>
    </row>
    <row r="47" spans="1:26" s="28" customFormat="1" outlineLevel="1" collapsed="1" x14ac:dyDescent="0.25">
      <c r="A47" s="27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SUM(OSRRefD22_5x_0)</f>
        <v>29.5</v>
      </c>
      <c r="E47" s="1"/>
      <c r="F47" s="5">
        <f t="shared" si="16"/>
        <v>0</v>
      </c>
      <c r="G47" s="1"/>
      <c r="H47" s="1">
        <f>SUM(OSRRefH22_5x_0)</f>
        <v>83</v>
      </c>
      <c r="I47" s="1"/>
      <c r="J47" s="5">
        <f t="shared" si="17"/>
        <v>0</v>
      </c>
      <c r="K47" s="1"/>
      <c r="L47" s="1">
        <f t="shared" si="18"/>
        <v>-53.5</v>
      </c>
      <c r="M47" s="1"/>
      <c r="N47" s="5">
        <f t="shared" si="19"/>
        <v>-0.64457831325301207</v>
      </c>
      <c r="O47" s="14"/>
      <c r="P47" s="1">
        <f>SUM(OSRRefP22_5x_0)</f>
        <v>105.55</v>
      </c>
      <c r="Q47" s="1"/>
      <c r="R47" s="5">
        <f t="shared" si="20"/>
        <v>0</v>
      </c>
      <c r="S47" s="1"/>
      <c r="T47" s="1">
        <f>SUM(OSRRefT22_5x_0)</f>
        <v>498</v>
      </c>
      <c r="U47" s="1"/>
      <c r="V47" s="5">
        <f t="shared" si="21"/>
        <v>0</v>
      </c>
      <c r="W47" s="1"/>
      <c r="X47" s="1">
        <f t="shared" si="22"/>
        <v>-392.45</v>
      </c>
      <c r="Y47" s="1"/>
      <c r="Z47" s="5">
        <f t="shared" si="23"/>
        <v>-0.78805220883534133</v>
      </c>
    </row>
    <row r="48" spans="1:26" s="24" customFormat="1" hidden="1" outlineLevel="2" x14ac:dyDescent="0.25">
      <c r="A48" s="29"/>
      <c r="B48" s="11" t="str">
        <f>CONCATENATE("          ", "6307", " - ", "POSTAGE")</f>
        <v xml:space="preserve">          6307 - POSTAGE</v>
      </c>
      <c r="C48" s="11"/>
      <c r="D48" s="7">
        <v>29.5</v>
      </c>
      <c r="E48" s="2"/>
      <c r="F48" s="6">
        <f t="shared" si="16"/>
        <v>0</v>
      </c>
      <c r="G48" s="2"/>
      <c r="H48" s="7">
        <v>83</v>
      </c>
      <c r="I48" s="2"/>
      <c r="J48" s="6">
        <f t="shared" si="17"/>
        <v>0</v>
      </c>
      <c r="K48" s="2"/>
      <c r="L48" s="7">
        <f t="shared" si="18"/>
        <v>-53.5</v>
      </c>
      <c r="M48" s="2"/>
      <c r="N48" s="6">
        <f t="shared" si="19"/>
        <v>-0.64457831325301207</v>
      </c>
      <c r="O48" s="11"/>
      <c r="P48" s="7">
        <v>105.55</v>
      </c>
      <c r="Q48" s="2"/>
      <c r="R48" s="6">
        <f t="shared" si="20"/>
        <v>0</v>
      </c>
      <c r="S48" s="2"/>
      <c r="T48" s="7">
        <v>498</v>
      </c>
      <c r="U48" s="2"/>
      <c r="V48" s="6">
        <f t="shared" si="21"/>
        <v>0</v>
      </c>
      <c r="W48" s="2"/>
      <c r="X48" s="7">
        <f t="shared" si="22"/>
        <v>-392.45</v>
      </c>
      <c r="Y48" s="2"/>
      <c r="Z48" s="6">
        <f t="shared" si="23"/>
        <v>-0.78805220883534133</v>
      </c>
    </row>
    <row r="49" spans="1:26" s="28" customFormat="1" outlineLevel="1" collapsed="1" x14ac:dyDescent="0.25">
      <c r="A49" s="27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0</v>
      </c>
      <c r="E49" s="1"/>
      <c r="F49" s="5">
        <f t="shared" si="16"/>
        <v>0</v>
      </c>
      <c r="G49" s="1"/>
      <c r="H49" s="1">
        <f>SUM(OSRRefH22_6x_0)</f>
        <v>333</v>
      </c>
      <c r="I49" s="1"/>
      <c r="J49" s="5">
        <f t="shared" si="17"/>
        <v>0</v>
      </c>
      <c r="K49" s="1"/>
      <c r="L49" s="1">
        <f t="shared" si="18"/>
        <v>-333</v>
      </c>
      <c r="M49" s="1"/>
      <c r="N49" s="5">
        <f t="shared" si="19"/>
        <v>-1</v>
      </c>
      <c r="O49" s="14"/>
      <c r="P49" s="1">
        <f>SUM(OSRRefP22_6x_0)</f>
        <v>166.54</v>
      </c>
      <c r="Q49" s="1"/>
      <c r="R49" s="5">
        <f t="shared" si="20"/>
        <v>0</v>
      </c>
      <c r="S49" s="1"/>
      <c r="T49" s="1">
        <f>SUM(OSRRefT22_6x_0)</f>
        <v>1998</v>
      </c>
      <c r="U49" s="1"/>
      <c r="V49" s="5">
        <f t="shared" si="21"/>
        <v>0</v>
      </c>
      <c r="W49" s="1"/>
      <c r="X49" s="1">
        <f t="shared" si="22"/>
        <v>-1831.46</v>
      </c>
      <c r="Y49" s="1"/>
      <c r="Z49" s="5">
        <f t="shared" si="23"/>
        <v>-0.91664664664664663</v>
      </c>
    </row>
    <row r="50" spans="1:26" s="24" customFormat="1" hidden="1" outlineLevel="2" x14ac:dyDescent="0.25">
      <c r="A50" s="29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16"/>
        <v>0</v>
      </c>
      <c r="G50" s="2"/>
      <c r="H50" s="7">
        <v>333</v>
      </c>
      <c r="I50" s="2"/>
      <c r="J50" s="6">
        <f t="shared" si="17"/>
        <v>0</v>
      </c>
      <c r="K50" s="2"/>
      <c r="L50" s="7">
        <f t="shared" si="18"/>
        <v>-333</v>
      </c>
      <c r="M50" s="2"/>
      <c r="N50" s="6">
        <f t="shared" si="19"/>
        <v>-1</v>
      </c>
      <c r="O50" s="11"/>
      <c r="P50" s="7">
        <v>166.54</v>
      </c>
      <c r="Q50" s="2"/>
      <c r="R50" s="6">
        <f t="shared" si="20"/>
        <v>0</v>
      </c>
      <c r="S50" s="2"/>
      <c r="T50" s="7">
        <v>1998</v>
      </c>
      <c r="U50" s="2"/>
      <c r="V50" s="6">
        <f t="shared" si="21"/>
        <v>0</v>
      </c>
      <c r="W50" s="2"/>
      <c r="X50" s="7">
        <f t="shared" si="22"/>
        <v>-1831.46</v>
      </c>
      <c r="Y50" s="2"/>
      <c r="Z50" s="6">
        <f t="shared" si="23"/>
        <v>-0.91664664664664663</v>
      </c>
    </row>
    <row r="51" spans="1:26" s="28" customFormat="1" outlineLevel="1" collapsed="1" x14ac:dyDescent="0.25">
      <c r="A51" s="27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65.47</v>
      </c>
      <c r="E51" s="1"/>
      <c r="F51" s="5">
        <f t="shared" si="16"/>
        <v>0</v>
      </c>
      <c r="G51" s="1"/>
      <c r="H51" s="1">
        <f>SUM(OSRRefH22_7x_0)</f>
        <v>73</v>
      </c>
      <c r="I51" s="1"/>
      <c r="J51" s="5">
        <f t="shared" si="17"/>
        <v>0</v>
      </c>
      <c r="K51" s="1"/>
      <c r="L51" s="1">
        <f t="shared" si="18"/>
        <v>-7.5300000000000011</v>
      </c>
      <c r="M51" s="1"/>
      <c r="N51" s="5">
        <f t="shared" si="19"/>
        <v>-0.10315068493150686</v>
      </c>
      <c r="O51" s="14"/>
      <c r="P51" s="1">
        <f>SUM(OSRRefP22_7x_0)</f>
        <v>392.82</v>
      </c>
      <c r="Q51" s="1"/>
      <c r="R51" s="5">
        <f t="shared" si="20"/>
        <v>0</v>
      </c>
      <c r="S51" s="1"/>
      <c r="T51" s="1">
        <f>SUM(OSRRefT22_7x_0)</f>
        <v>1218</v>
      </c>
      <c r="U51" s="1"/>
      <c r="V51" s="5">
        <f t="shared" si="21"/>
        <v>0</v>
      </c>
      <c r="W51" s="1"/>
      <c r="X51" s="1">
        <f t="shared" si="22"/>
        <v>-825.18000000000006</v>
      </c>
      <c r="Y51" s="1"/>
      <c r="Z51" s="5">
        <f t="shared" si="23"/>
        <v>-0.67748768472906407</v>
      </c>
    </row>
    <row r="52" spans="1:26" s="24" customFormat="1" hidden="1" outlineLevel="2" x14ac:dyDescent="0.25">
      <c r="A52" s="29"/>
      <c r="B52" s="11" t="str">
        <f>CONCATENATE("          ", "6312", " - ", "FIRE &amp; THEFT INSURANCE")</f>
        <v xml:space="preserve">          6312 - FIRE &amp; THEFT INSURANCE</v>
      </c>
      <c r="C52" s="11"/>
      <c r="D52" s="7"/>
      <c r="E52" s="2"/>
      <c r="F52" s="6">
        <f t="shared" si="16"/>
        <v>0</v>
      </c>
      <c r="G52" s="2"/>
      <c r="H52" s="7"/>
      <c r="I52" s="2"/>
      <c r="J52" s="6">
        <f t="shared" si="17"/>
        <v>0</v>
      </c>
      <c r="K52" s="2"/>
      <c r="L52" s="7">
        <f t="shared" si="18"/>
        <v>0</v>
      </c>
      <c r="M52" s="2"/>
      <c r="N52" s="6">
        <f t="shared" si="19"/>
        <v>0</v>
      </c>
      <c r="O52" s="11"/>
      <c r="P52" s="7"/>
      <c r="Q52" s="2"/>
      <c r="R52" s="6">
        <f t="shared" si="20"/>
        <v>0</v>
      </c>
      <c r="S52" s="2"/>
      <c r="T52" s="7">
        <v>780</v>
      </c>
      <c r="U52" s="2"/>
      <c r="V52" s="6">
        <f t="shared" si="21"/>
        <v>0</v>
      </c>
      <c r="W52" s="2"/>
      <c r="X52" s="7">
        <f t="shared" si="22"/>
        <v>-780</v>
      </c>
      <c r="Y52" s="2"/>
      <c r="Z52" s="6">
        <f t="shared" si="23"/>
        <v>-1</v>
      </c>
    </row>
    <row r="53" spans="1:26" s="24" customFormat="1" hidden="1" outlineLevel="2" x14ac:dyDescent="0.25">
      <c r="A53" s="29"/>
      <c r="B53" s="11" t="str">
        <f>CONCATENATE("          ", "6314", " - ", "LIABILITY INSURANCE")</f>
        <v xml:space="preserve">          6314 - LIABILITY INSURANCE</v>
      </c>
      <c r="C53" s="11"/>
      <c r="D53" s="7">
        <v>65.47</v>
      </c>
      <c r="E53" s="2"/>
      <c r="F53" s="6">
        <f t="shared" si="16"/>
        <v>0</v>
      </c>
      <c r="G53" s="2"/>
      <c r="H53" s="7">
        <v>73</v>
      </c>
      <c r="I53" s="2"/>
      <c r="J53" s="6">
        <f t="shared" si="17"/>
        <v>0</v>
      </c>
      <c r="K53" s="2"/>
      <c r="L53" s="7">
        <f t="shared" si="18"/>
        <v>-7.5300000000000011</v>
      </c>
      <c r="M53" s="2"/>
      <c r="N53" s="6">
        <f t="shared" si="19"/>
        <v>-0.10315068493150686</v>
      </c>
      <c r="O53" s="11"/>
      <c r="P53" s="7">
        <v>392.82</v>
      </c>
      <c r="Q53" s="2"/>
      <c r="R53" s="6">
        <f t="shared" si="20"/>
        <v>0</v>
      </c>
      <c r="S53" s="2"/>
      <c r="T53" s="7">
        <v>438</v>
      </c>
      <c r="U53" s="2"/>
      <c r="V53" s="6">
        <f t="shared" si="21"/>
        <v>0</v>
      </c>
      <c r="W53" s="2"/>
      <c r="X53" s="7">
        <f t="shared" si="22"/>
        <v>-45.180000000000007</v>
      </c>
      <c r="Y53" s="2"/>
      <c r="Z53" s="6">
        <f t="shared" si="23"/>
        <v>-0.10315068493150686</v>
      </c>
    </row>
    <row r="54" spans="1:26" s="28" customFormat="1" outlineLevel="1" collapsed="1" x14ac:dyDescent="0.25">
      <c r="A54" s="27"/>
      <c r="B54" s="14" t="str">
        <f>CONCATENATE("     ","Professional Services                             ")</f>
        <v xml:space="preserve">     Professional Services                             </v>
      </c>
      <c r="C54" s="14"/>
      <c r="D54" s="1">
        <f>SUM(OSRRefD22_8x_0)</f>
        <v>840</v>
      </c>
      <c r="E54" s="1"/>
      <c r="F54" s="5">
        <f t="shared" ref="F54:F57" si="24">IF(D$12=0,0,D54/D$12)</f>
        <v>0</v>
      </c>
      <c r="G54" s="1"/>
      <c r="H54" s="1">
        <f>SUM(OSRRefH22_8x_0)</f>
        <v>2083</v>
      </c>
      <c r="I54" s="1"/>
      <c r="J54" s="5">
        <f t="shared" ref="J54:J57" si="25">IF(H$12=0,0,H54/H$12)</f>
        <v>0</v>
      </c>
      <c r="K54" s="1"/>
      <c r="L54" s="1">
        <f t="shared" ref="L54:L57" si="26">+D54-H54</f>
        <v>-1243</v>
      </c>
      <c r="M54" s="1"/>
      <c r="N54" s="5">
        <f t="shared" ref="N54:N57" si="27">IF(H54=0,0,L54/H54)</f>
        <v>-0.59673547767642821</v>
      </c>
      <c r="O54" s="14"/>
      <c r="P54" s="1">
        <f>SUM(OSRRefP22_8x_0)</f>
        <v>5642.58</v>
      </c>
      <c r="Q54" s="1"/>
      <c r="R54" s="5">
        <f t="shared" ref="R54:R57" si="28">IF(P$12=0,0,P54/P$12)</f>
        <v>0</v>
      </c>
      <c r="S54" s="1"/>
      <c r="T54" s="1">
        <f>SUM(OSRRefT22_8x_0)</f>
        <v>12498</v>
      </c>
      <c r="U54" s="1"/>
      <c r="V54" s="5">
        <f t="shared" ref="V54:V57" si="29">IF(T$12=0,0,T54/T$12)</f>
        <v>0</v>
      </c>
      <c r="W54" s="1"/>
      <c r="X54" s="1">
        <f t="shared" ref="X54:X57" si="30">+P54-T54</f>
        <v>-6855.42</v>
      </c>
      <c r="Y54" s="1"/>
      <c r="Z54" s="5">
        <f t="shared" ref="Z54:Z57" si="31">IF(T54=0,0,X54/T54)</f>
        <v>-0.54852136341814695</v>
      </c>
    </row>
    <row r="55" spans="1:26" s="24" customFormat="1" hidden="1" outlineLevel="2" x14ac:dyDescent="0.25">
      <c r="A55" s="29"/>
      <c r="B55" s="11" t="str">
        <f>CONCATENATE("          ", "6332", " - ", "CONSULTANT FEES")</f>
        <v xml:space="preserve">          6332 - CONSULTANT FEES</v>
      </c>
      <c r="C55" s="11"/>
      <c r="D55" s="7"/>
      <c r="E55" s="2"/>
      <c r="F55" s="6">
        <f t="shared" si="24"/>
        <v>0</v>
      </c>
      <c r="G55" s="2"/>
      <c r="H55" s="7">
        <v>0</v>
      </c>
      <c r="I55" s="2"/>
      <c r="J55" s="6">
        <f t="shared" si="25"/>
        <v>0</v>
      </c>
      <c r="K55" s="2"/>
      <c r="L55" s="7">
        <f t="shared" si="26"/>
        <v>0</v>
      </c>
      <c r="M55" s="2"/>
      <c r="N55" s="6">
        <f t="shared" si="27"/>
        <v>0</v>
      </c>
      <c r="O55" s="11"/>
      <c r="P55" s="7"/>
      <c r="Q55" s="2"/>
      <c r="R55" s="6">
        <f t="shared" si="28"/>
        <v>0</v>
      </c>
      <c r="S55" s="2"/>
      <c r="T55" s="7">
        <v>0</v>
      </c>
      <c r="U55" s="2"/>
      <c r="V55" s="6">
        <f t="shared" si="29"/>
        <v>0</v>
      </c>
      <c r="W55" s="2"/>
      <c r="X55" s="7">
        <f t="shared" si="30"/>
        <v>0</v>
      </c>
      <c r="Y55" s="2"/>
      <c r="Z55" s="6">
        <f t="shared" si="31"/>
        <v>0</v>
      </c>
    </row>
    <row r="56" spans="1:26" s="24" customFormat="1" hidden="1" outlineLevel="2" x14ac:dyDescent="0.25">
      <c r="A56" s="29"/>
      <c r="B56" s="11" t="str">
        <f>CONCATENATE("          ", "6334", " - ", "LEGAL COUNCIL EXPENSE")</f>
        <v xml:space="preserve">          6334 - LEGAL COUNCIL EXPENSE</v>
      </c>
      <c r="C56" s="11"/>
      <c r="D56" s="7">
        <v>840</v>
      </c>
      <c r="E56" s="2"/>
      <c r="F56" s="6">
        <f t="shared" si="24"/>
        <v>0</v>
      </c>
      <c r="G56" s="2"/>
      <c r="H56" s="7">
        <v>833</v>
      </c>
      <c r="I56" s="2"/>
      <c r="J56" s="6">
        <f t="shared" si="25"/>
        <v>0</v>
      </c>
      <c r="K56" s="2"/>
      <c r="L56" s="7">
        <f t="shared" si="26"/>
        <v>7</v>
      </c>
      <c r="M56" s="2"/>
      <c r="N56" s="6">
        <f t="shared" si="27"/>
        <v>8.4033613445378148E-3</v>
      </c>
      <c r="O56" s="11"/>
      <c r="P56" s="7">
        <v>1225</v>
      </c>
      <c r="Q56" s="2"/>
      <c r="R56" s="6">
        <f t="shared" si="28"/>
        <v>0</v>
      </c>
      <c r="S56" s="2"/>
      <c r="T56" s="7">
        <v>4998</v>
      </c>
      <c r="U56" s="2"/>
      <c r="V56" s="6">
        <f t="shared" si="29"/>
        <v>0</v>
      </c>
      <c r="W56" s="2"/>
      <c r="X56" s="7">
        <f t="shared" si="30"/>
        <v>-3773</v>
      </c>
      <c r="Y56" s="2"/>
      <c r="Z56" s="6">
        <f t="shared" si="31"/>
        <v>-0.75490196078431371</v>
      </c>
    </row>
    <row r="57" spans="1:26" s="24" customFormat="1" hidden="1" outlineLevel="2" x14ac:dyDescent="0.25">
      <c r="A57" s="29"/>
      <c r="B57" s="11" t="str">
        <f>CONCATENATE("          ", "6336", " - ", "PROFESSIONAL SERVICES")</f>
        <v xml:space="preserve">          6336 - PROFESSIONAL SERVICES</v>
      </c>
      <c r="C57" s="11"/>
      <c r="D57" s="7"/>
      <c r="E57" s="2"/>
      <c r="F57" s="6">
        <f t="shared" si="24"/>
        <v>0</v>
      </c>
      <c r="G57" s="2"/>
      <c r="H57" s="7">
        <v>1250</v>
      </c>
      <c r="I57" s="2"/>
      <c r="J57" s="6">
        <f t="shared" si="25"/>
        <v>0</v>
      </c>
      <c r="K57" s="2"/>
      <c r="L57" s="7">
        <f t="shared" si="26"/>
        <v>-1250</v>
      </c>
      <c r="M57" s="2"/>
      <c r="N57" s="6">
        <f t="shared" si="27"/>
        <v>-1</v>
      </c>
      <c r="O57" s="11"/>
      <c r="P57" s="7">
        <v>4417.58</v>
      </c>
      <c r="Q57" s="2"/>
      <c r="R57" s="6">
        <f t="shared" si="28"/>
        <v>0</v>
      </c>
      <c r="S57" s="2"/>
      <c r="T57" s="7">
        <v>7500</v>
      </c>
      <c r="U57" s="2"/>
      <c r="V57" s="6">
        <f t="shared" si="29"/>
        <v>0</v>
      </c>
      <c r="W57" s="2"/>
      <c r="X57" s="7">
        <f t="shared" si="30"/>
        <v>-3082.42</v>
      </c>
      <c r="Y57" s="2"/>
      <c r="Z57" s="6">
        <f t="shared" si="31"/>
        <v>-0.41098933333333332</v>
      </c>
    </row>
    <row r="58" spans="1:26" s="28" customFormat="1" outlineLevel="1" collapsed="1" x14ac:dyDescent="0.25">
      <c r="A58" s="27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SUM(OSRRefD22_9x_0)</f>
        <v>4785.9799999999996</v>
      </c>
      <c r="E58" s="1"/>
      <c r="F58" s="5">
        <f t="shared" ref="F58:F60" si="32">IF(D$12=0,0,D58/D$12)</f>
        <v>0</v>
      </c>
      <c r="G58" s="1"/>
      <c r="H58" s="1">
        <f>SUM(OSRRefH22_9x_0)</f>
        <v>7083</v>
      </c>
      <c r="I58" s="1"/>
      <c r="J58" s="5">
        <f t="shared" ref="J58:J60" si="33">IF(H$12=0,0,H58/H$12)</f>
        <v>0</v>
      </c>
      <c r="K58" s="1"/>
      <c r="L58" s="1">
        <f t="shared" ref="L58:L60" si="34">+D58-H58</f>
        <v>-2297.0200000000004</v>
      </c>
      <c r="M58" s="1"/>
      <c r="N58" s="5">
        <f t="shared" ref="N58:N60" si="35">IF(H58=0,0,L58/H58)</f>
        <v>-0.32430043766765498</v>
      </c>
      <c r="O58" s="14"/>
      <c r="P58" s="1">
        <f>SUM(OSRRefP22_9x_0)</f>
        <v>24939.59</v>
      </c>
      <c r="Q58" s="1"/>
      <c r="R58" s="5">
        <f t="shared" ref="R58:R60" si="36">IF(P$12=0,0,P58/P$12)</f>
        <v>0</v>
      </c>
      <c r="S58" s="1"/>
      <c r="T58" s="1">
        <f>SUM(OSRRefT22_9x_0)</f>
        <v>42498</v>
      </c>
      <c r="U58" s="1"/>
      <c r="V58" s="5">
        <f t="shared" ref="V58:V60" si="37">IF(T$12=0,0,T58/T$12)</f>
        <v>0</v>
      </c>
      <c r="W58" s="1"/>
      <c r="X58" s="1">
        <f t="shared" ref="X58:X60" si="38">+P58-T58</f>
        <v>-17558.41</v>
      </c>
      <c r="Y58" s="1"/>
      <c r="Z58" s="5">
        <f t="shared" ref="Z58:Z60" si="39">IF(T58=0,0,X58/T58)</f>
        <v>-0.41315850157654477</v>
      </c>
    </row>
    <row r="59" spans="1:26" s="24" customFormat="1" hidden="1" outlineLevel="2" x14ac:dyDescent="0.25">
      <c r="A59" s="29"/>
      <c r="B59" s="11" t="str">
        <f>CONCATENATE("          ", "6371", " - ", "COMPUTER SOFTWARE MAINTENANCE")</f>
        <v xml:space="preserve">          6371 - COMPUTER SOFTWARE MAINTENANCE</v>
      </c>
      <c r="C59" s="11"/>
      <c r="D59" s="7">
        <v>4785.9799999999996</v>
      </c>
      <c r="E59" s="2"/>
      <c r="F59" s="6">
        <f t="shared" si="32"/>
        <v>0</v>
      </c>
      <c r="G59" s="2"/>
      <c r="H59" s="7">
        <v>7083</v>
      </c>
      <c r="I59" s="2"/>
      <c r="J59" s="6">
        <f t="shared" si="33"/>
        <v>0</v>
      </c>
      <c r="K59" s="2"/>
      <c r="L59" s="7">
        <f t="shared" si="34"/>
        <v>-2297.0200000000004</v>
      </c>
      <c r="M59" s="2"/>
      <c r="N59" s="6">
        <f t="shared" si="35"/>
        <v>-0.32430043766765498</v>
      </c>
      <c r="O59" s="11"/>
      <c r="P59" s="7">
        <v>24881.5</v>
      </c>
      <c r="Q59" s="2"/>
      <c r="R59" s="6">
        <f t="shared" si="36"/>
        <v>0</v>
      </c>
      <c r="S59" s="2"/>
      <c r="T59" s="7">
        <v>42498</v>
      </c>
      <c r="U59" s="2"/>
      <c r="V59" s="6">
        <f t="shared" si="37"/>
        <v>0</v>
      </c>
      <c r="W59" s="2"/>
      <c r="X59" s="7">
        <f t="shared" si="38"/>
        <v>-17616.5</v>
      </c>
      <c r="Y59" s="2"/>
      <c r="Z59" s="6">
        <f t="shared" si="39"/>
        <v>-0.41452538943009082</v>
      </c>
    </row>
    <row r="60" spans="1:26" s="24" customFormat="1" hidden="1" outlineLevel="2" x14ac:dyDescent="0.25">
      <c r="A60" s="29"/>
      <c r="B60" s="11" t="str">
        <f>CONCATENATE("          ", "6373", " - ", "MAINTENANCE CONTRACTS")</f>
        <v xml:space="preserve">          6373 - MAINTENANCE CONTRACTS</v>
      </c>
      <c r="C60" s="11"/>
      <c r="D60" s="7"/>
      <c r="E60" s="2"/>
      <c r="F60" s="6">
        <f t="shared" si="32"/>
        <v>0</v>
      </c>
      <c r="G60" s="2"/>
      <c r="H60" s="7"/>
      <c r="I60" s="2"/>
      <c r="J60" s="6">
        <f t="shared" si="33"/>
        <v>0</v>
      </c>
      <c r="K60" s="2"/>
      <c r="L60" s="7">
        <f t="shared" si="34"/>
        <v>0</v>
      </c>
      <c r="M60" s="2"/>
      <c r="N60" s="6">
        <f t="shared" si="35"/>
        <v>0</v>
      </c>
      <c r="O60" s="11"/>
      <c r="P60" s="7">
        <v>58.09</v>
      </c>
      <c r="Q60" s="2"/>
      <c r="R60" s="6">
        <f t="shared" si="36"/>
        <v>0</v>
      </c>
      <c r="S60" s="2"/>
      <c r="T60" s="7"/>
      <c r="U60" s="2"/>
      <c r="V60" s="6">
        <f t="shared" si="37"/>
        <v>0</v>
      </c>
      <c r="W60" s="2"/>
      <c r="X60" s="7">
        <f t="shared" si="38"/>
        <v>58.09</v>
      </c>
      <c r="Y60" s="2"/>
      <c r="Z60" s="6">
        <f t="shared" si="39"/>
        <v>0</v>
      </c>
    </row>
    <row r="61" spans="1:26" s="28" customFormat="1" outlineLevel="1" collapsed="1" x14ac:dyDescent="0.25">
      <c r="A61" s="27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1">
        <f>SUM(OSRRefD22_10x_0)</f>
        <v>0</v>
      </c>
      <c r="E61" s="1"/>
      <c r="F61" s="5">
        <f t="shared" ref="F61:F66" si="40">IF(D$12=0,0,D61/D$12)</f>
        <v>0</v>
      </c>
      <c r="G61" s="1"/>
      <c r="H61" s="1">
        <f>SUM(OSRRefH22_10x_0)</f>
        <v>55</v>
      </c>
      <c r="I61" s="1"/>
      <c r="J61" s="5">
        <f t="shared" ref="J61:J66" si="41">IF(H$12=0,0,H61/H$12)</f>
        <v>0</v>
      </c>
      <c r="K61" s="1"/>
      <c r="L61" s="1">
        <f t="shared" ref="L61:L66" si="42">+D61-H61</f>
        <v>-55</v>
      </c>
      <c r="M61" s="1"/>
      <c r="N61" s="5">
        <f t="shared" ref="N61:N66" si="43">IF(H61=0,0,L61/H61)</f>
        <v>-1</v>
      </c>
      <c r="O61" s="14"/>
      <c r="P61" s="1">
        <f>SUM(OSRRefP22_10x_0)</f>
        <v>534.99</v>
      </c>
      <c r="Q61" s="1"/>
      <c r="R61" s="5">
        <f t="shared" ref="R61:R66" si="44">IF(P$12=0,0,P61/P$12)</f>
        <v>0</v>
      </c>
      <c r="S61" s="1"/>
      <c r="T61" s="1">
        <f>SUM(OSRRefT22_10x_0)</f>
        <v>330</v>
      </c>
      <c r="U61" s="1"/>
      <c r="V61" s="5">
        <f t="shared" ref="V61:V66" si="45">IF(T$12=0,0,T61/T$12)</f>
        <v>0</v>
      </c>
      <c r="W61" s="1"/>
      <c r="X61" s="1">
        <f t="shared" ref="X61:X66" si="46">+P61-T61</f>
        <v>204.99</v>
      </c>
      <c r="Y61" s="1"/>
      <c r="Z61" s="5">
        <f t="shared" ref="Z61:Z66" si="47">IF(T61=0,0,X61/T61)</f>
        <v>0.62118181818181817</v>
      </c>
    </row>
    <row r="62" spans="1:26" s="24" customFormat="1" hidden="1" outlineLevel="2" x14ac:dyDescent="0.25">
      <c r="A62" s="29"/>
      <c r="B62" s="11" t="str">
        <f>CONCATENATE("          ", "6258", " - ", "MEMBERSHIP DUES")</f>
        <v xml:space="preserve">          6258 - MEMBERSHIP DUES</v>
      </c>
      <c r="C62" s="11"/>
      <c r="D62" s="7"/>
      <c r="E62" s="2"/>
      <c r="F62" s="6">
        <f t="shared" si="40"/>
        <v>0</v>
      </c>
      <c r="G62" s="2"/>
      <c r="H62" s="7">
        <v>55</v>
      </c>
      <c r="I62" s="2"/>
      <c r="J62" s="6">
        <f t="shared" si="41"/>
        <v>0</v>
      </c>
      <c r="K62" s="2"/>
      <c r="L62" s="7">
        <f t="shared" si="42"/>
        <v>-55</v>
      </c>
      <c r="M62" s="2"/>
      <c r="N62" s="6">
        <f t="shared" si="43"/>
        <v>-1</v>
      </c>
      <c r="O62" s="11"/>
      <c r="P62" s="7">
        <v>534.99</v>
      </c>
      <c r="Q62" s="2"/>
      <c r="R62" s="6">
        <f t="shared" si="44"/>
        <v>0</v>
      </c>
      <c r="S62" s="2"/>
      <c r="T62" s="7">
        <v>330</v>
      </c>
      <c r="U62" s="2"/>
      <c r="V62" s="6">
        <f t="shared" si="45"/>
        <v>0</v>
      </c>
      <c r="W62" s="2"/>
      <c r="X62" s="7">
        <f t="shared" si="46"/>
        <v>204.99</v>
      </c>
      <c r="Y62" s="2"/>
      <c r="Z62" s="6">
        <f t="shared" si="47"/>
        <v>0.62118181818181817</v>
      </c>
    </row>
    <row r="63" spans="1:26" s="28" customFormat="1" outlineLevel="1" collapsed="1" x14ac:dyDescent="0.25">
      <c r="A63" s="27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SUM(OSRRefD22_11x_0)</f>
        <v>224.69</v>
      </c>
      <c r="E63" s="1"/>
      <c r="F63" s="5">
        <f t="shared" si="40"/>
        <v>0</v>
      </c>
      <c r="G63" s="1"/>
      <c r="H63" s="1">
        <f>SUM(OSRRefH22_11x_0)</f>
        <v>2084</v>
      </c>
      <c r="I63" s="1"/>
      <c r="J63" s="5">
        <f t="shared" si="41"/>
        <v>0</v>
      </c>
      <c r="K63" s="1"/>
      <c r="L63" s="1">
        <f t="shared" si="42"/>
        <v>-1859.31</v>
      </c>
      <c r="M63" s="1"/>
      <c r="N63" s="5">
        <f t="shared" si="43"/>
        <v>-0.89218330134357005</v>
      </c>
      <c r="O63" s="14"/>
      <c r="P63" s="1">
        <f>SUM(OSRRefP22_11x_0)</f>
        <v>1514.85</v>
      </c>
      <c r="Q63" s="1"/>
      <c r="R63" s="5">
        <f t="shared" si="44"/>
        <v>0</v>
      </c>
      <c r="S63" s="1"/>
      <c r="T63" s="1">
        <f>SUM(OSRRefT22_11x_0)</f>
        <v>12504</v>
      </c>
      <c r="U63" s="1"/>
      <c r="V63" s="5">
        <f t="shared" si="45"/>
        <v>0</v>
      </c>
      <c r="W63" s="1"/>
      <c r="X63" s="1">
        <f t="shared" si="46"/>
        <v>-10989.15</v>
      </c>
      <c r="Y63" s="1"/>
      <c r="Z63" s="5">
        <f t="shared" si="47"/>
        <v>-0.87885076775431858</v>
      </c>
    </row>
    <row r="64" spans="1:26" s="24" customFormat="1" hidden="1" outlineLevel="2" x14ac:dyDescent="0.25">
      <c r="A64" s="29"/>
      <c r="B64" s="11" t="str">
        <f>CONCATENATE("          ", "6235", " - ", "COVID-19 EXPENSES")</f>
        <v xml:space="preserve">          6235 - COVID-19 EXPENSES</v>
      </c>
      <c r="C64" s="11"/>
      <c r="D64" s="7"/>
      <c r="E64" s="2"/>
      <c r="F64" s="6">
        <f t="shared" si="40"/>
        <v>0</v>
      </c>
      <c r="G64" s="2"/>
      <c r="H64" s="7">
        <v>417</v>
      </c>
      <c r="I64" s="2"/>
      <c r="J64" s="6">
        <f t="shared" si="41"/>
        <v>0</v>
      </c>
      <c r="K64" s="2"/>
      <c r="L64" s="7">
        <f t="shared" si="42"/>
        <v>-417</v>
      </c>
      <c r="M64" s="2"/>
      <c r="N64" s="6">
        <f t="shared" si="43"/>
        <v>-1</v>
      </c>
      <c r="O64" s="11"/>
      <c r="P64" s="7">
        <v>210.58</v>
      </c>
      <c r="Q64" s="2"/>
      <c r="R64" s="6">
        <f t="shared" si="44"/>
        <v>0</v>
      </c>
      <c r="S64" s="2"/>
      <c r="T64" s="7">
        <v>2502</v>
      </c>
      <c r="U64" s="2"/>
      <c r="V64" s="6">
        <f t="shared" si="45"/>
        <v>0</v>
      </c>
      <c r="W64" s="2"/>
      <c r="X64" s="7">
        <f t="shared" si="46"/>
        <v>-2291.42</v>
      </c>
      <c r="Y64" s="2"/>
      <c r="Z64" s="6">
        <f t="shared" si="47"/>
        <v>-0.91583533173461229</v>
      </c>
    </row>
    <row r="65" spans="1:26" s="24" customFormat="1" hidden="1" outlineLevel="2" x14ac:dyDescent="0.25">
      <c r="A65" s="29"/>
      <c r="B65" s="11" t="str">
        <f>CONCATENATE("          ", "6241", " - ", "OFFICE EXPENSE")</f>
        <v xml:space="preserve">          6241 - OFFICE EXPENSE</v>
      </c>
      <c r="C65" s="11"/>
      <c r="D65" s="7">
        <v>224.69</v>
      </c>
      <c r="E65" s="2"/>
      <c r="F65" s="6">
        <f t="shared" si="40"/>
        <v>0</v>
      </c>
      <c r="G65" s="2"/>
      <c r="H65" s="7">
        <v>1250</v>
      </c>
      <c r="I65" s="2"/>
      <c r="J65" s="6">
        <f t="shared" si="41"/>
        <v>0</v>
      </c>
      <c r="K65" s="2"/>
      <c r="L65" s="7">
        <f t="shared" si="42"/>
        <v>-1025.31</v>
      </c>
      <c r="M65" s="2"/>
      <c r="N65" s="6">
        <f t="shared" si="43"/>
        <v>-0.82024799999999998</v>
      </c>
      <c r="O65" s="11"/>
      <c r="P65" s="7">
        <v>1081.56</v>
      </c>
      <c r="Q65" s="2"/>
      <c r="R65" s="6">
        <f t="shared" si="44"/>
        <v>0</v>
      </c>
      <c r="S65" s="2"/>
      <c r="T65" s="7">
        <v>7500</v>
      </c>
      <c r="U65" s="2"/>
      <c r="V65" s="6">
        <f t="shared" si="45"/>
        <v>0</v>
      </c>
      <c r="W65" s="2"/>
      <c r="X65" s="7">
        <f t="shared" si="46"/>
        <v>-6418.4400000000005</v>
      </c>
      <c r="Y65" s="2"/>
      <c r="Z65" s="6">
        <f t="shared" si="47"/>
        <v>-0.85579200000000011</v>
      </c>
    </row>
    <row r="66" spans="1:26" s="24" customFormat="1" hidden="1" outlineLevel="2" x14ac:dyDescent="0.25">
      <c r="A66" s="29"/>
      <c r="B66" s="11" t="str">
        <f>CONCATENATE("          ", "6244", " - ", "SAFETY SUPPLY EXPENSE")</f>
        <v xml:space="preserve">          6244 - SAFETY SUPPLY EXPENSE</v>
      </c>
      <c r="C66" s="11"/>
      <c r="D66" s="7"/>
      <c r="E66" s="2"/>
      <c r="F66" s="6">
        <f t="shared" si="40"/>
        <v>0</v>
      </c>
      <c r="G66" s="2"/>
      <c r="H66" s="7">
        <v>417</v>
      </c>
      <c r="I66" s="2"/>
      <c r="J66" s="6">
        <f t="shared" si="41"/>
        <v>0</v>
      </c>
      <c r="K66" s="2"/>
      <c r="L66" s="7">
        <f t="shared" si="42"/>
        <v>-417</v>
      </c>
      <c r="M66" s="2"/>
      <c r="N66" s="6">
        <f t="shared" si="43"/>
        <v>-1</v>
      </c>
      <c r="O66" s="11"/>
      <c r="P66" s="7">
        <v>222.71</v>
      </c>
      <c r="Q66" s="2"/>
      <c r="R66" s="6">
        <f t="shared" si="44"/>
        <v>0</v>
      </c>
      <c r="S66" s="2"/>
      <c r="T66" s="7">
        <v>2502</v>
      </c>
      <c r="U66" s="2"/>
      <c r="V66" s="6">
        <f t="shared" si="45"/>
        <v>0</v>
      </c>
      <c r="W66" s="2"/>
      <c r="X66" s="7">
        <f t="shared" si="46"/>
        <v>-2279.29</v>
      </c>
      <c r="Y66" s="2"/>
      <c r="Z66" s="6">
        <f t="shared" si="47"/>
        <v>-0.9109872102318145</v>
      </c>
    </row>
    <row r="67" spans="1:26" s="28" customFormat="1" outlineLevel="1" collapsed="1" x14ac:dyDescent="0.25">
      <c r="A67" s="27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SUM(OSRRefD22_12x_0)</f>
        <v>323.39999999999998</v>
      </c>
      <c r="E67" s="1"/>
      <c r="F67" s="5">
        <f t="shared" ref="F67:F72" si="48">IF(D$12=0,0,D67/D$12)</f>
        <v>0</v>
      </c>
      <c r="G67" s="1"/>
      <c r="H67" s="1">
        <f>SUM(OSRRefH22_12x_0)</f>
        <v>290</v>
      </c>
      <c r="I67" s="1"/>
      <c r="J67" s="5">
        <f t="shared" ref="J67:J72" si="49">IF(H$12=0,0,H67/H$12)</f>
        <v>0</v>
      </c>
      <c r="K67" s="1"/>
      <c r="L67" s="1">
        <f t="shared" ref="L67:L72" si="50">+D67-H67</f>
        <v>33.399999999999977</v>
      </c>
      <c r="M67" s="1"/>
      <c r="N67" s="5">
        <f t="shared" ref="N67:N72" si="51">IF(H67=0,0,L67/H67)</f>
        <v>0.11517241379310338</v>
      </c>
      <c r="O67" s="14"/>
      <c r="P67" s="1">
        <f>SUM(OSRRefP22_12x_0)</f>
        <v>1980.45</v>
      </c>
      <c r="Q67" s="1"/>
      <c r="R67" s="5">
        <f t="shared" ref="R67:R72" si="52">IF(P$12=0,0,P67/P$12)</f>
        <v>0</v>
      </c>
      <c r="S67" s="1"/>
      <c r="T67" s="1">
        <f>SUM(OSRRefT22_12x_0)</f>
        <v>1740</v>
      </c>
      <c r="U67" s="1"/>
      <c r="V67" s="5">
        <f t="shared" ref="V67:V72" si="53">IF(T$12=0,0,T67/T$12)</f>
        <v>0</v>
      </c>
      <c r="W67" s="1"/>
      <c r="X67" s="1">
        <f t="shared" ref="X67:X72" si="54">+P67-T67</f>
        <v>240.45000000000005</v>
      </c>
      <c r="Y67" s="1"/>
      <c r="Z67" s="5">
        <f t="shared" ref="Z67:Z72" si="55">IF(T67=0,0,X67/T67)</f>
        <v>0.13818965517241383</v>
      </c>
    </row>
    <row r="68" spans="1:26" s="24" customFormat="1" hidden="1" outlineLevel="2" x14ac:dyDescent="0.25">
      <c r="A68" s="29"/>
      <c r="B68" s="11" t="str">
        <f>CONCATENATE("          ", "6309", " - ", "TELEPHONE")</f>
        <v xml:space="preserve">          6309 - TELEPHONE</v>
      </c>
      <c r="C68" s="11"/>
      <c r="D68" s="7">
        <v>323.39999999999998</v>
      </c>
      <c r="E68" s="2"/>
      <c r="F68" s="6">
        <f t="shared" si="48"/>
        <v>0</v>
      </c>
      <c r="G68" s="2"/>
      <c r="H68" s="7">
        <v>290</v>
      </c>
      <c r="I68" s="2"/>
      <c r="J68" s="6">
        <f t="shared" si="49"/>
        <v>0</v>
      </c>
      <c r="K68" s="2"/>
      <c r="L68" s="7">
        <f t="shared" si="50"/>
        <v>33.399999999999977</v>
      </c>
      <c r="M68" s="2"/>
      <c r="N68" s="6">
        <f t="shared" si="51"/>
        <v>0.11517241379310338</v>
      </c>
      <c r="O68" s="11"/>
      <c r="P68" s="7">
        <v>1980.45</v>
      </c>
      <c r="Q68" s="2"/>
      <c r="R68" s="6">
        <f t="shared" si="52"/>
        <v>0</v>
      </c>
      <c r="S68" s="2"/>
      <c r="T68" s="7">
        <v>1740</v>
      </c>
      <c r="U68" s="2"/>
      <c r="V68" s="6">
        <f t="shared" si="53"/>
        <v>0</v>
      </c>
      <c r="W68" s="2"/>
      <c r="X68" s="7">
        <f t="shared" si="54"/>
        <v>240.45000000000005</v>
      </c>
      <c r="Y68" s="2"/>
      <c r="Z68" s="6">
        <f t="shared" si="55"/>
        <v>0.13818965517241383</v>
      </c>
    </row>
    <row r="69" spans="1:26" s="28" customFormat="1" outlineLevel="1" collapsed="1" x14ac:dyDescent="0.25">
      <c r="A69" s="27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SUM(OSRRefD22_13x_0)</f>
        <v>0</v>
      </c>
      <c r="E69" s="1"/>
      <c r="F69" s="5">
        <f t="shared" si="48"/>
        <v>0</v>
      </c>
      <c r="G69" s="1"/>
      <c r="H69" s="1">
        <f>SUM(OSRRefH22_13x_0)</f>
        <v>946</v>
      </c>
      <c r="I69" s="1"/>
      <c r="J69" s="5">
        <f t="shared" si="49"/>
        <v>0</v>
      </c>
      <c r="K69" s="1"/>
      <c r="L69" s="1">
        <f t="shared" si="50"/>
        <v>-946</v>
      </c>
      <c r="M69" s="1"/>
      <c r="N69" s="5">
        <f t="shared" si="51"/>
        <v>-1</v>
      </c>
      <c r="O69" s="14"/>
      <c r="P69" s="1">
        <f>SUM(OSRRefP22_13x_0)</f>
        <v>-97</v>
      </c>
      <c r="Q69" s="1"/>
      <c r="R69" s="5">
        <f t="shared" si="52"/>
        <v>0</v>
      </c>
      <c r="S69" s="1"/>
      <c r="T69" s="1">
        <f>SUM(OSRRefT22_13x_0)</f>
        <v>5676</v>
      </c>
      <c r="U69" s="1"/>
      <c r="V69" s="5">
        <f t="shared" si="53"/>
        <v>0</v>
      </c>
      <c r="W69" s="1"/>
      <c r="X69" s="1">
        <f t="shared" si="54"/>
        <v>-5773</v>
      </c>
      <c r="Y69" s="1"/>
      <c r="Z69" s="5">
        <f t="shared" si="55"/>
        <v>-1.0170894996476392</v>
      </c>
    </row>
    <row r="70" spans="1:26" s="24" customFormat="1" hidden="1" outlineLevel="2" x14ac:dyDescent="0.25">
      <c r="A70" s="29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48"/>
        <v>0</v>
      </c>
      <c r="G70" s="2"/>
      <c r="H70" s="7">
        <v>946</v>
      </c>
      <c r="I70" s="2"/>
      <c r="J70" s="6">
        <f t="shared" si="49"/>
        <v>0</v>
      </c>
      <c r="K70" s="2"/>
      <c r="L70" s="7">
        <f t="shared" si="50"/>
        <v>-946</v>
      </c>
      <c r="M70" s="2"/>
      <c r="N70" s="6">
        <f t="shared" si="51"/>
        <v>-1</v>
      </c>
      <c r="O70" s="11"/>
      <c r="P70" s="7">
        <v>-97</v>
      </c>
      <c r="Q70" s="2"/>
      <c r="R70" s="6">
        <f t="shared" si="52"/>
        <v>0</v>
      </c>
      <c r="S70" s="2"/>
      <c r="T70" s="7">
        <v>5676</v>
      </c>
      <c r="U70" s="2"/>
      <c r="V70" s="6">
        <f t="shared" si="53"/>
        <v>0</v>
      </c>
      <c r="W70" s="2"/>
      <c r="X70" s="7">
        <f t="shared" si="54"/>
        <v>-5773</v>
      </c>
      <c r="Y70" s="2"/>
      <c r="Z70" s="6">
        <f t="shared" si="55"/>
        <v>-1.0170894996476392</v>
      </c>
    </row>
    <row r="71" spans="1:26" s="28" customFormat="1" outlineLevel="1" collapsed="1" x14ac:dyDescent="0.25">
      <c r="A71" s="27"/>
      <c r="B71" s="14" t="str">
        <f>CONCATENATE("     ","Travel                                            ")</f>
        <v xml:space="preserve">     Travel                                            </v>
      </c>
      <c r="C71" s="14"/>
      <c r="D71" s="1">
        <f>SUM(OSRRefD22_14x_0)</f>
        <v>0</v>
      </c>
      <c r="E71" s="1"/>
      <c r="F71" s="5">
        <f t="shared" si="48"/>
        <v>0</v>
      </c>
      <c r="G71" s="1"/>
      <c r="H71" s="1">
        <f>SUM(OSRRefH22_14x_0)</f>
        <v>0</v>
      </c>
      <c r="I71" s="1"/>
      <c r="J71" s="5">
        <f t="shared" si="49"/>
        <v>0</v>
      </c>
      <c r="K71" s="1"/>
      <c r="L71" s="1">
        <f t="shared" si="50"/>
        <v>0</v>
      </c>
      <c r="M71" s="1"/>
      <c r="N71" s="5">
        <f t="shared" si="51"/>
        <v>0</v>
      </c>
      <c r="O71" s="14"/>
      <c r="P71" s="1">
        <f>SUM(OSRRefP22_14x_0)</f>
        <v>720</v>
      </c>
      <c r="Q71" s="1"/>
      <c r="R71" s="5">
        <f t="shared" si="52"/>
        <v>0</v>
      </c>
      <c r="S71" s="1"/>
      <c r="T71" s="1">
        <f>SUM(OSRRefT22_14x_0)</f>
        <v>0</v>
      </c>
      <c r="U71" s="1"/>
      <c r="V71" s="5">
        <f t="shared" si="53"/>
        <v>0</v>
      </c>
      <c r="W71" s="1"/>
      <c r="X71" s="1">
        <f t="shared" si="54"/>
        <v>720</v>
      </c>
      <c r="Y71" s="1"/>
      <c r="Z71" s="5">
        <f t="shared" si="55"/>
        <v>0</v>
      </c>
    </row>
    <row r="72" spans="1:26" s="24" customFormat="1" hidden="1" outlineLevel="2" x14ac:dyDescent="0.25">
      <c r="A72" s="29"/>
      <c r="B72" s="11" t="str">
        <f>CONCATENATE("          ", "6292", " - ", "TRAVEL/CONFERENCE")</f>
        <v xml:space="preserve">          6292 - TRAVEL/CONFERENCE</v>
      </c>
      <c r="C72" s="11"/>
      <c r="D72" s="7"/>
      <c r="E72" s="2"/>
      <c r="F72" s="6">
        <f t="shared" si="48"/>
        <v>0</v>
      </c>
      <c r="G72" s="2"/>
      <c r="H72" s="7"/>
      <c r="I72" s="2"/>
      <c r="J72" s="6">
        <f t="shared" si="49"/>
        <v>0</v>
      </c>
      <c r="K72" s="2"/>
      <c r="L72" s="7">
        <f t="shared" si="50"/>
        <v>0</v>
      </c>
      <c r="M72" s="2"/>
      <c r="N72" s="6">
        <f t="shared" si="51"/>
        <v>0</v>
      </c>
      <c r="O72" s="11"/>
      <c r="P72" s="7">
        <v>720</v>
      </c>
      <c r="Q72" s="2"/>
      <c r="R72" s="6">
        <f t="shared" si="52"/>
        <v>0</v>
      </c>
      <c r="S72" s="2"/>
      <c r="T72" s="7"/>
      <c r="U72" s="2"/>
      <c r="V72" s="6">
        <f t="shared" si="53"/>
        <v>0</v>
      </c>
      <c r="W72" s="2"/>
      <c r="X72" s="7">
        <f t="shared" si="54"/>
        <v>720</v>
      </c>
      <c r="Y72" s="2"/>
      <c r="Z72" s="6">
        <f t="shared" si="55"/>
        <v>0</v>
      </c>
    </row>
    <row r="73" spans="1:26" s="53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6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5" t="s">
        <v>3</v>
      </c>
      <c r="C76" s="25"/>
      <c r="D76" s="21">
        <f>+D16-D18+D74</f>
        <v>-41240.700000000004</v>
      </c>
      <c r="E76" s="13"/>
      <c r="F76" s="19">
        <f>IF(D$12=0,0,D76/D$12)</f>
        <v>0</v>
      </c>
      <c r="G76" s="13"/>
      <c r="H76" s="21">
        <f>+H16-H18+H74</f>
        <v>-50605.525784615391</v>
      </c>
      <c r="I76" s="13"/>
      <c r="J76" s="19">
        <f>IF(H$12=0,0,H76/H$12)</f>
        <v>0</v>
      </c>
      <c r="K76" s="16"/>
      <c r="L76" s="21">
        <f>+D76-H76</f>
        <v>9364.8257846153865</v>
      </c>
      <c r="M76" s="16"/>
      <c r="N76" s="19">
        <f>IF(H76=0,0,L76/H76)</f>
        <v>-0.1850553993742397</v>
      </c>
      <c r="O76" s="26"/>
      <c r="P76" s="21">
        <f>+P16-P18+P74</f>
        <v>-271629.11000000004</v>
      </c>
      <c r="Q76" s="13"/>
      <c r="R76" s="19">
        <f>IF(P$12=0,0,P76/P$12)</f>
        <v>0</v>
      </c>
      <c r="S76" s="13"/>
      <c r="T76" s="21">
        <f>+T16-T18+T74</f>
        <v>-317850.41760000016</v>
      </c>
      <c r="U76" s="13"/>
      <c r="V76" s="19">
        <f>IF(T$12=0,0,T76/T$12)</f>
        <v>0</v>
      </c>
      <c r="W76" s="16"/>
      <c r="X76" s="21">
        <f>+P76-T76</f>
        <v>46221.307600000117</v>
      </c>
      <c r="Y76" s="16"/>
      <c r="Z76" s="19">
        <f>IF(T76=0,0,X76/T76)</f>
        <v>-0.14541842653221701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/>
      <c r="E78" s="4"/>
      <c r="F78" s="12">
        <f>IF(D$12=0,0,D78/D$12)</f>
        <v>0</v>
      </c>
      <c r="G78" s="4"/>
      <c r="H78" s="4"/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/>
      <c r="Q78" s="4"/>
      <c r="R78" s="12">
        <f>IF(P$12=0,0,P78/P$12)</f>
        <v>0</v>
      </c>
      <c r="S78" s="4"/>
      <c r="T78" s="4"/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5" t="s">
        <v>4</v>
      </c>
      <c r="C80" s="25"/>
      <c r="D80" s="34">
        <f>+D76-D78</f>
        <v>-41240.700000000004</v>
      </c>
      <c r="E80" s="13"/>
      <c r="F80" s="31">
        <f>IF(D$12=0,0,D80/D$12)</f>
        <v>0</v>
      </c>
      <c r="G80" s="13"/>
      <c r="H80" s="34">
        <f>+H76-H78</f>
        <v>-50605.525784615391</v>
      </c>
      <c r="I80" s="13"/>
      <c r="J80" s="31">
        <f>IF(H$12=0,0,H80/H$12)</f>
        <v>0</v>
      </c>
      <c r="K80" s="16"/>
      <c r="L80" s="34">
        <f>D80-H80</f>
        <v>9364.8257846153865</v>
      </c>
      <c r="M80" s="16"/>
      <c r="N80" s="31">
        <f>IF(H80=0,0,L80/H80)</f>
        <v>-0.1850553993742397</v>
      </c>
      <c r="O80" s="26"/>
      <c r="P80" s="34">
        <f>+P76-P78</f>
        <v>-271629.11000000004</v>
      </c>
      <c r="Q80" s="13"/>
      <c r="R80" s="31">
        <f>IF(P$12=0,0,P80/P$12)</f>
        <v>0</v>
      </c>
      <c r="S80" s="13"/>
      <c r="T80" s="34">
        <f>+T76-T78</f>
        <v>-317850.41760000016</v>
      </c>
      <c r="U80" s="13"/>
      <c r="V80" s="31">
        <f>IF(T$12=0,0,T80/T$12)</f>
        <v>0</v>
      </c>
      <c r="W80" s="16"/>
      <c r="X80" s="34">
        <f>P80-T80</f>
        <v>46221.307600000117</v>
      </c>
      <c r="Y80" s="16"/>
      <c r="Z80" s="31">
        <f>IF(T80=0,0,X80/T80)</f>
        <v>-0.14541842653221701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5" t="s">
        <v>5</v>
      </c>
      <c r="C83" s="25"/>
      <c r="D83" s="33">
        <f>SUM(D80:D82)</f>
        <v>-41240.700000000004</v>
      </c>
      <c r="E83" s="13"/>
      <c r="F83" s="32">
        <f>IF(D$12=0,0,D83/D$12)</f>
        <v>0</v>
      </c>
      <c r="G83" s="13"/>
      <c r="H83" s="33">
        <f>SUM(H80:H82)</f>
        <v>-50605.525784615391</v>
      </c>
      <c r="I83" s="13"/>
      <c r="J83" s="32">
        <f>IF(H$12=0,0,H83/H$12)</f>
        <v>0</v>
      </c>
      <c r="K83" s="16"/>
      <c r="L83" s="33">
        <f>+D83-H83</f>
        <v>9364.8257846153865</v>
      </c>
      <c r="M83" s="16"/>
      <c r="N83" s="32">
        <f>IF(H83=0,0,L83/H83)</f>
        <v>-0.1850553993742397</v>
      </c>
      <c r="O83" s="26"/>
      <c r="P83" s="33">
        <f>SUM(P80:P82)</f>
        <v>-271629.11000000004</v>
      </c>
      <c r="Q83" s="13"/>
      <c r="R83" s="32">
        <f>IF(P$12=0,0,P83/P$12)</f>
        <v>0</v>
      </c>
      <c r="S83" s="13"/>
      <c r="T83" s="33">
        <f>SUM(T80:T82)</f>
        <v>-317850.41760000016</v>
      </c>
      <c r="U83" s="13"/>
      <c r="V83" s="32">
        <f>IF(T$12=0,0,T83/T$12)</f>
        <v>0</v>
      </c>
      <c r="W83" s="16"/>
      <c r="X83" s="33">
        <f>+P83-T83</f>
        <v>46221.307600000117</v>
      </c>
      <c r="Y83" s="16"/>
      <c r="Z83" s="32">
        <f>IF(T83=0,0,X83/T83)</f>
        <v>-0.14541842653221701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63">
        <v>44209.51831550926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60" t="s">
        <v>314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8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","204", " - ", "Information Technology")</f>
        <v>Department 204 - Information Technology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6"/>
      <c r="L16" s="21">
        <f>+D16-H16</f>
        <v>0</v>
      </c>
      <c r="M16" s="16"/>
      <c r="N16" s="19">
        <f>IF(H16=0,0,L16/H16)</f>
        <v>0</v>
      </c>
      <c r="O16" s="26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6"/>
      <c r="X16" s="21">
        <f>+P16-T16</f>
        <v>0</v>
      </c>
      <c r="Y16" s="16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44863.99</v>
      </c>
      <c r="E18" s="20"/>
      <c r="F18" s="30">
        <f t="shared" ref="F18:F29" si="0">IF(D$12=0,0,D18/D$12)</f>
        <v>0</v>
      </c>
      <c r="G18" s="20"/>
      <c r="H18" s="20">
        <f>SUM(OSRRefH22x_0)</f>
        <v>51259.722846153818</v>
      </c>
      <c r="I18" s="20"/>
      <c r="J18" s="30">
        <f t="shared" ref="J18:J29" si="1">IF(H$12=0,0,H18/H$12)</f>
        <v>0</v>
      </c>
      <c r="K18" s="4"/>
      <c r="L18" s="20">
        <f t="shared" ref="L18:L29" si="2">+D18-H18</f>
        <v>-6395.73284615382</v>
      </c>
      <c r="M18" s="4"/>
      <c r="N18" s="30">
        <f t="shared" ref="N18:N29" si="3">IF(H18=0,0,L18/H18)</f>
        <v>-0.12477111640555257</v>
      </c>
      <c r="O18" s="10"/>
      <c r="P18" s="20">
        <f>SUM(OSRRefP22x_0)</f>
        <v>306555.24000000005</v>
      </c>
      <c r="Q18" s="20"/>
      <c r="R18" s="30">
        <f t="shared" ref="R18:R29" si="4">IF(P$12=0,0,P18/P$12)</f>
        <v>0</v>
      </c>
      <c r="S18" s="20"/>
      <c r="T18" s="20">
        <f>SUM(OSRRefT22x_0)</f>
        <v>314253.21384615381</v>
      </c>
      <c r="U18" s="20"/>
      <c r="V18" s="30">
        <f t="shared" ref="V18:V29" si="5">IF(T$12=0,0,T18/T$12)</f>
        <v>0</v>
      </c>
      <c r="W18" s="4"/>
      <c r="X18" s="20">
        <f t="shared" ref="X18:X29" si="6">+P18-T18</f>
        <v>-7697.9738461537636</v>
      </c>
      <c r="Y18" s="4"/>
      <c r="Z18" s="30">
        <f t="shared" ref="Z18:Z29" si="7">IF(T18=0,0,X18/T18)</f>
        <v>-2.449608629912817E-2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11286.69</v>
      </c>
      <c r="E19" s="1"/>
      <c r="F19" s="5">
        <f t="shared" si="0"/>
        <v>0</v>
      </c>
      <c r="G19" s="1"/>
      <c r="H19" s="1">
        <f>SUM(OSRRefH22_0x_0)</f>
        <v>10981.645923076914</v>
      </c>
      <c r="I19" s="1"/>
      <c r="J19" s="5">
        <f t="shared" si="1"/>
        <v>0</v>
      </c>
      <c r="K19" s="1"/>
      <c r="L19" s="1">
        <f t="shared" si="2"/>
        <v>305.04407692308632</v>
      </c>
      <c r="M19" s="1"/>
      <c r="N19" s="5">
        <f t="shared" si="3"/>
        <v>2.7777628149717008E-2</v>
      </c>
      <c r="O19" s="14"/>
      <c r="P19" s="1">
        <f>SUM(OSRRefP22_0x_0)</f>
        <v>77088.929999999993</v>
      </c>
      <c r="Q19" s="1"/>
      <c r="R19" s="5">
        <f t="shared" si="4"/>
        <v>0</v>
      </c>
      <c r="S19" s="1"/>
      <c r="T19" s="1">
        <f>SUM(OSRRefT22_0x_0)</f>
        <v>71746.213846153812</v>
      </c>
      <c r="U19" s="1"/>
      <c r="V19" s="5">
        <f t="shared" si="5"/>
        <v>0</v>
      </c>
      <c r="W19" s="1"/>
      <c r="X19" s="1">
        <f t="shared" si="6"/>
        <v>5342.7161538461805</v>
      </c>
      <c r="Y19" s="1"/>
      <c r="Z19" s="5">
        <f t="shared" si="7"/>
        <v>7.4466872430406228E-2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1398.36</v>
      </c>
      <c r="E20" s="2"/>
      <c r="F20" s="6">
        <f t="shared" si="0"/>
        <v>0</v>
      </c>
      <c r="G20" s="2"/>
      <c r="H20" s="7">
        <v>1606.5413076923101</v>
      </c>
      <c r="I20" s="2"/>
      <c r="J20" s="6">
        <f t="shared" si="1"/>
        <v>0</v>
      </c>
      <c r="K20" s="2"/>
      <c r="L20" s="7">
        <f t="shared" si="2"/>
        <v>-208.18130769231016</v>
      </c>
      <c r="M20" s="2"/>
      <c r="N20" s="6">
        <f t="shared" si="3"/>
        <v>-0.12958353868370107</v>
      </c>
      <c r="O20" s="11"/>
      <c r="P20" s="7">
        <v>11290.57</v>
      </c>
      <c r="Q20" s="2"/>
      <c r="R20" s="6">
        <f t="shared" si="4"/>
        <v>0</v>
      </c>
      <c r="S20" s="2"/>
      <c r="T20" s="7">
        <v>10867.26</v>
      </c>
      <c r="U20" s="2"/>
      <c r="V20" s="6">
        <f t="shared" si="5"/>
        <v>0</v>
      </c>
      <c r="W20" s="2"/>
      <c r="X20" s="7">
        <f t="shared" si="6"/>
        <v>423.30999999999949</v>
      </c>
      <c r="Y20" s="2"/>
      <c r="Z20" s="6">
        <f t="shared" si="7"/>
        <v>3.8952781105816875E-2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194.42</v>
      </c>
      <c r="E21" s="2"/>
      <c r="F21" s="6">
        <f t="shared" si="0"/>
        <v>0</v>
      </c>
      <c r="G21" s="2"/>
      <c r="H21" s="7">
        <v>69.274615384615402</v>
      </c>
      <c r="I21" s="2"/>
      <c r="J21" s="6">
        <f t="shared" si="1"/>
        <v>0</v>
      </c>
      <c r="K21" s="2"/>
      <c r="L21" s="7">
        <f t="shared" si="2"/>
        <v>125.14538461538459</v>
      </c>
      <c r="M21" s="2"/>
      <c r="N21" s="6">
        <f t="shared" si="3"/>
        <v>1.8065114316488438</v>
      </c>
      <c r="O21" s="11"/>
      <c r="P21" s="7">
        <v>673.56</v>
      </c>
      <c r="Q21" s="2"/>
      <c r="R21" s="6">
        <f t="shared" si="4"/>
        <v>0</v>
      </c>
      <c r="S21" s="2"/>
      <c r="T21" s="7">
        <v>468.5999999999998</v>
      </c>
      <c r="U21" s="2"/>
      <c r="V21" s="6">
        <f t="shared" si="5"/>
        <v>0</v>
      </c>
      <c r="W21" s="2"/>
      <c r="X21" s="7">
        <f t="shared" si="6"/>
        <v>204.96000000000015</v>
      </c>
      <c r="Y21" s="2"/>
      <c r="Z21" s="6">
        <f t="shared" si="7"/>
        <v>0.43738796414852804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5541.03</v>
      </c>
      <c r="E22" s="2"/>
      <c r="F22" s="6">
        <f t="shared" si="0"/>
        <v>0</v>
      </c>
      <c r="G22" s="2"/>
      <c r="H22" s="7">
        <v>4730.4807692307704</v>
      </c>
      <c r="I22" s="2"/>
      <c r="J22" s="6">
        <f t="shared" si="1"/>
        <v>0</v>
      </c>
      <c r="K22" s="2"/>
      <c r="L22" s="7">
        <f t="shared" si="2"/>
        <v>810.54923076922933</v>
      </c>
      <c r="M22" s="2"/>
      <c r="N22" s="6">
        <f t="shared" si="3"/>
        <v>0.17134605768644395</v>
      </c>
      <c r="O22" s="11"/>
      <c r="P22" s="7">
        <v>33380.380000000005</v>
      </c>
      <c r="Q22" s="2"/>
      <c r="R22" s="6">
        <f t="shared" si="4"/>
        <v>0</v>
      </c>
      <c r="S22" s="2"/>
      <c r="T22" s="7">
        <v>31051.153846153851</v>
      </c>
      <c r="U22" s="2"/>
      <c r="V22" s="6">
        <f t="shared" si="5"/>
        <v>0</v>
      </c>
      <c r="W22" s="2"/>
      <c r="X22" s="7">
        <f t="shared" si="6"/>
        <v>2329.2261538461535</v>
      </c>
      <c r="Y22" s="2"/>
      <c r="Z22" s="6">
        <f t="shared" si="7"/>
        <v>7.5012547533226781E-2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54.58</v>
      </c>
      <c r="I23" s="2"/>
      <c r="J23" s="6">
        <f t="shared" si="1"/>
        <v>0</v>
      </c>
      <c r="K23" s="2"/>
      <c r="L23" s="7">
        <f t="shared" si="2"/>
        <v>-54.58</v>
      </c>
      <c r="M23" s="2"/>
      <c r="N23" s="6">
        <f t="shared" si="3"/>
        <v>-1</v>
      </c>
      <c r="O23" s="11"/>
      <c r="P23" s="7">
        <v>338.33</v>
      </c>
      <c r="Q23" s="2"/>
      <c r="R23" s="6">
        <f t="shared" si="4"/>
        <v>0</v>
      </c>
      <c r="S23" s="2"/>
      <c r="T23" s="7">
        <v>369.2</v>
      </c>
      <c r="U23" s="2"/>
      <c r="V23" s="6">
        <f t="shared" si="5"/>
        <v>0</v>
      </c>
      <c r="W23" s="2"/>
      <c r="X23" s="7">
        <f t="shared" si="6"/>
        <v>-30.870000000000005</v>
      </c>
      <c r="Y23" s="2"/>
      <c r="Z23" s="6">
        <f t="shared" si="7"/>
        <v>-8.3613217768147355E-2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1861.21</v>
      </c>
      <c r="E24" s="2"/>
      <c r="F24" s="6">
        <f t="shared" si="0"/>
        <v>0</v>
      </c>
      <c r="G24" s="2"/>
      <c r="H24" s="7">
        <v>1521.5384615384601</v>
      </c>
      <c r="I24" s="2"/>
      <c r="J24" s="6">
        <f t="shared" si="1"/>
        <v>0</v>
      </c>
      <c r="K24" s="2"/>
      <c r="L24" s="7">
        <f t="shared" si="2"/>
        <v>339.67153846153997</v>
      </c>
      <c r="M24" s="2"/>
      <c r="N24" s="6">
        <f t="shared" si="3"/>
        <v>0.22324216380182121</v>
      </c>
      <c r="O24" s="11"/>
      <c r="P24" s="7">
        <v>13553.09</v>
      </c>
      <c r="Q24" s="2"/>
      <c r="R24" s="6">
        <f t="shared" si="4"/>
        <v>0</v>
      </c>
      <c r="S24" s="2"/>
      <c r="T24" s="7">
        <v>9890</v>
      </c>
      <c r="U24" s="2"/>
      <c r="V24" s="6">
        <f t="shared" si="5"/>
        <v>0</v>
      </c>
      <c r="W24" s="2"/>
      <c r="X24" s="7">
        <f t="shared" si="6"/>
        <v>3663.09</v>
      </c>
      <c r="Y24" s="2"/>
      <c r="Z24" s="6">
        <f t="shared" si="7"/>
        <v>0.37038321536905966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300</v>
      </c>
      <c r="I25" s="2"/>
      <c r="J25" s="6">
        <f t="shared" si="1"/>
        <v>0</v>
      </c>
      <c r="K25" s="2"/>
      <c r="L25" s="7">
        <f t="shared" si="2"/>
        <v>-300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1800</v>
      </c>
      <c r="U25" s="2"/>
      <c r="V25" s="6">
        <f t="shared" si="5"/>
        <v>0</v>
      </c>
      <c r="W25" s="2"/>
      <c r="X25" s="7">
        <f t="shared" si="6"/>
        <v>-1800</v>
      </c>
      <c r="Y25" s="2"/>
      <c r="Z25" s="6">
        <f t="shared" si="7"/>
        <v>-1</v>
      </c>
    </row>
    <row r="26" spans="1:26" s="24" customFormat="1" hidden="1" outlineLevel="2" x14ac:dyDescent="0.25">
      <c r="A26" s="29"/>
      <c r="B26" s="11" t="str">
        <f>CONCATENATE("          ", "6117", " - ", "RETIREMENT STAFF HOURLY")</f>
        <v xml:space="preserve">          6117 - RETIREMENT STAFF HOURLY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912.28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912.28</v>
      </c>
      <c r="Y26" s="2"/>
      <c r="Z26" s="6">
        <f t="shared" si="7"/>
        <v>0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7">
        <v>1345.28</v>
      </c>
      <c r="E27" s="2"/>
      <c r="F27" s="6">
        <f t="shared" si="0"/>
        <v>0</v>
      </c>
      <c r="G27" s="2"/>
      <c r="H27" s="7">
        <v>1049.61538461538</v>
      </c>
      <c r="I27" s="2"/>
      <c r="J27" s="6">
        <f t="shared" si="1"/>
        <v>0</v>
      </c>
      <c r="K27" s="2"/>
      <c r="L27" s="7">
        <f t="shared" si="2"/>
        <v>295.66461538461999</v>
      </c>
      <c r="M27" s="2"/>
      <c r="N27" s="6">
        <f t="shared" si="3"/>
        <v>0.28168853059729404</v>
      </c>
      <c r="O27" s="11"/>
      <c r="P27" s="7">
        <v>9391.1200000000008</v>
      </c>
      <c r="Q27" s="2"/>
      <c r="R27" s="6">
        <f t="shared" si="4"/>
        <v>0</v>
      </c>
      <c r="S27" s="2"/>
      <c r="T27" s="7">
        <v>6849.99999999998</v>
      </c>
      <c r="U27" s="2"/>
      <c r="V27" s="6">
        <f t="shared" si="5"/>
        <v>0</v>
      </c>
      <c r="W27" s="2"/>
      <c r="X27" s="7">
        <f t="shared" si="6"/>
        <v>2541.1200000000208</v>
      </c>
      <c r="Y27" s="2"/>
      <c r="Z27" s="6">
        <f t="shared" si="7"/>
        <v>0.37096642335766833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7">
        <v>844.06</v>
      </c>
      <c r="E28" s="2"/>
      <c r="F28" s="6">
        <f t="shared" si="0"/>
        <v>0</v>
      </c>
      <c r="G28" s="2"/>
      <c r="H28" s="7">
        <v>1049.61538461538</v>
      </c>
      <c r="I28" s="2"/>
      <c r="J28" s="6">
        <f t="shared" si="1"/>
        <v>0</v>
      </c>
      <c r="K28" s="2"/>
      <c r="L28" s="7">
        <f t="shared" si="2"/>
        <v>-205.55538461538004</v>
      </c>
      <c r="M28" s="2"/>
      <c r="N28" s="6">
        <f t="shared" si="3"/>
        <v>-0.1958387687797693</v>
      </c>
      <c r="O28" s="11"/>
      <c r="P28" s="7">
        <v>6261.29</v>
      </c>
      <c r="Q28" s="2"/>
      <c r="R28" s="6">
        <f t="shared" si="4"/>
        <v>0</v>
      </c>
      <c r="S28" s="2"/>
      <c r="T28" s="7">
        <v>6849.99999999998</v>
      </c>
      <c r="U28" s="2"/>
      <c r="V28" s="6">
        <f t="shared" si="5"/>
        <v>0</v>
      </c>
      <c r="W28" s="2"/>
      <c r="X28" s="7">
        <f t="shared" si="6"/>
        <v>-588.70999999998003</v>
      </c>
      <c r="Y28" s="2"/>
      <c r="Z28" s="6">
        <f t="shared" si="7"/>
        <v>-8.5943065693427995E-2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7">
        <v>102.33</v>
      </c>
      <c r="E29" s="2"/>
      <c r="F29" s="6">
        <f t="shared" si="0"/>
        <v>0</v>
      </c>
      <c r="G29" s="2"/>
      <c r="H29" s="7">
        <v>600</v>
      </c>
      <c r="I29" s="2"/>
      <c r="J29" s="6">
        <f t="shared" si="1"/>
        <v>0</v>
      </c>
      <c r="K29" s="2"/>
      <c r="L29" s="7">
        <f t="shared" si="2"/>
        <v>-497.67</v>
      </c>
      <c r="M29" s="2"/>
      <c r="N29" s="6">
        <f t="shared" si="3"/>
        <v>-0.82945000000000002</v>
      </c>
      <c r="O29" s="11"/>
      <c r="P29" s="7">
        <v>1288.31</v>
      </c>
      <c r="Q29" s="2"/>
      <c r="R29" s="6">
        <f t="shared" si="4"/>
        <v>0</v>
      </c>
      <c r="S29" s="2"/>
      <c r="T29" s="7">
        <v>3600</v>
      </c>
      <c r="U29" s="2"/>
      <c r="V29" s="6">
        <f t="shared" si="5"/>
        <v>0</v>
      </c>
      <c r="W29" s="2"/>
      <c r="X29" s="7">
        <f t="shared" si="6"/>
        <v>-2311.69</v>
      </c>
      <c r="Y29" s="2"/>
      <c r="Z29" s="6">
        <f t="shared" si="7"/>
        <v>-0.64213611111111113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16907.8</v>
      </c>
      <c r="E30" s="1"/>
      <c r="F30" s="5">
        <f t="shared" ref="F30:F40" si="8">IF(D$12=0,0,D30/D$12)</f>
        <v>0</v>
      </c>
      <c r="G30" s="1"/>
      <c r="H30" s="1">
        <f>SUM(OSRRefH22_1x_0)</f>
        <v>18893.0769230769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-1985.2769230769009</v>
      </c>
      <c r="M30" s="1"/>
      <c r="N30" s="5">
        <f t="shared" ref="N30:N40" si="11">IF(H30=0,0,L30/H30)</f>
        <v>-0.10507959773624748</v>
      </c>
      <c r="O30" s="14"/>
      <c r="P30" s="1">
        <f>SUM(OSRRefP22_1x_0)</f>
        <v>124226.35</v>
      </c>
      <c r="Q30" s="1"/>
      <c r="R30" s="5">
        <f t="shared" ref="R30:R40" si="12">IF(P$12=0,0,P30/P$12)</f>
        <v>0</v>
      </c>
      <c r="S30" s="1"/>
      <c r="T30" s="1">
        <f>SUM(OSRRefT22_1x_0)</f>
        <v>128300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-4073.6499999999942</v>
      </c>
      <c r="Y30" s="1"/>
      <c r="Z30" s="5">
        <f t="shared" ref="Z30:Z40" si="15">IF(T30=0,0,X30/T30)</f>
        <v>-3.1750974279033471E-2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>
        <v>16907.8</v>
      </c>
      <c r="E32" s="2"/>
      <c r="F32" s="6">
        <f t="shared" si="8"/>
        <v>0</v>
      </c>
      <c r="G32" s="2"/>
      <c r="H32" s="7">
        <v>15923.0769230769</v>
      </c>
      <c r="I32" s="2"/>
      <c r="J32" s="6">
        <f t="shared" si="9"/>
        <v>0</v>
      </c>
      <c r="K32" s="2"/>
      <c r="L32" s="7">
        <f t="shared" si="10"/>
        <v>984.72307692309914</v>
      </c>
      <c r="M32" s="2"/>
      <c r="N32" s="6">
        <f t="shared" si="11"/>
        <v>6.1842512077296172E-2</v>
      </c>
      <c r="O32" s="11"/>
      <c r="P32" s="7">
        <v>110013.11</v>
      </c>
      <c r="Q32" s="2"/>
      <c r="R32" s="6">
        <f t="shared" si="12"/>
        <v>0</v>
      </c>
      <c r="S32" s="2"/>
      <c r="T32" s="7">
        <v>103500</v>
      </c>
      <c r="U32" s="2"/>
      <c r="V32" s="6">
        <f t="shared" si="13"/>
        <v>0</v>
      </c>
      <c r="W32" s="2"/>
      <c r="X32" s="7">
        <f t="shared" si="14"/>
        <v>6513.1100000000006</v>
      </c>
      <c r="Y32" s="2"/>
      <c r="Z32" s="6">
        <f t="shared" si="15"/>
        <v>6.2928599033816437E-2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8"/>
        <v>0</v>
      </c>
      <c r="G34" s="2"/>
      <c r="H34" s="7">
        <v>2970</v>
      </c>
      <c r="I34" s="2"/>
      <c r="J34" s="6">
        <f t="shared" si="9"/>
        <v>0</v>
      </c>
      <c r="K34" s="2"/>
      <c r="L34" s="7">
        <f t="shared" si="10"/>
        <v>-2970</v>
      </c>
      <c r="M34" s="2"/>
      <c r="N34" s="6">
        <f t="shared" si="11"/>
        <v>-1</v>
      </c>
      <c r="O34" s="11"/>
      <c r="P34" s="7">
        <v>14213.24</v>
      </c>
      <c r="Q34" s="2"/>
      <c r="R34" s="6">
        <f t="shared" si="12"/>
        <v>0</v>
      </c>
      <c r="S34" s="2"/>
      <c r="T34" s="7">
        <v>24800</v>
      </c>
      <c r="U34" s="2"/>
      <c r="V34" s="6">
        <f t="shared" si="13"/>
        <v>0</v>
      </c>
      <c r="W34" s="2"/>
      <c r="X34" s="7">
        <f t="shared" si="14"/>
        <v>-10586.76</v>
      </c>
      <c r="Y34" s="2"/>
      <c r="Z34" s="6">
        <f t="shared" si="15"/>
        <v>-0.42688548387096775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>
        <v>0</v>
      </c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8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45" si="16">IF(D$12=0,0,D41/D$12)</f>
        <v>0</v>
      </c>
      <c r="G41" s="1"/>
      <c r="H41" s="1">
        <f>SUM(OSRRefH22_2x_0)</f>
        <v>0</v>
      </c>
      <c r="I41" s="1"/>
      <c r="J41" s="5">
        <f t="shared" ref="J41:J45" si="17">IF(H$12=0,0,H41/H$12)</f>
        <v>0</v>
      </c>
      <c r="K41" s="1"/>
      <c r="L41" s="1">
        <f t="shared" ref="L41:L45" si="18">+D41-H41</f>
        <v>0</v>
      </c>
      <c r="M41" s="1"/>
      <c r="N41" s="5">
        <f t="shared" ref="N41:N45" si="19">IF(H41=0,0,L41/H41)</f>
        <v>0</v>
      </c>
      <c r="O41" s="14"/>
      <c r="P41" s="1">
        <f>SUM(OSRRefP22_2x_0)</f>
        <v>0</v>
      </c>
      <c r="Q41" s="1"/>
      <c r="R41" s="5">
        <f t="shared" ref="R41:R45" si="20">IF(P$12=0,0,P41/P$12)</f>
        <v>0</v>
      </c>
      <c r="S41" s="1"/>
      <c r="T41" s="1">
        <f>SUM(OSRRefT22_2x_0)</f>
        <v>100</v>
      </c>
      <c r="U41" s="1"/>
      <c r="V41" s="5">
        <f t="shared" ref="V41:V45" si="21">IF(T$12=0,0,T41/T$12)</f>
        <v>0</v>
      </c>
      <c r="W41" s="1"/>
      <c r="X41" s="1">
        <f t="shared" ref="X41:X45" si="22">+P41-T41</f>
        <v>-100</v>
      </c>
      <c r="Y41" s="1"/>
      <c r="Z41" s="5">
        <f t="shared" ref="Z41:Z45" si="23">IF(T41=0,0,X41/T41)</f>
        <v>-1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/>
      <c r="Q42" s="2"/>
      <c r="R42" s="6">
        <f t="shared" si="20"/>
        <v>0</v>
      </c>
      <c r="S42" s="2"/>
      <c r="T42" s="7">
        <v>100</v>
      </c>
      <c r="U42" s="2"/>
      <c r="V42" s="6">
        <f t="shared" si="21"/>
        <v>0</v>
      </c>
      <c r="W42" s="2"/>
      <c r="X42" s="7">
        <f t="shared" si="22"/>
        <v>-100</v>
      </c>
      <c r="Y42" s="2"/>
      <c r="Z42" s="6">
        <f t="shared" si="23"/>
        <v>-1</v>
      </c>
    </row>
    <row r="43" spans="1:26" s="28" customFormat="1" outlineLevel="1" collapsed="1" x14ac:dyDescent="0.25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SUM(OSRRefD22_3x_0)</f>
        <v>4994.03</v>
      </c>
      <c r="E43" s="1"/>
      <c r="F43" s="5">
        <f t="shared" si="16"/>
        <v>0</v>
      </c>
      <c r="G43" s="1"/>
      <c r="H43" s="1">
        <f>SUM(OSRRefH22_3x_0)</f>
        <v>4994</v>
      </c>
      <c r="I43" s="1"/>
      <c r="J43" s="5">
        <f t="shared" si="17"/>
        <v>0</v>
      </c>
      <c r="K43" s="1"/>
      <c r="L43" s="1">
        <f t="shared" si="18"/>
        <v>2.9999999999745341E-2</v>
      </c>
      <c r="M43" s="1"/>
      <c r="N43" s="5">
        <f t="shared" si="19"/>
        <v>6.0072086503294633E-6</v>
      </c>
      <c r="O43" s="14"/>
      <c r="P43" s="1">
        <f>SUM(OSRRefP22_3x_0)</f>
        <v>31534.700000000004</v>
      </c>
      <c r="Q43" s="1"/>
      <c r="R43" s="5">
        <f t="shared" si="20"/>
        <v>0</v>
      </c>
      <c r="S43" s="1"/>
      <c r="T43" s="1">
        <f>SUM(OSRRefT22_3x_0)</f>
        <v>26272</v>
      </c>
      <c r="U43" s="1"/>
      <c r="V43" s="5">
        <f t="shared" si="21"/>
        <v>0</v>
      </c>
      <c r="W43" s="1"/>
      <c r="X43" s="1">
        <f t="shared" si="22"/>
        <v>5262.7000000000044</v>
      </c>
      <c r="Y43" s="1"/>
      <c r="Z43" s="5">
        <f t="shared" si="23"/>
        <v>0.20031592570036558</v>
      </c>
    </row>
    <row r="44" spans="1:26" s="24" customFormat="1" hidden="1" outlineLevel="2" x14ac:dyDescent="0.25">
      <c r="A44" s="29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4994.03</v>
      </c>
      <c r="E44" s="2"/>
      <c r="F44" s="6">
        <f t="shared" si="16"/>
        <v>0</v>
      </c>
      <c r="G44" s="2"/>
      <c r="H44" s="7">
        <v>4994</v>
      </c>
      <c r="I44" s="2"/>
      <c r="J44" s="6">
        <f t="shared" si="17"/>
        <v>0</v>
      </c>
      <c r="K44" s="2"/>
      <c r="L44" s="7">
        <f t="shared" si="18"/>
        <v>2.9999999999745341E-2</v>
      </c>
      <c r="M44" s="2"/>
      <c r="N44" s="6">
        <f t="shared" si="19"/>
        <v>6.0072086503294633E-6</v>
      </c>
      <c r="O44" s="11"/>
      <c r="P44" s="7">
        <v>31534.700000000004</v>
      </c>
      <c r="Q44" s="2"/>
      <c r="R44" s="6">
        <f t="shared" si="20"/>
        <v>0</v>
      </c>
      <c r="S44" s="2"/>
      <c r="T44" s="7">
        <v>26172</v>
      </c>
      <c r="U44" s="2"/>
      <c r="V44" s="6">
        <f t="shared" si="21"/>
        <v>0</v>
      </c>
      <c r="W44" s="2"/>
      <c r="X44" s="7">
        <f t="shared" si="22"/>
        <v>5362.7000000000044</v>
      </c>
      <c r="Y44" s="2"/>
      <c r="Z44" s="6">
        <f t="shared" si="23"/>
        <v>0.20490218554180056</v>
      </c>
    </row>
    <row r="45" spans="1:26" s="24" customFormat="1" hidden="1" outlineLevel="2" x14ac:dyDescent="0.25">
      <c r="A45" s="29"/>
      <c r="B45" s="11" t="str">
        <f>CONCATENATE("          ", "6324", " - ", "FURNITURE + FIXT DEPRECIATION")</f>
        <v xml:space="preserve">          6324 - FURNITURE + FIXT DEPRECIATION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/>
      <c r="Q45" s="2"/>
      <c r="R45" s="6">
        <f t="shared" si="20"/>
        <v>0</v>
      </c>
      <c r="S45" s="2"/>
      <c r="T45" s="7">
        <v>100</v>
      </c>
      <c r="U45" s="2"/>
      <c r="V45" s="6">
        <f t="shared" si="21"/>
        <v>0</v>
      </c>
      <c r="W45" s="2"/>
      <c r="X45" s="7">
        <f t="shared" si="22"/>
        <v>-100</v>
      </c>
      <c r="Y45" s="2"/>
      <c r="Z45" s="6">
        <f t="shared" si="23"/>
        <v>-1</v>
      </c>
    </row>
    <row r="46" spans="1:26" s="28" customFormat="1" outlineLevel="1" collapsed="1" x14ac:dyDescent="0.25">
      <c r="A46" s="27"/>
      <c r="B46" s="14" t="str">
        <f>CONCATENATE("     ","Freight out/Postage                               ")</f>
        <v xml:space="preserve">     Freight out/Postage                               </v>
      </c>
      <c r="C46" s="14"/>
      <c r="D46" s="1">
        <f>SUM(OSRRefD22_4x_0)</f>
        <v>0</v>
      </c>
      <c r="E46" s="1"/>
      <c r="F46" s="5">
        <f t="shared" ref="F46:F55" si="24">IF(D$12=0,0,D46/D$12)</f>
        <v>0</v>
      </c>
      <c r="G46" s="1"/>
      <c r="H46" s="1">
        <f>SUM(OSRRefH22_4x_0)</f>
        <v>0</v>
      </c>
      <c r="I46" s="1"/>
      <c r="J46" s="5">
        <f t="shared" ref="J46:J55" si="25">IF(H$12=0,0,H46/H$12)</f>
        <v>0</v>
      </c>
      <c r="K46" s="1"/>
      <c r="L46" s="1">
        <f t="shared" ref="L46:L55" si="26">+D46-H46</f>
        <v>0</v>
      </c>
      <c r="M46" s="1"/>
      <c r="N46" s="5">
        <f t="shared" ref="N46:N55" si="27">IF(H46=0,0,L46/H46)</f>
        <v>0</v>
      </c>
      <c r="O46" s="14"/>
      <c r="P46" s="1">
        <f>SUM(OSRRefP22_4x_0)</f>
        <v>5.7</v>
      </c>
      <c r="Q46" s="1"/>
      <c r="R46" s="5">
        <f t="shared" ref="R46:R55" si="28">IF(P$12=0,0,P46/P$12)</f>
        <v>0</v>
      </c>
      <c r="S46" s="1"/>
      <c r="T46" s="1">
        <f>SUM(OSRRefT22_4x_0)</f>
        <v>0</v>
      </c>
      <c r="U46" s="1"/>
      <c r="V46" s="5">
        <f t="shared" ref="V46:V55" si="29">IF(T$12=0,0,T46/T$12)</f>
        <v>0</v>
      </c>
      <c r="W46" s="1"/>
      <c r="X46" s="1">
        <f t="shared" ref="X46:X55" si="30">+P46-T46</f>
        <v>5.7</v>
      </c>
      <c r="Y46" s="1"/>
      <c r="Z46" s="5">
        <f t="shared" ref="Z46:Z55" si="31">IF(T46=0,0,X46/T46)</f>
        <v>0</v>
      </c>
    </row>
    <row r="47" spans="1:26" s="24" customFormat="1" hidden="1" outlineLevel="2" x14ac:dyDescent="0.25">
      <c r="A47" s="29"/>
      <c r="B47" s="11" t="str">
        <f>CONCATENATE("          ", "6307", " - ", "POSTAGE")</f>
        <v xml:space="preserve">          6307 - POSTAGE</v>
      </c>
      <c r="C47" s="11"/>
      <c r="D47" s="7"/>
      <c r="E47" s="2"/>
      <c r="F47" s="6">
        <f t="shared" si="24"/>
        <v>0</v>
      </c>
      <c r="G47" s="2"/>
      <c r="H47" s="7"/>
      <c r="I47" s="2"/>
      <c r="J47" s="6">
        <f t="shared" si="25"/>
        <v>0</v>
      </c>
      <c r="K47" s="2"/>
      <c r="L47" s="7">
        <f t="shared" si="26"/>
        <v>0</v>
      </c>
      <c r="M47" s="2"/>
      <c r="N47" s="6">
        <f t="shared" si="27"/>
        <v>0</v>
      </c>
      <c r="O47" s="11"/>
      <c r="P47" s="7">
        <v>5.7</v>
      </c>
      <c r="Q47" s="2"/>
      <c r="R47" s="6">
        <f t="shared" si="28"/>
        <v>0</v>
      </c>
      <c r="S47" s="2"/>
      <c r="T47" s="7"/>
      <c r="U47" s="2"/>
      <c r="V47" s="6">
        <f t="shared" si="29"/>
        <v>0</v>
      </c>
      <c r="W47" s="2"/>
      <c r="X47" s="7">
        <f t="shared" si="30"/>
        <v>5.7</v>
      </c>
      <c r="Y47" s="2"/>
      <c r="Z47" s="6">
        <f t="shared" si="31"/>
        <v>0</v>
      </c>
    </row>
    <row r="48" spans="1:26" s="28" customFormat="1" outlineLevel="1" collapsed="1" x14ac:dyDescent="0.25">
      <c r="A48" s="27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SUM(OSRRefD22_5x_0)</f>
        <v>0</v>
      </c>
      <c r="E48" s="1"/>
      <c r="F48" s="5">
        <f t="shared" si="24"/>
        <v>0</v>
      </c>
      <c r="G48" s="1"/>
      <c r="H48" s="1">
        <f>SUM(OSRRefH22_5x_0)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4"/>
      <c r="P48" s="1">
        <f>SUM(OSRRefP22_5x_0)</f>
        <v>0</v>
      </c>
      <c r="Q48" s="1"/>
      <c r="R48" s="5">
        <f t="shared" si="28"/>
        <v>0</v>
      </c>
      <c r="S48" s="1"/>
      <c r="T48" s="1">
        <f>SUM(OSRRefT22_5x_0)</f>
        <v>500</v>
      </c>
      <c r="U48" s="1"/>
      <c r="V48" s="5">
        <f t="shared" si="29"/>
        <v>0</v>
      </c>
      <c r="W48" s="1"/>
      <c r="X48" s="1">
        <f t="shared" si="30"/>
        <v>-500</v>
      </c>
      <c r="Y48" s="1"/>
      <c r="Z48" s="5">
        <f t="shared" si="31"/>
        <v>-1</v>
      </c>
    </row>
    <row r="49" spans="1:26" s="24" customFormat="1" hidden="1" outlineLevel="2" x14ac:dyDescent="0.25">
      <c r="A49" s="29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24"/>
        <v>0</v>
      </c>
      <c r="G49" s="2"/>
      <c r="H49" s="7"/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/>
      <c r="Q49" s="2"/>
      <c r="R49" s="6">
        <f t="shared" si="28"/>
        <v>0</v>
      </c>
      <c r="S49" s="2"/>
      <c r="T49" s="7">
        <v>500</v>
      </c>
      <c r="U49" s="2"/>
      <c r="V49" s="6">
        <f t="shared" si="29"/>
        <v>0</v>
      </c>
      <c r="W49" s="2"/>
      <c r="X49" s="7">
        <f t="shared" si="30"/>
        <v>-500</v>
      </c>
      <c r="Y49" s="2"/>
      <c r="Z49" s="6">
        <f t="shared" si="31"/>
        <v>-1</v>
      </c>
    </row>
    <row r="50" spans="1:26" s="28" customFormat="1" outlineLevel="1" collapsed="1" x14ac:dyDescent="0.25">
      <c r="A50" s="27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SUM(OSRRefD22_6x_0)</f>
        <v>56.34</v>
      </c>
      <c r="E50" s="1"/>
      <c r="F50" s="5">
        <f t="shared" si="24"/>
        <v>0</v>
      </c>
      <c r="G50" s="1"/>
      <c r="H50" s="1">
        <f>SUM(OSRRefH22_6x_0)</f>
        <v>61</v>
      </c>
      <c r="I50" s="1"/>
      <c r="J50" s="5">
        <f t="shared" si="25"/>
        <v>0</v>
      </c>
      <c r="K50" s="1"/>
      <c r="L50" s="1">
        <f t="shared" si="26"/>
        <v>-4.6599999999999966</v>
      </c>
      <c r="M50" s="1"/>
      <c r="N50" s="5">
        <f t="shared" si="27"/>
        <v>-7.6393442622950766E-2</v>
      </c>
      <c r="O50" s="14"/>
      <c r="P50" s="1">
        <f>SUM(OSRRefP22_6x_0)</f>
        <v>338.04</v>
      </c>
      <c r="Q50" s="1"/>
      <c r="R50" s="5">
        <f t="shared" si="28"/>
        <v>0</v>
      </c>
      <c r="S50" s="1"/>
      <c r="T50" s="1">
        <f>SUM(OSRRefT22_6x_0)</f>
        <v>905</v>
      </c>
      <c r="U50" s="1"/>
      <c r="V50" s="5">
        <f t="shared" si="29"/>
        <v>0</v>
      </c>
      <c r="W50" s="1"/>
      <c r="X50" s="1">
        <f t="shared" si="30"/>
        <v>-566.96</v>
      </c>
      <c r="Y50" s="1"/>
      <c r="Z50" s="5">
        <f t="shared" si="31"/>
        <v>-0.62647513812154698</v>
      </c>
    </row>
    <row r="51" spans="1:26" s="24" customFormat="1" hidden="1" outlineLevel="2" x14ac:dyDescent="0.25">
      <c r="A51" s="29"/>
      <c r="B51" s="11" t="str">
        <f>CONCATENATE("          ", "6314", " - ", "LIABILITY INSURANCE")</f>
        <v xml:space="preserve">          6314 - LIABILITY INSURANCE</v>
      </c>
      <c r="C51" s="11"/>
      <c r="D51" s="7">
        <v>56.34</v>
      </c>
      <c r="E51" s="2"/>
      <c r="F51" s="6">
        <f t="shared" si="24"/>
        <v>0</v>
      </c>
      <c r="G51" s="2"/>
      <c r="H51" s="7">
        <v>61</v>
      </c>
      <c r="I51" s="2"/>
      <c r="J51" s="6">
        <f t="shared" si="25"/>
        <v>0</v>
      </c>
      <c r="K51" s="2"/>
      <c r="L51" s="7">
        <f t="shared" si="26"/>
        <v>-4.6599999999999966</v>
      </c>
      <c r="M51" s="2"/>
      <c r="N51" s="6">
        <f t="shared" si="27"/>
        <v>-7.6393442622950766E-2</v>
      </c>
      <c r="O51" s="11"/>
      <c r="P51" s="7">
        <v>338.04</v>
      </c>
      <c r="Q51" s="2"/>
      <c r="R51" s="6">
        <f t="shared" si="28"/>
        <v>0</v>
      </c>
      <c r="S51" s="2"/>
      <c r="T51" s="7">
        <v>905</v>
      </c>
      <c r="U51" s="2"/>
      <c r="V51" s="6">
        <f t="shared" si="29"/>
        <v>0</v>
      </c>
      <c r="W51" s="2"/>
      <c r="X51" s="7">
        <f t="shared" si="30"/>
        <v>-566.96</v>
      </c>
      <c r="Y51" s="2"/>
      <c r="Z51" s="6">
        <f t="shared" si="31"/>
        <v>-0.62647513812154698</v>
      </c>
    </row>
    <row r="52" spans="1:26" s="28" customFormat="1" outlineLevel="1" collapsed="1" x14ac:dyDescent="0.25">
      <c r="A52" s="27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SUM(OSRRefD22_7x_0)</f>
        <v>10572</v>
      </c>
      <c r="E52" s="1"/>
      <c r="F52" s="5">
        <f t="shared" si="24"/>
        <v>0</v>
      </c>
      <c r="G52" s="1"/>
      <c r="H52" s="1">
        <f>SUM(OSRRefH22_7x_0)</f>
        <v>14910</v>
      </c>
      <c r="I52" s="1"/>
      <c r="J52" s="5">
        <f t="shared" si="25"/>
        <v>0</v>
      </c>
      <c r="K52" s="1"/>
      <c r="L52" s="1">
        <f t="shared" si="26"/>
        <v>-4338</v>
      </c>
      <c r="M52" s="1"/>
      <c r="N52" s="5">
        <f t="shared" si="27"/>
        <v>-0.29094567404426558</v>
      </c>
      <c r="O52" s="14"/>
      <c r="P52" s="1">
        <f>SUM(OSRRefP22_7x_0)</f>
        <v>71168.160000000003</v>
      </c>
      <c r="Q52" s="1"/>
      <c r="R52" s="5">
        <f t="shared" si="28"/>
        <v>0</v>
      </c>
      <c r="S52" s="1"/>
      <c r="T52" s="1">
        <f>SUM(OSRRefT22_7x_0)</f>
        <v>77010</v>
      </c>
      <c r="U52" s="1"/>
      <c r="V52" s="5">
        <f t="shared" si="29"/>
        <v>0</v>
      </c>
      <c r="W52" s="1"/>
      <c r="X52" s="1">
        <f t="shared" si="30"/>
        <v>-5841.8399999999965</v>
      </c>
      <c r="Y52" s="1"/>
      <c r="Z52" s="5">
        <f t="shared" si="31"/>
        <v>-7.5858200233735837E-2</v>
      </c>
    </row>
    <row r="53" spans="1:26" s="24" customFormat="1" hidden="1" outlineLevel="2" x14ac:dyDescent="0.25">
      <c r="A53" s="29"/>
      <c r="B53" s="11" t="str">
        <f>CONCATENATE("          ", "6371", " - ", "COMPUTER SOFTWARE MAINTENANCE")</f>
        <v xml:space="preserve">          6371 - COMPUTER SOFTWARE MAINTENANCE</v>
      </c>
      <c r="C53" s="11"/>
      <c r="D53" s="7">
        <v>-2020</v>
      </c>
      <c r="E53" s="2"/>
      <c r="F53" s="6">
        <f t="shared" si="24"/>
        <v>0</v>
      </c>
      <c r="G53" s="2"/>
      <c r="H53" s="7">
        <v>660</v>
      </c>
      <c r="I53" s="2"/>
      <c r="J53" s="6">
        <f t="shared" si="25"/>
        <v>0</v>
      </c>
      <c r="K53" s="2"/>
      <c r="L53" s="7">
        <f t="shared" si="26"/>
        <v>-2680</v>
      </c>
      <c r="M53" s="2"/>
      <c r="N53" s="6">
        <f t="shared" si="27"/>
        <v>-4.0606060606060606</v>
      </c>
      <c r="O53" s="11"/>
      <c r="P53" s="7">
        <v>416.16</v>
      </c>
      <c r="Q53" s="2"/>
      <c r="R53" s="6">
        <f t="shared" si="28"/>
        <v>0</v>
      </c>
      <c r="S53" s="2"/>
      <c r="T53" s="7">
        <v>3960</v>
      </c>
      <c r="U53" s="2"/>
      <c r="V53" s="6">
        <f t="shared" si="29"/>
        <v>0</v>
      </c>
      <c r="W53" s="2"/>
      <c r="X53" s="7">
        <f t="shared" si="30"/>
        <v>-3543.84</v>
      </c>
      <c r="Y53" s="2"/>
      <c r="Z53" s="6">
        <f t="shared" si="31"/>
        <v>-0.89490909090909099</v>
      </c>
    </row>
    <row r="54" spans="1:26" s="24" customFormat="1" hidden="1" outlineLevel="2" x14ac:dyDescent="0.25">
      <c r="A54" s="29"/>
      <c r="B54" s="11" t="str">
        <f>CONCATENATE("          ", "6372", " - ", "COMPUTER HARDWARE MAINTENANCE")</f>
        <v xml:space="preserve">          6372 - COMPUTER HARDWARE MAINTENANCE</v>
      </c>
      <c r="C54" s="11"/>
      <c r="D54" s="7"/>
      <c r="E54" s="2"/>
      <c r="F54" s="6">
        <f t="shared" si="24"/>
        <v>0</v>
      </c>
      <c r="G54" s="2"/>
      <c r="H54" s="7">
        <v>1600</v>
      </c>
      <c r="I54" s="2"/>
      <c r="J54" s="6">
        <f t="shared" si="25"/>
        <v>0</v>
      </c>
      <c r="K54" s="2"/>
      <c r="L54" s="7">
        <f t="shared" si="26"/>
        <v>-1600</v>
      </c>
      <c r="M54" s="2"/>
      <c r="N54" s="6">
        <f t="shared" si="27"/>
        <v>-1</v>
      </c>
      <c r="O54" s="11"/>
      <c r="P54" s="7"/>
      <c r="Q54" s="2"/>
      <c r="R54" s="6">
        <f t="shared" si="28"/>
        <v>0</v>
      </c>
      <c r="S54" s="2"/>
      <c r="T54" s="7">
        <v>9600</v>
      </c>
      <c r="U54" s="2"/>
      <c r="V54" s="6">
        <f t="shared" si="29"/>
        <v>0</v>
      </c>
      <c r="W54" s="2"/>
      <c r="X54" s="7">
        <f t="shared" si="30"/>
        <v>-9600</v>
      </c>
      <c r="Y54" s="2"/>
      <c r="Z54" s="6">
        <f t="shared" si="31"/>
        <v>-1</v>
      </c>
    </row>
    <row r="55" spans="1:26" s="24" customFormat="1" hidden="1" outlineLevel="2" x14ac:dyDescent="0.25">
      <c r="A55" s="29"/>
      <c r="B55" s="11" t="str">
        <f>CONCATENATE("          ", "6373", " - ", "MAINTENANCE CONTRACTS")</f>
        <v xml:space="preserve">          6373 - MAINTENANCE CONTRACTS</v>
      </c>
      <c r="C55" s="11"/>
      <c r="D55" s="7">
        <v>12592</v>
      </c>
      <c r="E55" s="2"/>
      <c r="F55" s="6">
        <f t="shared" si="24"/>
        <v>0</v>
      </c>
      <c r="G55" s="2"/>
      <c r="H55" s="7">
        <v>12650</v>
      </c>
      <c r="I55" s="2"/>
      <c r="J55" s="6">
        <f t="shared" si="25"/>
        <v>0</v>
      </c>
      <c r="K55" s="2"/>
      <c r="L55" s="7">
        <f t="shared" si="26"/>
        <v>-58</v>
      </c>
      <c r="M55" s="2"/>
      <c r="N55" s="6">
        <f t="shared" si="27"/>
        <v>-4.5849802371541503E-3</v>
      </c>
      <c r="O55" s="11"/>
      <c r="P55" s="7">
        <v>70752</v>
      </c>
      <c r="Q55" s="2"/>
      <c r="R55" s="6">
        <f t="shared" si="28"/>
        <v>0</v>
      </c>
      <c r="S55" s="2"/>
      <c r="T55" s="7">
        <v>63450</v>
      </c>
      <c r="U55" s="2"/>
      <c r="V55" s="6">
        <f t="shared" si="29"/>
        <v>0</v>
      </c>
      <c r="W55" s="2"/>
      <c r="X55" s="7">
        <f t="shared" si="30"/>
        <v>7302</v>
      </c>
      <c r="Y55" s="2"/>
      <c r="Z55" s="6">
        <f t="shared" si="31"/>
        <v>0.11508274231678486</v>
      </c>
    </row>
    <row r="56" spans="1:26" s="28" customFormat="1" outlineLevel="1" collapsed="1" x14ac:dyDescent="0.25">
      <c r="A56" s="27"/>
      <c r="B56" s="14" t="str">
        <f>CONCATENATE("     ","Subscriptions &amp; Dues                              ")</f>
        <v xml:space="preserve">     Subscriptions &amp; Dues                              </v>
      </c>
      <c r="C56" s="14"/>
      <c r="D56" s="1">
        <f>SUM(OSRRefD22_8x_0)</f>
        <v>0</v>
      </c>
      <c r="E56" s="1"/>
      <c r="F56" s="5">
        <f t="shared" ref="F56:F58" si="32">IF(D$12=0,0,D56/D$12)</f>
        <v>0</v>
      </c>
      <c r="G56" s="1"/>
      <c r="H56" s="1">
        <f>SUM(OSRRefH22_8x_0)</f>
        <v>100</v>
      </c>
      <c r="I56" s="1"/>
      <c r="J56" s="5">
        <f t="shared" ref="J56:J58" si="33">IF(H$12=0,0,H56/H$12)</f>
        <v>0</v>
      </c>
      <c r="K56" s="1"/>
      <c r="L56" s="1">
        <f t="shared" ref="L56:L58" si="34">+D56-H56</f>
        <v>-100</v>
      </c>
      <c r="M56" s="1"/>
      <c r="N56" s="5">
        <f t="shared" ref="N56:N58" si="35">IF(H56=0,0,L56/H56)</f>
        <v>-1</v>
      </c>
      <c r="O56" s="14"/>
      <c r="P56" s="1">
        <f>SUM(OSRRefP22_8x_0)</f>
        <v>0</v>
      </c>
      <c r="Q56" s="1"/>
      <c r="R56" s="5">
        <f t="shared" ref="R56:R58" si="36">IF(P$12=0,0,P56/P$12)</f>
        <v>0</v>
      </c>
      <c r="S56" s="1"/>
      <c r="T56" s="1">
        <f>SUM(OSRRefT22_8x_0)</f>
        <v>1500</v>
      </c>
      <c r="U56" s="1"/>
      <c r="V56" s="5">
        <f t="shared" ref="V56:V58" si="37">IF(T$12=0,0,T56/T$12)</f>
        <v>0</v>
      </c>
      <c r="W56" s="1"/>
      <c r="X56" s="1">
        <f t="shared" ref="X56:X58" si="38">+P56-T56</f>
        <v>-1500</v>
      </c>
      <c r="Y56" s="1"/>
      <c r="Z56" s="5">
        <f t="shared" ref="Z56:Z58" si="39">IF(T56=0,0,X56/T56)</f>
        <v>-1</v>
      </c>
    </row>
    <row r="57" spans="1:26" s="24" customFormat="1" hidden="1" outlineLevel="2" x14ac:dyDescent="0.25">
      <c r="A57" s="29"/>
      <c r="B57" s="11" t="str">
        <f>CONCATENATE("          ", "6258", " - ", "MEMBERSHIP DUES")</f>
        <v xml:space="preserve">          6258 - MEMBERSHIP DUES</v>
      </c>
      <c r="C57" s="11"/>
      <c r="D57" s="7"/>
      <c r="E57" s="2"/>
      <c r="F57" s="6">
        <f t="shared" si="32"/>
        <v>0</v>
      </c>
      <c r="G57" s="2"/>
      <c r="H57" s="7"/>
      <c r="I57" s="2"/>
      <c r="J57" s="6">
        <f t="shared" si="33"/>
        <v>0</v>
      </c>
      <c r="K57" s="2"/>
      <c r="L57" s="7">
        <f t="shared" si="34"/>
        <v>0</v>
      </c>
      <c r="M57" s="2"/>
      <c r="N57" s="6">
        <f t="shared" si="35"/>
        <v>0</v>
      </c>
      <c r="O57" s="11"/>
      <c r="P57" s="7"/>
      <c r="Q57" s="2"/>
      <c r="R57" s="6">
        <f t="shared" si="36"/>
        <v>0</v>
      </c>
      <c r="S57" s="2"/>
      <c r="T57" s="7">
        <v>900</v>
      </c>
      <c r="U57" s="2"/>
      <c r="V57" s="6">
        <f t="shared" si="37"/>
        <v>0</v>
      </c>
      <c r="W57" s="2"/>
      <c r="X57" s="7">
        <f t="shared" si="38"/>
        <v>-900</v>
      </c>
      <c r="Y57" s="2"/>
      <c r="Z57" s="6">
        <f t="shared" si="39"/>
        <v>-1</v>
      </c>
    </row>
    <row r="58" spans="1:26" s="24" customFormat="1" hidden="1" outlineLevel="2" x14ac:dyDescent="0.25">
      <c r="A58" s="29"/>
      <c r="B58" s="11" t="str">
        <f>CONCATENATE("          ", "6275", " - ", "SUBSCRIPTIONS")</f>
        <v xml:space="preserve">          6275 - SUBSCRIPTIONS</v>
      </c>
      <c r="C58" s="11"/>
      <c r="D58" s="7"/>
      <c r="E58" s="2"/>
      <c r="F58" s="6">
        <f t="shared" si="32"/>
        <v>0</v>
      </c>
      <c r="G58" s="2"/>
      <c r="H58" s="7">
        <v>100</v>
      </c>
      <c r="I58" s="2"/>
      <c r="J58" s="6">
        <f t="shared" si="33"/>
        <v>0</v>
      </c>
      <c r="K58" s="2"/>
      <c r="L58" s="7">
        <f t="shared" si="34"/>
        <v>-100</v>
      </c>
      <c r="M58" s="2"/>
      <c r="N58" s="6">
        <f t="shared" si="35"/>
        <v>-1</v>
      </c>
      <c r="O58" s="11"/>
      <c r="P58" s="7"/>
      <c r="Q58" s="2"/>
      <c r="R58" s="6">
        <f t="shared" si="36"/>
        <v>0</v>
      </c>
      <c r="S58" s="2"/>
      <c r="T58" s="7">
        <v>600</v>
      </c>
      <c r="U58" s="2"/>
      <c r="V58" s="6">
        <f t="shared" si="37"/>
        <v>0</v>
      </c>
      <c r="W58" s="2"/>
      <c r="X58" s="7">
        <f t="shared" si="38"/>
        <v>-600</v>
      </c>
      <c r="Y58" s="2"/>
      <c r="Z58" s="6">
        <f t="shared" si="39"/>
        <v>-1</v>
      </c>
    </row>
    <row r="59" spans="1:26" s="28" customFormat="1" outlineLevel="1" collapsed="1" x14ac:dyDescent="0.25">
      <c r="A59" s="27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SUM(OSRRefD22_9x_0)</f>
        <v>0</v>
      </c>
      <c r="E59" s="1"/>
      <c r="F59" s="5">
        <f t="shared" ref="F59:F63" si="40">IF(D$12=0,0,D59/D$12)</f>
        <v>0</v>
      </c>
      <c r="G59" s="1"/>
      <c r="H59" s="1">
        <f>SUM(OSRRefH22_9x_0)</f>
        <v>300</v>
      </c>
      <c r="I59" s="1"/>
      <c r="J59" s="5">
        <f t="shared" ref="J59:J63" si="41">IF(H$12=0,0,H59/H$12)</f>
        <v>0</v>
      </c>
      <c r="K59" s="1"/>
      <c r="L59" s="1">
        <f t="shared" ref="L59:L63" si="42">+D59-H59</f>
        <v>-300</v>
      </c>
      <c r="M59" s="1"/>
      <c r="N59" s="5">
        <f t="shared" ref="N59:N63" si="43">IF(H59=0,0,L59/H59)</f>
        <v>-1</v>
      </c>
      <c r="O59" s="14"/>
      <c r="P59" s="1">
        <f>SUM(OSRRefP22_9x_0)</f>
        <v>-3004.18</v>
      </c>
      <c r="Q59" s="1"/>
      <c r="R59" s="5">
        <f t="shared" ref="R59:R63" si="44">IF(P$12=0,0,P59/P$12)</f>
        <v>0</v>
      </c>
      <c r="S59" s="1"/>
      <c r="T59" s="1">
        <f>SUM(OSRRefT22_9x_0)</f>
        <v>1800</v>
      </c>
      <c r="U59" s="1"/>
      <c r="V59" s="5">
        <f t="shared" ref="V59:V63" si="45">IF(T$12=0,0,T59/T$12)</f>
        <v>0</v>
      </c>
      <c r="W59" s="1"/>
      <c r="X59" s="1">
        <f t="shared" ref="X59:X63" si="46">+P59-T59</f>
        <v>-4804.18</v>
      </c>
      <c r="Y59" s="1"/>
      <c r="Z59" s="5">
        <f t="shared" ref="Z59:Z63" si="47">IF(T59=0,0,X59/T59)</f>
        <v>-2.6689888888888889</v>
      </c>
    </row>
    <row r="60" spans="1:26" s="24" customFormat="1" hidden="1" outlineLevel="2" x14ac:dyDescent="0.25">
      <c r="A60" s="29"/>
      <c r="B60" s="11" t="str">
        <f>CONCATENATE("          ", "6241", " - ", "OFFICE EXPENSE")</f>
        <v xml:space="preserve">          6241 - OFFICE EXPENSE</v>
      </c>
      <c r="C60" s="11"/>
      <c r="D60" s="7"/>
      <c r="E60" s="2"/>
      <c r="F60" s="6">
        <f t="shared" si="40"/>
        <v>0</v>
      </c>
      <c r="G60" s="2"/>
      <c r="H60" s="7">
        <v>300</v>
      </c>
      <c r="I60" s="2"/>
      <c r="J60" s="6">
        <f t="shared" si="41"/>
        <v>0</v>
      </c>
      <c r="K60" s="2"/>
      <c r="L60" s="7">
        <f t="shared" si="42"/>
        <v>-300</v>
      </c>
      <c r="M60" s="2"/>
      <c r="N60" s="6">
        <f t="shared" si="43"/>
        <v>-1</v>
      </c>
      <c r="O60" s="11"/>
      <c r="P60" s="7">
        <v>-3004.18</v>
      </c>
      <c r="Q60" s="2"/>
      <c r="R60" s="6">
        <f t="shared" si="44"/>
        <v>0</v>
      </c>
      <c r="S60" s="2"/>
      <c r="T60" s="7">
        <v>1800</v>
      </c>
      <c r="U60" s="2"/>
      <c r="V60" s="6">
        <f t="shared" si="45"/>
        <v>0</v>
      </c>
      <c r="W60" s="2"/>
      <c r="X60" s="7">
        <f t="shared" si="46"/>
        <v>-4804.18</v>
      </c>
      <c r="Y60" s="2"/>
      <c r="Z60" s="6">
        <f t="shared" si="47"/>
        <v>-2.6689888888888889</v>
      </c>
    </row>
    <row r="61" spans="1:26" s="28" customFormat="1" outlineLevel="1" collapsed="1" x14ac:dyDescent="0.25">
      <c r="A61" s="27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SUM(OSRRefD22_10x_0)</f>
        <v>948.13</v>
      </c>
      <c r="E61" s="1"/>
      <c r="F61" s="5">
        <f t="shared" si="40"/>
        <v>0</v>
      </c>
      <c r="G61" s="1"/>
      <c r="H61" s="1">
        <f>SUM(OSRRefH22_10x_0)</f>
        <v>395</v>
      </c>
      <c r="I61" s="1"/>
      <c r="J61" s="5">
        <f t="shared" si="41"/>
        <v>0</v>
      </c>
      <c r="K61" s="1"/>
      <c r="L61" s="1">
        <f t="shared" si="42"/>
        <v>553.13</v>
      </c>
      <c r="M61" s="1"/>
      <c r="N61" s="5">
        <f t="shared" si="43"/>
        <v>1.4003291139240506</v>
      </c>
      <c r="O61" s="14"/>
      <c r="P61" s="1">
        <f>SUM(OSRRefP22_10x_0)</f>
        <v>5098.54</v>
      </c>
      <c r="Q61" s="1"/>
      <c r="R61" s="5">
        <f t="shared" si="44"/>
        <v>0</v>
      </c>
      <c r="S61" s="1"/>
      <c r="T61" s="1">
        <f>SUM(OSRRefT22_10x_0)</f>
        <v>2370</v>
      </c>
      <c r="U61" s="1"/>
      <c r="V61" s="5">
        <f t="shared" si="45"/>
        <v>0</v>
      </c>
      <c r="W61" s="1"/>
      <c r="X61" s="1">
        <f t="shared" si="46"/>
        <v>2728.54</v>
      </c>
      <c r="Y61" s="1"/>
      <c r="Z61" s="5">
        <f t="shared" si="47"/>
        <v>1.1512827004219408</v>
      </c>
    </row>
    <row r="62" spans="1:26" s="24" customFormat="1" hidden="1" outlineLevel="2" x14ac:dyDescent="0.25">
      <c r="A62" s="29"/>
      <c r="B62" s="11" t="str">
        <f>CONCATENATE("          ", "6303", " - ", "DATA PHONE LINES")</f>
        <v xml:space="preserve">          6303 - DATA PHONE LINES</v>
      </c>
      <c r="C62" s="11"/>
      <c r="D62" s="7">
        <v>238.97</v>
      </c>
      <c r="E62" s="2"/>
      <c r="F62" s="6">
        <f t="shared" si="40"/>
        <v>0</v>
      </c>
      <c r="G62" s="2"/>
      <c r="H62" s="7">
        <v>335</v>
      </c>
      <c r="I62" s="2"/>
      <c r="J62" s="6">
        <f t="shared" si="41"/>
        <v>0</v>
      </c>
      <c r="K62" s="2"/>
      <c r="L62" s="7">
        <f t="shared" si="42"/>
        <v>-96.03</v>
      </c>
      <c r="M62" s="2"/>
      <c r="N62" s="6">
        <f t="shared" si="43"/>
        <v>-0.28665671641791046</v>
      </c>
      <c r="O62" s="11"/>
      <c r="P62" s="7">
        <v>764.9</v>
      </c>
      <c r="Q62" s="2"/>
      <c r="R62" s="6">
        <f t="shared" si="44"/>
        <v>0</v>
      </c>
      <c r="S62" s="2"/>
      <c r="T62" s="7">
        <v>2010</v>
      </c>
      <c r="U62" s="2"/>
      <c r="V62" s="6">
        <f t="shared" si="45"/>
        <v>0</v>
      </c>
      <c r="W62" s="2"/>
      <c r="X62" s="7">
        <f t="shared" si="46"/>
        <v>-1245.0999999999999</v>
      </c>
      <c r="Y62" s="2"/>
      <c r="Z62" s="6">
        <f t="shared" si="47"/>
        <v>-0.61945273631840791</v>
      </c>
    </row>
    <row r="63" spans="1:26" s="24" customFormat="1" hidden="1" outlineLevel="2" x14ac:dyDescent="0.25">
      <c r="A63" s="29"/>
      <c r="B63" s="11" t="str">
        <f>CONCATENATE("          ", "6309", " - ", "TELEPHONE")</f>
        <v xml:space="preserve">          6309 - TELEPHONE</v>
      </c>
      <c r="C63" s="11"/>
      <c r="D63" s="7">
        <v>709.16</v>
      </c>
      <c r="E63" s="2"/>
      <c r="F63" s="6">
        <f t="shared" si="40"/>
        <v>0</v>
      </c>
      <c r="G63" s="2"/>
      <c r="H63" s="7">
        <v>60</v>
      </c>
      <c r="I63" s="2"/>
      <c r="J63" s="6">
        <f t="shared" si="41"/>
        <v>0</v>
      </c>
      <c r="K63" s="2"/>
      <c r="L63" s="7">
        <f t="shared" si="42"/>
        <v>649.16</v>
      </c>
      <c r="M63" s="2"/>
      <c r="N63" s="6">
        <f t="shared" si="43"/>
        <v>10.819333333333333</v>
      </c>
      <c r="O63" s="11"/>
      <c r="P63" s="7">
        <v>4333.6400000000003</v>
      </c>
      <c r="Q63" s="2"/>
      <c r="R63" s="6">
        <f t="shared" si="44"/>
        <v>0</v>
      </c>
      <c r="S63" s="2"/>
      <c r="T63" s="7">
        <v>360</v>
      </c>
      <c r="U63" s="2"/>
      <c r="V63" s="6">
        <f t="shared" si="45"/>
        <v>0</v>
      </c>
      <c r="W63" s="2"/>
      <c r="X63" s="7">
        <f t="shared" si="46"/>
        <v>3973.6400000000003</v>
      </c>
      <c r="Y63" s="2"/>
      <c r="Z63" s="6">
        <f t="shared" si="47"/>
        <v>11.03788888888889</v>
      </c>
    </row>
    <row r="64" spans="1:26" s="28" customFormat="1" outlineLevel="1" collapsed="1" x14ac:dyDescent="0.25">
      <c r="A64" s="27"/>
      <c r="B64" s="14" t="str">
        <f>CONCATENATE("     ","Training                                          ")</f>
        <v xml:space="preserve">     Training                                          </v>
      </c>
      <c r="C64" s="14"/>
      <c r="D64" s="1">
        <f>SUM(OSRRefD22_11x_0)</f>
        <v>99</v>
      </c>
      <c r="E64" s="1"/>
      <c r="F64" s="5">
        <f t="shared" ref="F64:F67" si="48">IF(D$12=0,0,D64/D$12)</f>
        <v>0</v>
      </c>
      <c r="G64" s="1"/>
      <c r="H64" s="1">
        <f>SUM(OSRRefH22_11x_0)</f>
        <v>0</v>
      </c>
      <c r="I64" s="1"/>
      <c r="J64" s="5">
        <f t="shared" ref="J64:J67" si="49">IF(H$12=0,0,H64/H$12)</f>
        <v>0</v>
      </c>
      <c r="K64" s="1"/>
      <c r="L64" s="1">
        <f t="shared" ref="L64:L67" si="50">+D64-H64</f>
        <v>99</v>
      </c>
      <c r="M64" s="1"/>
      <c r="N64" s="5">
        <f t="shared" ref="N64:N67" si="51">IF(H64=0,0,L64/H64)</f>
        <v>0</v>
      </c>
      <c r="O64" s="14"/>
      <c r="P64" s="1">
        <f>SUM(OSRRefP22_11x_0)</f>
        <v>99</v>
      </c>
      <c r="Q64" s="1"/>
      <c r="R64" s="5">
        <f t="shared" ref="R64:R67" si="52">IF(P$12=0,0,P64/P$12)</f>
        <v>0</v>
      </c>
      <c r="S64" s="1"/>
      <c r="T64" s="1">
        <f>SUM(OSRRefT22_11x_0)</f>
        <v>0</v>
      </c>
      <c r="U64" s="1"/>
      <c r="V64" s="5">
        <f t="shared" ref="V64:V67" si="53">IF(T$12=0,0,T64/T$12)</f>
        <v>0</v>
      </c>
      <c r="W64" s="1"/>
      <c r="X64" s="1">
        <f t="shared" ref="X64:X67" si="54">+P64-T64</f>
        <v>99</v>
      </c>
      <c r="Y64" s="1"/>
      <c r="Z64" s="5">
        <f t="shared" ref="Z64:Z67" si="55">IF(T64=0,0,X64/T64)</f>
        <v>0</v>
      </c>
    </row>
    <row r="65" spans="1:26" s="24" customFormat="1" hidden="1" outlineLevel="2" x14ac:dyDescent="0.25">
      <c r="A65" s="29"/>
      <c r="B65" s="11" t="str">
        <f>CONCATENATE("          ", "6376", " - ", "TRAINING")</f>
        <v xml:space="preserve">          6376 - TRAINING</v>
      </c>
      <c r="C65" s="11"/>
      <c r="D65" s="7">
        <v>99</v>
      </c>
      <c r="E65" s="2"/>
      <c r="F65" s="6">
        <f t="shared" si="48"/>
        <v>0</v>
      </c>
      <c r="G65" s="2"/>
      <c r="H65" s="7"/>
      <c r="I65" s="2"/>
      <c r="J65" s="6">
        <f t="shared" si="49"/>
        <v>0</v>
      </c>
      <c r="K65" s="2"/>
      <c r="L65" s="7">
        <f t="shared" si="50"/>
        <v>99</v>
      </c>
      <c r="M65" s="2"/>
      <c r="N65" s="6">
        <f t="shared" si="51"/>
        <v>0</v>
      </c>
      <c r="O65" s="11"/>
      <c r="P65" s="7">
        <v>99</v>
      </c>
      <c r="Q65" s="2"/>
      <c r="R65" s="6">
        <f t="shared" si="52"/>
        <v>0</v>
      </c>
      <c r="S65" s="2"/>
      <c r="T65" s="7"/>
      <c r="U65" s="2"/>
      <c r="V65" s="6">
        <f t="shared" si="53"/>
        <v>0</v>
      </c>
      <c r="W65" s="2"/>
      <c r="X65" s="7">
        <f t="shared" si="54"/>
        <v>99</v>
      </c>
      <c r="Y65" s="2"/>
      <c r="Z65" s="6">
        <f t="shared" si="55"/>
        <v>0</v>
      </c>
    </row>
    <row r="66" spans="1:26" s="28" customFormat="1" outlineLevel="1" collapsed="1" x14ac:dyDescent="0.25">
      <c r="A66" s="27"/>
      <c r="B66" s="14" t="str">
        <f>CONCATENATE("     ","Travel                                            ")</f>
        <v xml:space="preserve">     Travel                                            </v>
      </c>
      <c r="C66" s="14"/>
      <c r="D66" s="1">
        <f>SUM(OSRRefD22_12x_0)</f>
        <v>0</v>
      </c>
      <c r="E66" s="1"/>
      <c r="F66" s="5">
        <f t="shared" si="48"/>
        <v>0</v>
      </c>
      <c r="G66" s="1"/>
      <c r="H66" s="1">
        <f>SUM(OSRRefH22_12x_0)</f>
        <v>625</v>
      </c>
      <c r="I66" s="1"/>
      <c r="J66" s="5">
        <f t="shared" si="49"/>
        <v>0</v>
      </c>
      <c r="K66" s="1"/>
      <c r="L66" s="1">
        <f t="shared" si="50"/>
        <v>-625</v>
      </c>
      <c r="M66" s="1"/>
      <c r="N66" s="5">
        <f t="shared" si="51"/>
        <v>-1</v>
      </c>
      <c r="O66" s="14"/>
      <c r="P66" s="1">
        <f>SUM(OSRRefP22_12x_0)</f>
        <v>0</v>
      </c>
      <c r="Q66" s="1"/>
      <c r="R66" s="5">
        <f t="shared" si="52"/>
        <v>0</v>
      </c>
      <c r="S66" s="1"/>
      <c r="T66" s="1">
        <f>SUM(OSRRefT22_12x_0)</f>
        <v>3750</v>
      </c>
      <c r="U66" s="1"/>
      <c r="V66" s="5">
        <f t="shared" si="53"/>
        <v>0</v>
      </c>
      <c r="W66" s="1"/>
      <c r="X66" s="1">
        <f t="shared" si="54"/>
        <v>-3750</v>
      </c>
      <c r="Y66" s="1"/>
      <c r="Z66" s="5">
        <f t="shared" si="55"/>
        <v>-1</v>
      </c>
    </row>
    <row r="67" spans="1:26" s="24" customFormat="1" hidden="1" outlineLevel="2" x14ac:dyDescent="0.25">
      <c r="A67" s="29"/>
      <c r="B67" s="11" t="str">
        <f>CONCATENATE("          ", "6292", " - ", "TRAVEL/CONFERENCE")</f>
        <v xml:space="preserve">          6292 - TRAVEL/CONFERENCE</v>
      </c>
      <c r="C67" s="11"/>
      <c r="D67" s="7"/>
      <c r="E67" s="2"/>
      <c r="F67" s="6">
        <f t="shared" si="48"/>
        <v>0</v>
      </c>
      <c r="G67" s="2"/>
      <c r="H67" s="7">
        <v>625</v>
      </c>
      <c r="I67" s="2"/>
      <c r="J67" s="6">
        <f t="shared" si="49"/>
        <v>0</v>
      </c>
      <c r="K67" s="2"/>
      <c r="L67" s="7">
        <f t="shared" si="50"/>
        <v>-625</v>
      </c>
      <c r="M67" s="2"/>
      <c r="N67" s="6">
        <f t="shared" si="51"/>
        <v>-1</v>
      </c>
      <c r="O67" s="11"/>
      <c r="P67" s="7"/>
      <c r="Q67" s="2"/>
      <c r="R67" s="6">
        <f t="shared" si="52"/>
        <v>0</v>
      </c>
      <c r="S67" s="2"/>
      <c r="T67" s="7">
        <v>3750</v>
      </c>
      <c r="U67" s="2"/>
      <c r="V67" s="6">
        <f t="shared" si="53"/>
        <v>0</v>
      </c>
      <c r="W67" s="2"/>
      <c r="X67" s="7">
        <f t="shared" si="54"/>
        <v>-3750</v>
      </c>
      <c r="Y67" s="2"/>
      <c r="Z67" s="6">
        <f t="shared" si="55"/>
        <v>-1</v>
      </c>
    </row>
    <row r="68" spans="1:26" s="53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6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5" t="s">
        <v>3</v>
      </c>
      <c r="C71" s="25"/>
      <c r="D71" s="21">
        <f>+D16-D18+D69</f>
        <v>-44863.99</v>
      </c>
      <c r="E71" s="13"/>
      <c r="F71" s="19">
        <f>IF(D$12=0,0,D71/D$12)</f>
        <v>0</v>
      </c>
      <c r="G71" s="13"/>
      <c r="H71" s="21">
        <f>+H16-H18+H69</f>
        <v>-51259.722846153818</v>
      </c>
      <c r="I71" s="13"/>
      <c r="J71" s="19">
        <f>IF(H$12=0,0,H71/H$12)</f>
        <v>0</v>
      </c>
      <c r="K71" s="16"/>
      <c r="L71" s="21">
        <f>+D71-H71</f>
        <v>6395.73284615382</v>
      </c>
      <c r="M71" s="16"/>
      <c r="N71" s="19">
        <f>IF(H71=0,0,L71/H71)</f>
        <v>-0.12477111640555257</v>
      </c>
      <c r="O71" s="26"/>
      <c r="P71" s="21">
        <f>+P16-P18+P69</f>
        <v>-306555.24000000005</v>
      </c>
      <c r="Q71" s="13"/>
      <c r="R71" s="19">
        <f>IF(P$12=0,0,P71/P$12)</f>
        <v>0</v>
      </c>
      <c r="S71" s="13"/>
      <c r="T71" s="21">
        <f>+T16-T18+T69</f>
        <v>-314253.21384615381</v>
      </c>
      <c r="U71" s="13"/>
      <c r="V71" s="19">
        <f>IF(T$12=0,0,T71/T$12)</f>
        <v>0</v>
      </c>
      <c r="W71" s="16"/>
      <c r="X71" s="21">
        <f>+P71-T71</f>
        <v>7697.9738461537636</v>
      </c>
      <c r="Y71" s="16"/>
      <c r="Z71" s="19">
        <f>IF(T71=0,0,X71/T71)</f>
        <v>-2.449608629912817E-2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14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5" t="s">
        <v>4</v>
      </c>
      <c r="C75" s="25"/>
      <c r="D75" s="34">
        <f>+D71-D73</f>
        <v>-44863.99</v>
      </c>
      <c r="E75" s="13"/>
      <c r="F75" s="31">
        <f>IF(D$12=0,0,D75/D$12)</f>
        <v>0</v>
      </c>
      <c r="G75" s="13"/>
      <c r="H75" s="34">
        <f>+H71-H73</f>
        <v>-51259.722846153818</v>
      </c>
      <c r="I75" s="13"/>
      <c r="J75" s="31">
        <f>IF(H$12=0,0,H75/H$12)</f>
        <v>0</v>
      </c>
      <c r="K75" s="16"/>
      <c r="L75" s="34">
        <f>D75-H75</f>
        <v>6395.73284615382</v>
      </c>
      <c r="M75" s="16"/>
      <c r="N75" s="31">
        <f>IF(H75=0,0,L75/H75)</f>
        <v>-0.12477111640555257</v>
      </c>
      <c r="O75" s="26"/>
      <c r="P75" s="34">
        <f>+P71-P73</f>
        <v>-306555.24000000005</v>
      </c>
      <c r="Q75" s="13"/>
      <c r="R75" s="31">
        <f>IF(P$12=0,0,P75/P$12)</f>
        <v>0</v>
      </c>
      <c r="S75" s="13"/>
      <c r="T75" s="34">
        <f>+T71-T73</f>
        <v>-314253.21384615381</v>
      </c>
      <c r="U75" s="13"/>
      <c r="V75" s="31">
        <f>IF(T$12=0,0,T75/T$12)</f>
        <v>0</v>
      </c>
      <c r="W75" s="16"/>
      <c r="X75" s="34">
        <f>P75-T75</f>
        <v>7697.9738461537636</v>
      </c>
      <c r="Y75" s="16"/>
      <c r="Z75" s="31">
        <f>IF(T75=0,0,X75/T75)</f>
        <v>-2.449608629912817E-2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5" t="s">
        <v>5</v>
      </c>
      <c r="C78" s="25"/>
      <c r="D78" s="33">
        <f>SUM(D75:D77)</f>
        <v>-44863.99</v>
      </c>
      <c r="E78" s="13"/>
      <c r="F78" s="32">
        <f>IF(D$12=0,0,D78/D$12)</f>
        <v>0</v>
      </c>
      <c r="G78" s="13"/>
      <c r="H78" s="33">
        <f>SUM(H75:H77)</f>
        <v>-51259.722846153818</v>
      </c>
      <c r="I78" s="13"/>
      <c r="J78" s="32">
        <f>IF(H$12=0,0,H78/H$12)</f>
        <v>0</v>
      </c>
      <c r="K78" s="16"/>
      <c r="L78" s="33">
        <f>+D78-H78</f>
        <v>6395.73284615382</v>
      </c>
      <c r="M78" s="16"/>
      <c r="N78" s="32">
        <f>IF(H78=0,0,L78/H78)</f>
        <v>-0.12477111640555257</v>
      </c>
      <c r="O78" s="26"/>
      <c r="P78" s="33">
        <f>SUM(P75:P77)</f>
        <v>-306555.24000000005</v>
      </c>
      <c r="Q78" s="13"/>
      <c r="R78" s="32">
        <f>IF(P$12=0,0,P78/P$12)</f>
        <v>0</v>
      </c>
      <c r="S78" s="13"/>
      <c r="T78" s="33">
        <f>SUM(T75:T77)</f>
        <v>-314253.21384615381</v>
      </c>
      <c r="U78" s="13"/>
      <c r="V78" s="32">
        <f>IF(T$12=0,0,T78/T$12)</f>
        <v>0</v>
      </c>
      <c r="W78" s="16"/>
      <c r="X78" s="33">
        <f>+P78-T78</f>
        <v>7697.9738461537636</v>
      </c>
      <c r="Y78" s="16"/>
      <c r="Z78" s="32">
        <f>IF(T78=0,0,X78/T78)</f>
        <v>-2.449608629912817E-2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3">
        <v>44209.518327083337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60" t="s">
        <v>314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8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","205", " - ", "Maintenance")</f>
        <v>Department 205 - Maintenance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6"/>
      <c r="L16" s="21">
        <f>+D16-H16</f>
        <v>0</v>
      </c>
      <c r="M16" s="16"/>
      <c r="N16" s="19">
        <f>IF(H16=0,0,L16/H16)</f>
        <v>0</v>
      </c>
      <c r="O16" s="26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6"/>
      <c r="X16" s="21">
        <f>+P16-T16</f>
        <v>0</v>
      </c>
      <c r="Y16" s="16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7720.61</v>
      </c>
      <c r="E18" s="20"/>
      <c r="F18" s="30">
        <f t="shared" ref="F18:F28" si="0">IF(D$12=0,0,D18/D$12)</f>
        <v>0</v>
      </c>
      <c r="G18" s="20"/>
      <c r="H18" s="20">
        <f>SUM(OSRRefH22x_0)</f>
        <v>7140.2521538461542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580.35784615384546</v>
      </c>
      <c r="M18" s="4"/>
      <c r="N18" s="30">
        <f t="shared" ref="N18:N28" si="3">IF(H18=0,0,L18/H18)</f>
        <v>8.1279741058056479E-2</v>
      </c>
      <c r="O18" s="10"/>
      <c r="P18" s="20">
        <f>SUM(OSRRefP22x_0)</f>
        <v>47588.160000000003</v>
      </c>
      <c r="Q18" s="20"/>
      <c r="R18" s="30">
        <f t="shared" ref="R18:R28" si="4">IF(P$12=0,0,P18/P$12)</f>
        <v>0</v>
      </c>
      <c r="S18" s="20"/>
      <c r="T18" s="20">
        <f>SUM(OSRRefT22x_0)</f>
        <v>50323.138999999996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-2734.9789999999921</v>
      </c>
      <c r="Y18" s="4"/>
      <c r="Z18" s="30">
        <f t="shared" ref="Z18:Z28" si="7">IF(T18=0,0,X18/T18)</f>
        <v>-5.4348338643978318E-2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2617.2999999999997</v>
      </c>
      <c r="E19" s="1"/>
      <c r="F19" s="5">
        <f t="shared" si="0"/>
        <v>0</v>
      </c>
      <c r="G19" s="1"/>
      <c r="H19" s="1">
        <f>SUM(OSRRefH22_0x_0)</f>
        <v>1825.2521538461542</v>
      </c>
      <c r="I19" s="1"/>
      <c r="J19" s="5">
        <f t="shared" si="1"/>
        <v>0</v>
      </c>
      <c r="K19" s="1"/>
      <c r="L19" s="1">
        <f t="shared" si="2"/>
        <v>792.04784615384551</v>
      </c>
      <c r="M19" s="1"/>
      <c r="N19" s="5">
        <f t="shared" si="3"/>
        <v>0.43393886400016002</v>
      </c>
      <c r="O19" s="14"/>
      <c r="P19" s="1">
        <f>SUM(OSRRefP22_0x_0)</f>
        <v>14883.059999999998</v>
      </c>
      <c r="Q19" s="1"/>
      <c r="R19" s="5">
        <f t="shared" si="4"/>
        <v>0</v>
      </c>
      <c r="S19" s="1"/>
      <c r="T19" s="1">
        <f>SUM(OSRRefT22_0x_0)</f>
        <v>11864.138999999999</v>
      </c>
      <c r="U19" s="1"/>
      <c r="V19" s="5">
        <f t="shared" si="5"/>
        <v>0</v>
      </c>
      <c r="W19" s="1"/>
      <c r="X19" s="1">
        <f t="shared" si="6"/>
        <v>3018.9209999999985</v>
      </c>
      <c r="Y19" s="1"/>
      <c r="Z19" s="5">
        <f t="shared" si="7"/>
        <v>0.25445765596643788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318.56</v>
      </c>
      <c r="E20" s="2"/>
      <c r="F20" s="6">
        <f t="shared" si="0"/>
        <v>0</v>
      </c>
      <c r="G20" s="2"/>
      <c r="H20" s="7">
        <v>321.42599999999999</v>
      </c>
      <c r="I20" s="2"/>
      <c r="J20" s="6">
        <f t="shared" si="1"/>
        <v>0</v>
      </c>
      <c r="K20" s="2"/>
      <c r="L20" s="7">
        <f t="shared" si="2"/>
        <v>-2.8659999999999854</v>
      </c>
      <c r="M20" s="2"/>
      <c r="N20" s="6">
        <f t="shared" si="3"/>
        <v>-8.9165157765706115E-3</v>
      </c>
      <c r="O20" s="11"/>
      <c r="P20" s="7">
        <v>2059.46</v>
      </c>
      <c r="Q20" s="2"/>
      <c r="R20" s="6">
        <f t="shared" si="4"/>
        <v>0</v>
      </c>
      <c r="S20" s="2"/>
      <c r="T20" s="7">
        <v>2089.2689999999998</v>
      </c>
      <c r="U20" s="2"/>
      <c r="V20" s="6">
        <f t="shared" si="5"/>
        <v>0</v>
      </c>
      <c r="W20" s="2"/>
      <c r="X20" s="7">
        <f t="shared" si="6"/>
        <v>-29.808999999999742</v>
      </c>
      <c r="Y20" s="2"/>
      <c r="Z20" s="6">
        <f t="shared" si="7"/>
        <v>-1.4267669696913008E-2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429.19</v>
      </c>
      <c r="E21" s="2"/>
      <c r="F21" s="6">
        <f t="shared" si="0"/>
        <v>0</v>
      </c>
      <c r="G21" s="2"/>
      <c r="H21" s="7">
        <v>291.06</v>
      </c>
      <c r="I21" s="2"/>
      <c r="J21" s="6">
        <f t="shared" si="1"/>
        <v>0</v>
      </c>
      <c r="K21" s="2"/>
      <c r="L21" s="7">
        <f t="shared" si="2"/>
        <v>138.13</v>
      </c>
      <c r="M21" s="2"/>
      <c r="N21" s="6">
        <f t="shared" si="3"/>
        <v>0.47457568886140311</v>
      </c>
      <c r="O21" s="11"/>
      <c r="P21" s="7">
        <v>2005.36</v>
      </c>
      <c r="Q21" s="2"/>
      <c r="R21" s="6">
        <f t="shared" si="4"/>
        <v>0</v>
      </c>
      <c r="S21" s="2"/>
      <c r="T21" s="7">
        <v>1891.89</v>
      </c>
      <c r="U21" s="2"/>
      <c r="V21" s="6">
        <f t="shared" si="5"/>
        <v>0</v>
      </c>
      <c r="W21" s="2"/>
      <c r="X21" s="7">
        <f t="shared" si="6"/>
        <v>113.4699999999998</v>
      </c>
      <c r="Y21" s="2"/>
      <c r="Z21" s="6">
        <f t="shared" si="7"/>
        <v>5.997705997705987E-2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696.16</v>
      </c>
      <c r="E22" s="2"/>
      <c r="F22" s="6">
        <f t="shared" si="0"/>
        <v>0</v>
      </c>
      <c r="G22" s="2"/>
      <c r="H22" s="7">
        <v>613.84615384615404</v>
      </c>
      <c r="I22" s="2"/>
      <c r="J22" s="6">
        <f t="shared" si="1"/>
        <v>0</v>
      </c>
      <c r="K22" s="2"/>
      <c r="L22" s="7">
        <f t="shared" si="2"/>
        <v>82.31384615384593</v>
      </c>
      <c r="M22" s="2"/>
      <c r="N22" s="6">
        <f t="shared" si="3"/>
        <v>0.13409523809523768</v>
      </c>
      <c r="O22" s="11"/>
      <c r="P22" s="7">
        <v>4176.96</v>
      </c>
      <c r="Q22" s="2"/>
      <c r="R22" s="6">
        <f t="shared" si="4"/>
        <v>0</v>
      </c>
      <c r="S22" s="2"/>
      <c r="T22" s="7">
        <v>3990</v>
      </c>
      <c r="U22" s="2"/>
      <c r="V22" s="6">
        <f t="shared" si="5"/>
        <v>0</v>
      </c>
      <c r="W22" s="2"/>
      <c r="X22" s="7">
        <f t="shared" si="6"/>
        <v>186.96000000000004</v>
      </c>
      <c r="Y22" s="2"/>
      <c r="Z22" s="6">
        <f t="shared" si="7"/>
        <v>4.6857142857142868E-2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10.92</v>
      </c>
      <c r="I23" s="2"/>
      <c r="J23" s="6">
        <f t="shared" si="1"/>
        <v>0</v>
      </c>
      <c r="K23" s="2"/>
      <c r="L23" s="7">
        <f t="shared" si="2"/>
        <v>-10.92</v>
      </c>
      <c r="M23" s="2"/>
      <c r="N23" s="6">
        <f t="shared" si="3"/>
        <v>-1</v>
      </c>
      <c r="O23" s="11"/>
      <c r="P23" s="7">
        <v>59.15</v>
      </c>
      <c r="Q23" s="2"/>
      <c r="R23" s="6">
        <f t="shared" si="4"/>
        <v>0</v>
      </c>
      <c r="S23" s="2"/>
      <c r="T23" s="7">
        <v>70.98</v>
      </c>
      <c r="U23" s="2"/>
      <c r="V23" s="6">
        <f t="shared" si="5"/>
        <v>0</v>
      </c>
      <c r="W23" s="2"/>
      <c r="X23" s="7">
        <f t="shared" si="6"/>
        <v>-11.830000000000005</v>
      </c>
      <c r="Y23" s="2"/>
      <c r="Z23" s="6">
        <f t="shared" si="7"/>
        <v>-0.16666666666666674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463.27</v>
      </c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463.27</v>
      </c>
      <c r="M24" s="2"/>
      <c r="N24" s="6">
        <f t="shared" si="3"/>
        <v>0</v>
      </c>
      <c r="O24" s="11"/>
      <c r="P24" s="7">
        <v>3011.26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3011.26</v>
      </c>
      <c r="Y24" s="2"/>
      <c r="Z24" s="6">
        <f t="shared" si="7"/>
        <v>0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387.96</v>
      </c>
      <c r="E26" s="2"/>
      <c r="F26" s="6">
        <f t="shared" si="0"/>
        <v>0</v>
      </c>
      <c r="G26" s="2"/>
      <c r="H26" s="7">
        <v>420</v>
      </c>
      <c r="I26" s="2"/>
      <c r="J26" s="6">
        <f t="shared" si="1"/>
        <v>0</v>
      </c>
      <c r="K26" s="2"/>
      <c r="L26" s="7">
        <f t="shared" si="2"/>
        <v>-32.04000000000002</v>
      </c>
      <c r="M26" s="2"/>
      <c r="N26" s="6">
        <f t="shared" si="3"/>
        <v>-7.6285714285714332E-2</v>
      </c>
      <c r="O26" s="11"/>
      <c r="P26" s="7">
        <v>1421.9</v>
      </c>
      <c r="Q26" s="2"/>
      <c r="R26" s="6">
        <f t="shared" si="4"/>
        <v>0</v>
      </c>
      <c r="S26" s="2"/>
      <c r="T26" s="7">
        <v>2730</v>
      </c>
      <c r="U26" s="2"/>
      <c r="V26" s="6">
        <f t="shared" si="5"/>
        <v>0</v>
      </c>
      <c r="W26" s="2"/>
      <c r="X26" s="7">
        <f t="shared" si="6"/>
        <v>-1308.0999999999999</v>
      </c>
      <c r="Y26" s="2"/>
      <c r="Z26" s="6">
        <f t="shared" si="7"/>
        <v>-0.4791575091575091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193.72</v>
      </c>
      <c r="E27" s="2"/>
      <c r="F27" s="6">
        <f t="shared" si="0"/>
        <v>0</v>
      </c>
      <c r="G27" s="2"/>
      <c r="H27" s="7">
        <v>168</v>
      </c>
      <c r="I27" s="2"/>
      <c r="J27" s="6">
        <f t="shared" si="1"/>
        <v>0</v>
      </c>
      <c r="K27" s="2"/>
      <c r="L27" s="7">
        <f t="shared" si="2"/>
        <v>25.72</v>
      </c>
      <c r="M27" s="2"/>
      <c r="N27" s="6">
        <f t="shared" si="3"/>
        <v>0.15309523809523809</v>
      </c>
      <c r="O27" s="11"/>
      <c r="P27" s="7">
        <v>1259.18</v>
      </c>
      <c r="Q27" s="2"/>
      <c r="R27" s="6">
        <f t="shared" si="4"/>
        <v>0</v>
      </c>
      <c r="S27" s="2"/>
      <c r="T27" s="7">
        <v>1092</v>
      </c>
      <c r="U27" s="2"/>
      <c r="V27" s="6">
        <f t="shared" si="5"/>
        <v>0</v>
      </c>
      <c r="W27" s="2"/>
      <c r="X27" s="7">
        <f t="shared" si="6"/>
        <v>167.18000000000006</v>
      </c>
      <c r="Y27" s="2"/>
      <c r="Z27" s="6">
        <f t="shared" si="7"/>
        <v>0.15309523809523815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128.44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128.44</v>
      </c>
      <c r="M28" s="2"/>
      <c r="N28" s="6">
        <f t="shared" si="3"/>
        <v>0</v>
      </c>
      <c r="O28" s="11"/>
      <c r="P28" s="7">
        <v>889.79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889.79</v>
      </c>
      <c r="Y28" s="2"/>
      <c r="Z28" s="6">
        <f t="shared" si="7"/>
        <v>0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3989.75</v>
      </c>
      <c r="E29" s="1"/>
      <c r="F29" s="5">
        <f t="shared" ref="F29:F39" si="8">IF(D$12=0,0,D29/D$12)</f>
        <v>0</v>
      </c>
      <c r="G29" s="1"/>
      <c r="H29" s="1">
        <f>SUM(OSRRefH22_1x_0)</f>
        <v>3738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251.75</v>
      </c>
      <c r="M29" s="1"/>
      <c r="N29" s="5">
        <f t="shared" ref="N29:N39" si="11">IF(H29=0,0,L29/H29)</f>
        <v>6.7348849652220433E-2</v>
      </c>
      <c r="O29" s="14"/>
      <c r="P29" s="1">
        <f>SUM(OSRRefP22_1x_0)</f>
        <v>25408.41</v>
      </c>
      <c r="Q29" s="1"/>
      <c r="R29" s="5">
        <f t="shared" ref="R29:R39" si="12">IF(P$12=0,0,P29/P$12)</f>
        <v>0</v>
      </c>
      <c r="S29" s="1"/>
      <c r="T29" s="1">
        <f>SUM(OSRRefT22_1x_0)</f>
        <v>24297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1111.4099999999999</v>
      </c>
      <c r="Y29" s="1"/>
      <c r="Z29" s="5">
        <f t="shared" ref="Z29:Z39" si="15">IF(T29=0,0,X29/T29)</f>
        <v>4.5742684282010115E-2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>
        <v>3989.75</v>
      </c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3989.75</v>
      </c>
      <c r="M31" s="2"/>
      <c r="N31" s="6">
        <f t="shared" si="11"/>
        <v>0</v>
      </c>
      <c r="O31" s="11"/>
      <c r="P31" s="7">
        <v>25408.41</v>
      </c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25408.41</v>
      </c>
      <c r="Y31" s="2"/>
      <c r="Z31" s="6">
        <f t="shared" si="15"/>
        <v>0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3738</v>
      </c>
      <c r="I33" s="2"/>
      <c r="J33" s="6">
        <f t="shared" si="9"/>
        <v>0</v>
      </c>
      <c r="K33" s="2"/>
      <c r="L33" s="7">
        <f t="shared" si="10"/>
        <v>-3738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24297</v>
      </c>
      <c r="U33" s="2"/>
      <c r="V33" s="6">
        <f t="shared" si="13"/>
        <v>0</v>
      </c>
      <c r="W33" s="2"/>
      <c r="X33" s="7">
        <f t="shared" si="14"/>
        <v>-24297</v>
      </c>
      <c r="Y33" s="2"/>
      <c r="Z33" s="6">
        <f t="shared" si="15"/>
        <v>-1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25">
      <c r="A40" s="27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-150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150</v>
      </c>
      <c r="M40" s="1"/>
      <c r="N40" s="5">
        <f t="shared" ref="N40:N46" si="19">IF(H40=0,0,L40/H40)</f>
        <v>-1</v>
      </c>
      <c r="O40" s="14"/>
      <c r="P40" s="1">
        <f>SUM(OSRRefP22_2x_0)</f>
        <v>0</v>
      </c>
      <c r="Q40" s="1"/>
      <c r="R40" s="5">
        <f t="shared" ref="R40:R46" si="20">IF(P$12=0,0,P40/P$12)</f>
        <v>0</v>
      </c>
      <c r="S40" s="1"/>
      <c r="T40" s="1">
        <f>SUM(OSRRefT22_2x_0)</f>
        <v>-600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600</v>
      </c>
      <c r="Y40" s="1"/>
      <c r="Z40" s="5">
        <f t="shared" ref="Z40:Z46" si="23">IF(T40=0,0,X40/T40)</f>
        <v>-1</v>
      </c>
    </row>
    <row r="41" spans="1:26" s="24" customFormat="1" hidden="1" outlineLevel="2" x14ac:dyDescent="0.25">
      <c r="A41" s="29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16"/>
        <v>0</v>
      </c>
      <c r="G41" s="2"/>
      <c r="H41" s="7">
        <v>-150</v>
      </c>
      <c r="I41" s="2"/>
      <c r="J41" s="6">
        <f t="shared" si="17"/>
        <v>0</v>
      </c>
      <c r="K41" s="2"/>
      <c r="L41" s="7">
        <f t="shared" si="18"/>
        <v>150</v>
      </c>
      <c r="M41" s="2"/>
      <c r="N41" s="6">
        <f t="shared" si="19"/>
        <v>-1</v>
      </c>
      <c r="O41" s="11"/>
      <c r="P41" s="7"/>
      <c r="Q41" s="2"/>
      <c r="R41" s="6">
        <f t="shared" si="20"/>
        <v>0</v>
      </c>
      <c r="S41" s="2"/>
      <c r="T41" s="7">
        <v>-600</v>
      </c>
      <c r="U41" s="2"/>
      <c r="V41" s="6">
        <f t="shared" si="21"/>
        <v>0</v>
      </c>
      <c r="W41" s="2"/>
      <c r="X41" s="7">
        <f t="shared" si="22"/>
        <v>600</v>
      </c>
      <c r="Y41" s="2"/>
      <c r="Z41" s="6">
        <f t="shared" si="23"/>
        <v>-1</v>
      </c>
    </row>
    <row r="42" spans="1:26" s="28" customFormat="1" outlineLevel="1" collapsed="1" x14ac:dyDescent="0.25">
      <c r="A42" s="27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SUM(OSRRefD22_3x_0)</f>
        <v>24.56</v>
      </c>
      <c r="E42" s="1"/>
      <c r="F42" s="5">
        <f t="shared" si="16"/>
        <v>0</v>
      </c>
      <c r="G42" s="1"/>
      <c r="H42" s="1">
        <f>SUM(OSRRefH22_3x_0)</f>
        <v>27</v>
      </c>
      <c r="I42" s="1"/>
      <c r="J42" s="5">
        <f t="shared" si="17"/>
        <v>0</v>
      </c>
      <c r="K42" s="1"/>
      <c r="L42" s="1">
        <f t="shared" si="18"/>
        <v>-2.4400000000000013</v>
      </c>
      <c r="M42" s="1"/>
      <c r="N42" s="5">
        <f t="shared" si="19"/>
        <v>-9.037037037037042E-2</v>
      </c>
      <c r="O42" s="14"/>
      <c r="P42" s="1">
        <f>SUM(OSRRefP22_3x_0)</f>
        <v>147.36000000000001</v>
      </c>
      <c r="Q42" s="1"/>
      <c r="R42" s="5">
        <f t="shared" si="20"/>
        <v>0</v>
      </c>
      <c r="S42" s="1"/>
      <c r="T42" s="1">
        <f>SUM(OSRRefT22_3x_0)</f>
        <v>162</v>
      </c>
      <c r="U42" s="1"/>
      <c r="V42" s="5">
        <f t="shared" si="21"/>
        <v>0</v>
      </c>
      <c r="W42" s="1"/>
      <c r="X42" s="1">
        <f t="shared" si="22"/>
        <v>-14.639999999999986</v>
      </c>
      <c r="Y42" s="1"/>
      <c r="Z42" s="5">
        <f t="shared" si="23"/>
        <v>-9.0370370370370282E-2</v>
      </c>
    </row>
    <row r="43" spans="1:26" s="24" customFormat="1" hidden="1" outlineLevel="2" x14ac:dyDescent="0.25">
      <c r="A43" s="29"/>
      <c r="B43" s="11" t="str">
        <f>CONCATENATE("          ", "6314", " - ", "LIABILITY INSURANCE")</f>
        <v xml:space="preserve">          6314 - LIABILITY INSURANCE</v>
      </c>
      <c r="C43" s="11"/>
      <c r="D43" s="7">
        <v>24.56</v>
      </c>
      <c r="E43" s="2"/>
      <c r="F43" s="6">
        <f t="shared" si="16"/>
        <v>0</v>
      </c>
      <c r="G43" s="2"/>
      <c r="H43" s="7">
        <v>27</v>
      </c>
      <c r="I43" s="2"/>
      <c r="J43" s="6">
        <f t="shared" si="17"/>
        <v>0</v>
      </c>
      <c r="K43" s="2"/>
      <c r="L43" s="7">
        <f t="shared" si="18"/>
        <v>-2.4400000000000013</v>
      </c>
      <c r="M43" s="2"/>
      <c r="N43" s="6">
        <f t="shared" si="19"/>
        <v>-9.037037037037042E-2</v>
      </c>
      <c r="O43" s="11"/>
      <c r="P43" s="7">
        <v>147.36000000000001</v>
      </c>
      <c r="Q43" s="2"/>
      <c r="R43" s="6">
        <f t="shared" si="20"/>
        <v>0</v>
      </c>
      <c r="S43" s="2"/>
      <c r="T43" s="7">
        <v>162</v>
      </c>
      <c r="U43" s="2"/>
      <c r="V43" s="6">
        <f t="shared" si="21"/>
        <v>0</v>
      </c>
      <c r="W43" s="2"/>
      <c r="X43" s="7">
        <f t="shared" si="22"/>
        <v>-14.639999999999986</v>
      </c>
      <c r="Y43" s="2"/>
      <c r="Z43" s="6">
        <f t="shared" si="23"/>
        <v>-9.0370370370370282E-2</v>
      </c>
    </row>
    <row r="44" spans="1:26" s="28" customFormat="1" outlineLevel="1" collapsed="1" x14ac:dyDescent="0.25">
      <c r="A44" s="27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866</v>
      </c>
      <c r="E44" s="1"/>
      <c r="F44" s="5">
        <f t="shared" si="16"/>
        <v>0</v>
      </c>
      <c r="G44" s="1"/>
      <c r="H44" s="1">
        <f>SUM(OSRRefH22_4x_0)</f>
        <v>1500</v>
      </c>
      <c r="I44" s="1"/>
      <c r="J44" s="5">
        <f t="shared" si="17"/>
        <v>0</v>
      </c>
      <c r="K44" s="1"/>
      <c r="L44" s="1">
        <f t="shared" si="18"/>
        <v>-634</v>
      </c>
      <c r="M44" s="1"/>
      <c r="N44" s="5">
        <f t="shared" si="19"/>
        <v>-0.42266666666666669</v>
      </c>
      <c r="O44" s="14"/>
      <c r="P44" s="1">
        <f>SUM(OSRRefP22_4x_0)</f>
        <v>6500.29</v>
      </c>
      <c r="Q44" s="1"/>
      <c r="R44" s="5">
        <f t="shared" si="20"/>
        <v>0</v>
      </c>
      <c r="S44" s="1"/>
      <c r="T44" s="1">
        <f>SUM(OSRRefT22_4x_0)</f>
        <v>9000</v>
      </c>
      <c r="U44" s="1"/>
      <c r="V44" s="5">
        <f t="shared" si="21"/>
        <v>0</v>
      </c>
      <c r="W44" s="1"/>
      <c r="X44" s="1">
        <f t="shared" si="22"/>
        <v>-2499.71</v>
      </c>
      <c r="Y44" s="1"/>
      <c r="Z44" s="5">
        <f t="shared" si="23"/>
        <v>-0.27774555555555558</v>
      </c>
    </row>
    <row r="45" spans="1:26" s="24" customFormat="1" hidden="1" outlineLevel="2" x14ac:dyDescent="0.25">
      <c r="A45" s="29"/>
      <c r="B45" s="11" t="str">
        <f>CONCATENATE("          ", "6373", " - ", "MAINTENANCE CONTRACTS")</f>
        <v xml:space="preserve">          6373 - MAINTENANCE CONTRACTS</v>
      </c>
      <c r="C45" s="11"/>
      <c r="D45" s="7">
        <v>866</v>
      </c>
      <c r="E45" s="2"/>
      <c r="F45" s="6">
        <f t="shared" si="16"/>
        <v>0</v>
      </c>
      <c r="G45" s="2"/>
      <c r="H45" s="7">
        <v>1500</v>
      </c>
      <c r="I45" s="2"/>
      <c r="J45" s="6">
        <f t="shared" si="17"/>
        <v>0</v>
      </c>
      <c r="K45" s="2"/>
      <c r="L45" s="7">
        <f t="shared" si="18"/>
        <v>-634</v>
      </c>
      <c r="M45" s="2"/>
      <c r="N45" s="6">
        <f t="shared" si="19"/>
        <v>-0.42266666666666669</v>
      </c>
      <c r="O45" s="11"/>
      <c r="P45" s="7">
        <v>4330</v>
      </c>
      <c r="Q45" s="2"/>
      <c r="R45" s="6">
        <f t="shared" si="20"/>
        <v>0</v>
      </c>
      <c r="S45" s="2"/>
      <c r="T45" s="7">
        <v>9000</v>
      </c>
      <c r="U45" s="2"/>
      <c r="V45" s="6">
        <f t="shared" si="21"/>
        <v>0</v>
      </c>
      <c r="W45" s="2"/>
      <c r="X45" s="7">
        <f t="shared" si="22"/>
        <v>-4670</v>
      </c>
      <c r="Y45" s="2"/>
      <c r="Z45" s="6">
        <f t="shared" si="23"/>
        <v>-0.51888888888888884</v>
      </c>
    </row>
    <row r="46" spans="1:26" s="24" customFormat="1" hidden="1" outlineLevel="2" x14ac:dyDescent="0.25">
      <c r="A46" s="29"/>
      <c r="B46" s="11" t="str">
        <f>CONCATENATE("          ", "6375", " - ", "OUTSIDE REPAIRS &amp; MAINTENANCE")</f>
        <v xml:space="preserve">          6375 - OUTSIDE REPAIRS &amp; MAINTENANCE</v>
      </c>
      <c r="C46" s="11"/>
      <c r="D46" s="7"/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0</v>
      </c>
      <c r="M46" s="2"/>
      <c r="N46" s="6">
        <f t="shared" si="19"/>
        <v>0</v>
      </c>
      <c r="O46" s="11"/>
      <c r="P46" s="7">
        <v>2170.29</v>
      </c>
      <c r="Q46" s="2"/>
      <c r="R46" s="6">
        <f t="shared" si="20"/>
        <v>0</v>
      </c>
      <c r="S46" s="2"/>
      <c r="T46" s="7"/>
      <c r="U46" s="2"/>
      <c r="V46" s="6">
        <f t="shared" si="21"/>
        <v>0</v>
      </c>
      <c r="W46" s="2"/>
      <c r="X46" s="7">
        <f t="shared" si="22"/>
        <v>2170.29</v>
      </c>
      <c r="Y46" s="2"/>
      <c r="Z46" s="6">
        <f t="shared" si="23"/>
        <v>0</v>
      </c>
    </row>
    <row r="47" spans="1:26" s="28" customFormat="1" outlineLevel="1" collapsed="1" x14ac:dyDescent="0.25">
      <c r="A47" s="27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SUM(OSRRefD22_5x_0)</f>
        <v>0</v>
      </c>
      <c r="E47" s="1"/>
      <c r="F47" s="5">
        <f t="shared" ref="F47:F52" si="24">IF(D$12=0,0,D47/D$12)</f>
        <v>0</v>
      </c>
      <c r="G47" s="1"/>
      <c r="H47" s="1">
        <f>SUM(OSRRefH22_5x_0)</f>
        <v>25</v>
      </c>
      <c r="I47" s="1"/>
      <c r="J47" s="5">
        <f t="shared" ref="J47:J52" si="25">IF(H$12=0,0,H47/H$12)</f>
        <v>0</v>
      </c>
      <c r="K47" s="1"/>
      <c r="L47" s="1">
        <f t="shared" ref="L47:L52" si="26">+D47-H47</f>
        <v>-25</v>
      </c>
      <c r="M47" s="1"/>
      <c r="N47" s="5">
        <f t="shared" ref="N47:N52" si="27">IF(H47=0,0,L47/H47)</f>
        <v>-1</v>
      </c>
      <c r="O47" s="14"/>
      <c r="P47" s="1">
        <f>SUM(OSRRefP22_5x_0)</f>
        <v>0</v>
      </c>
      <c r="Q47" s="1"/>
      <c r="R47" s="5">
        <f t="shared" ref="R47:R52" si="28">IF(P$12=0,0,P47/P$12)</f>
        <v>0</v>
      </c>
      <c r="S47" s="1"/>
      <c r="T47" s="1">
        <f>SUM(OSRRefT22_5x_0)</f>
        <v>150</v>
      </c>
      <c r="U47" s="1"/>
      <c r="V47" s="5">
        <f t="shared" ref="V47:V52" si="29">IF(T$12=0,0,T47/T$12)</f>
        <v>0</v>
      </c>
      <c r="W47" s="1"/>
      <c r="X47" s="1">
        <f t="shared" ref="X47:X52" si="30">+P47-T47</f>
        <v>-150</v>
      </c>
      <c r="Y47" s="1"/>
      <c r="Z47" s="5">
        <f t="shared" ref="Z47:Z52" si="31">IF(T47=0,0,X47/T47)</f>
        <v>-1</v>
      </c>
    </row>
    <row r="48" spans="1:26" s="24" customFormat="1" hidden="1" outlineLevel="2" x14ac:dyDescent="0.25">
      <c r="A48" s="29"/>
      <c r="B48" s="11" t="str">
        <f>CONCATENATE("          ", "6286", " - ", "LAUNDRY EXPENSE")</f>
        <v xml:space="preserve">          6286 - LAUNDRY EXPENSE</v>
      </c>
      <c r="C48" s="11"/>
      <c r="D48" s="7"/>
      <c r="E48" s="2"/>
      <c r="F48" s="6">
        <f t="shared" si="24"/>
        <v>0</v>
      </c>
      <c r="G48" s="2"/>
      <c r="H48" s="7">
        <v>25</v>
      </c>
      <c r="I48" s="2"/>
      <c r="J48" s="6">
        <f t="shared" si="25"/>
        <v>0</v>
      </c>
      <c r="K48" s="2"/>
      <c r="L48" s="7">
        <f t="shared" si="26"/>
        <v>-25</v>
      </c>
      <c r="M48" s="2"/>
      <c r="N48" s="6">
        <f t="shared" si="27"/>
        <v>-1</v>
      </c>
      <c r="O48" s="11"/>
      <c r="P48" s="7"/>
      <c r="Q48" s="2"/>
      <c r="R48" s="6">
        <f t="shared" si="28"/>
        <v>0</v>
      </c>
      <c r="S48" s="2"/>
      <c r="T48" s="7">
        <v>150</v>
      </c>
      <c r="U48" s="2"/>
      <c r="V48" s="6">
        <f t="shared" si="29"/>
        <v>0</v>
      </c>
      <c r="W48" s="2"/>
      <c r="X48" s="7">
        <f t="shared" si="30"/>
        <v>-150</v>
      </c>
      <c r="Y48" s="2"/>
      <c r="Z48" s="6">
        <f t="shared" si="31"/>
        <v>-1</v>
      </c>
    </row>
    <row r="49" spans="1:26" s="28" customFormat="1" outlineLevel="1" collapsed="1" x14ac:dyDescent="0.25">
      <c r="A49" s="27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0</v>
      </c>
      <c r="M49" s="1"/>
      <c r="N49" s="5">
        <f t="shared" si="27"/>
        <v>0</v>
      </c>
      <c r="O49" s="14"/>
      <c r="P49" s="1">
        <f>SUM(OSRRefP22_6x_0)</f>
        <v>82.04</v>
      </c>
      <c r="Q49" s="1"/>
      <c r="R49" s="5">
        <f t="shared" si="28"/>
        <v>0</v>
      </c>
      <c r="S49" s="1"/>
      <c r="T49" s="1">
        <f>SUM(OSRRefT22_6x_0)</f>
        <v>5000</v>
      </c>
      <c r="U49" s="1"/>
      <c r="V49" s="5">
        <f t="shared" si="29"/>
        <v>0</v>
      </c>
      <c r="W49" s="1"/>
      <c r="X49" s="1">
        <f t="shared" si="30"/>
        <v>-4917.96</v>
      </c>
      <c r="Y49" s="1"/>
      <c r="Z49" s="5">
        <f t="shared" si="31"/>
        <v>-0.98359200000000002</v>
      </c>
    </row>
    <row r="50" spans="1:26" s="24" customFormat="1" hidden="1" outlineLevel="2" x14ac:dyDescent="0.25">
      <c r="A50" s="29"/>
      <c r="B50" s="11" t="str">
        <f>CONCATENATE("          ", "6235", " - ", "COVID-19 EXPENSES")</f>
        <v xml:space="preserve">          6235 - COVID-19 EXPENSES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66.12</v>
      </c>
      <c r="Q50" s="2"/>
      <c r="R50" s="6">
        <f t="shared" si="28"/>
        <v>0</v>
      </c>
      <c r="S50" s="2"/>
      <c r="T50" s="7"/>
      <c r="U50" s="2"/>
      <c r="V50" s="6">
        <f t="shared" si="29"/>
        <v>0</v>
      </c>
      <c r="W50" s="2"/>
      <c r="X50" s="7">
        <f t="shared" si="30"/>
        <v>66.12</v>
      </c>
      <c r="Y50" s="2"/>
      <c r="Z50" s="6">
        <f t="shared" si="31"/>
        <v>0</v>
      </c>
    </row>
    <row r="51" spans="1:26" s="24" customFormat="1" hidden="1" outlineLevel="2" x14ac:dyDescent="0.25">
      <c r="A51" s="29"/>
      <c r="B51" s="11" t="str">
        <f>CONCATENATE("          ", "6241", " - ", "OFFICE EXPENSE")</f>
        <v xml:space="preserve">          6241 - OFFICE EXPENSE</v>
      </c>
      <c r="C51" s="11"/>
      <c r="D51" s="7"/>
      <c r="E51" s="2"/>
      <c r="F51" s="6">
        <f t="shared" si="24"/>
        <v>0</v>
      </c>
      <c r="G51" s="2"/>
      <c r="H51" s="7"/>
      <c r="I51" s="2"/>
      <c r="J51" s="6">
        <f t="shared" si="25"/>
        <v>0</v>
      </c>
      <c r="K51" s="2"/>
      <c r="L51" s="7">
        <f t="shared" si="26"/>
        <v>0</v>
      </c>
      <c r="M51" s="2"/>
      <c r="N51" s="6">
        <f t="shared" si="27"/>
        <v>0</v>
      </c>
      <c r="O51" s="11"/>
      <c r="P51" s="7">
        <v>15.92</v>
      </c>
      <c r="Q51" s="2"/>
      <c r="R51" s="6">
        <f t="shared" si="28"/>
        <v>0</v>
      </c>
      <c r="S51" s="2"/>
      <c r="T51" s="7"/>
      <c r="U51" s="2"/>
      <c r="V51" s="6">
        <f t="shared" si="29"/>
        <v>0</v>
      </c>
      <c r="W51" s="2"/>
      <c r="X51" s="7">
        <f t="shared" si="30"/>
        <v>15.92</v>
      </c>
      <c r="Y51" s="2"/>
      <c r="Z51" s="6">
        <f t="shared" si="31"/>
        <v>0</v>
      </c>
    </row>
    <row r="52" spans="1:26" s="24" customFormat="1" hidden="1" outlineLevel="2" x14ac:dyDescent="0.25">
      <c r="A52" s="29"/>
      <c r="B52" s="11" t="str">
        <f>CONCATENATE("          ", "6247", " - ", "STORE SUPPLIES")</f>
        <v xml:space="preserve">          6247 - STORE SUPPLIES</v>
      </c>
      <c r="C52" s="11"/>
      <c r="D52" s="7"/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0</v>
      </c>
      <c r="M52" s="2"/>
      <c r="N52" s="6">
        <f t="shared" si="27"/>
        <v>0</v>
      </c>
      <c r="O52" s="11"/>
      <c r="P52" s="7"/>
      <c r="Q52" s="2"/>
      <c r="R52" s="6">
        <f t="shared" si="28"/>
        <v>0</v>
      </c>
      <c r="S52" s="2"/>
      <c r="T52" s="7">
        <v>5000</v>
      </c>
      <c r="U52" s="2"/>
      <c r="V52" s="6">
        <f t="shared" si="29"/>
        <v>0</v>
      </c>
      <c r="W52" s="2"/>
      <c r="X52" s="7">
        <f t="shared" si="30"/>
        <v>-5000</v>
      </c>
      <c r="Y52" s="2"/>
      <c r="Z52" s="6">
        <f t="shared" si="31"/>
        <v>-1</v>
      </c>
    </row>
    <row r="53" spans="1:26" s="28" customFormat="1" outlineLevel="1" collapsed="1" x14ac:dyDescent="0.25">
      <c r="A53" s="27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SUM(OSRRefD22_7x_0)</f>
        <v>223</v>
      </c>
      <c r="E53" s="1"/>
      <c r="F53" s="5">
        <f t="shared" ref="F53:F54" si="32">IF(D$12=0,0,D53/D$12)</f>
        <v>0</v>
      </c>
      <c r="G53" s="1"/>
      <c r="H53" s="1">
        <f>SUM(OSRRefH22_7x_0)</f>
        <v>175</v>
      </c>
      <c r="I53" s="1"/>
      <c r="J53" s="5">
        <f t="shared" ref="J53:J54" si="33">IF(H$12=0,0,H53/H$12)</f>
        <v>0</v>
      </c>
      <c r="K53" s="1"/>
      <c r="L53" s="1">
        <f t="shared" ref="L53:L54" si="34">+D53-H53</f>
        <v>48</v>
      </c>
      <c r="M53" s="1"/>
      <c r="N53" s="5">
        <f t="shared" ref="N53:N54" si="35">IF(H53=0,0,L53/H53)</f>
        <v>0.2742857142857143</v>
      </c>
      <c r="O53" s="14"/>
      <c r="P53" s="1">
        <f>SUM(OSRRefP22_7x_0)</f>
        <v>567</v>
      </c>
      <c r="Q53" s="1"/>
      <c r="R53" s="5">
        <f t="shared" ref="R53:R54" si="36">IF(P$12=0,0,P53/P$12)</f>
        <v>0</v>
      </c>
      <c r="S53" s="1"/>
      <c r="T53" s="1">
        <f>SUM(OSRRefT22_7x_0)</f>
        <v>450</v>
      </c>
      <c r="U53" s="1"/>
      <c r="V53" s="5">
        <f t="shared" ref="V53:V54" si="37">IF(T$12=0,0,T53/T$12)</f>
        <v>0</v>
      </c>
      <c r="W53" s="1"/>
      <c r="X53" s="1">
        <f t="shared" ref="X53:X54" si="38">+P53-T53</f>
        <v>117</v>
      </c>
      <c r="Y53" s="1"/>
      <c r="Z53" s="5">
        <f t="shared" ref="Z53:Z54" si="39">IF(T53=0,0,X53/T53)</f>
        <v>0.26</v>
      </c>
    </row>
    <row r="54" spans="1:26" s="24" customFormat="1" hidden="1" outlineLevel="2" x14ac:dyDescent="0.25">
      <c r="A54" s="29"/>
      <c r="B54" s="11" t="str">
        <f>CONCATENATE("          ", "6309", " - ", "TELEPHONE")</f>
        <v xml:space="preserve">          6309 - TELEPHONE</v>
      </c>
      <c r="C54" s="11"/>
      <c r="D54" s="7">
        <v>223</v>
      </c>
      <c r="E54" s="2"/>
      <c r="F54" s="6">
        <f t="shared" si="32"/>
        <v>0</v>
      </c>
      <c r="G54" s="2"/>
      <c r="H54" s="7">
        <v>175</v>
      </c>
      <c r="I54" s="2"/>
      <c r="J54" s="6">
        <f t="shared" si="33"/>
        <v>0</v>
      </c>
      <c r="K54" s="2"/>
      <c r="L54" s="7">
        <f t="shared" si="34"/>
        <v>48</v>
      </c>
      <c r="M54" s="2"/>
      <c r="N54" s="6">
        <f t="shared" si="35"/>
        <v>0.2742857142857143</v>
      </c>
      <c r="O54" s="11"/>
      <c r="P54" s="7">
        <v>567</v>
      </c>
      <c r="Q54" s="2"/>
      <c r="R54" s="6">
        <f t="shared" si="36"/>
        <v>0</v>
      </c>
      <c r="S54" s="2"/>
      <c r="T54" s="7">
        <v>450</v>
      </c>
      <c r="U54" s="2"/>
      <c r="V54" s="6">
        <f t="shared" si="37"/>
        <v>0</v>
      </c>
      <c r="W54" s="2"/>
      <c r="X54" s="7">
        <f t="shared" si="38"/>
        <v>117</v>
      </c>
      <c r="Y54" s="2"/>
      <c r="Z54" s="6">
        <f t="shared" si="39"/>
        <v>0.26</v>
      </c>
    </row>
    <row r="55" spans="1:26" s="53" customFormat="1" x14ac:dyDescent="0.25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6" t="s">
        <v>0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5" t="s">
        <v>3</v>
      </c>
      <c r="C58" s="25"/>
      <c r="D58" s="21">
        <f>+D16-D18+D56</f>
        <v>-7720.61</v>
      </c>
      <c r="E58" s="13"/>
      <c r="F58" s="19">
        <f>IF(D$12=0,0,D58/D$12)</f>
        <v>0</v>
      </c>
      <c r="G58" s="13"/>
      <c r="H58" s="21">
        <f>+H16-H18+H56</f>
        <v>-7140.2521538461542</v>
      </c>
      <c r="I58" s="13"/>
      <c r="J58" s="19">
        <f>IF(H$12=0,0,H58/H$12)</f>
        <v>0</v>
      </c>
      <c r="K58" s="16"/>
      <c r="L58" s="21">
        <f>+D58-H58</f>
        <v>-580.35784615384546</v>
      </c>
      <c r="M58" s="16"/>
      <c r="N58" s="19">
        <f>IF(H58=0,0,L58/H58)</f>
        <v>8.1279741058056479E-2</v>
      </c>
      <c r="O58" s="26"/>
      <c r="P58" s="21">
        <f>+P16-P18+P56</f>
        <v>-47588.160000000003</v>
      </c>
      <c r="Q58" s="13"/>
      <c r="R58" s="19">
        <f>IF(P$12=0,0,P58/P$12)</f>
        <v>0</v>
      </c>
      <c r="S58" s="13"/>
      <c r="T58" s="21">
        <f>+T16-T18+T56</f>
        <v>-50323.138999999996</v>
      </c>
      <c r="U58" s="13"/>
      <c r="V58" s="19">
        <f>IF(T$12=0,0,T58/T$12)</f>
        <v>0</v>
      </c>
      <c r="W58" s="16"/>
      <c r="X58" s="21">
        <f>+P58-T58</f>
        <v>2734.9789999999921</v>
      </c>
      <c r="Y58" s="16"/>
      <c r="Z58" s="19">
        <f>IF(T58=0,0,X58/T58)</f>
        <v>-5.4348338643978318E-2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2"/>
      <c r="B60" s="10" t="s">
        <v>14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5" t="s">
        <v>4</v>
      </c>
      <c r="C62" s="25"/>
      <c r="D62" s="34">
        <f>+D58-D60</f>
        <v>-7720.61</v>
      </c>
      <c r="E62" s="13"/>
      <c r="F62" s="31">
        <f>IF(D$12=0,0,D62/D$12)</f>
        <v>0</v>
      </c>
      <c r="G62" s="13"/>
      <c r="H62" s="34">
        <f>+H58-H60</f>
        <v>-7140.2521538461542</v>
      </c>
      <c r="I62" s="13"/>
      <c r="J62" s="31">
        <f>IF(H$12=0,0,H62/H$12)</f>
        <v>0</v>
      </c>
      <c r="K62" s="16"/>
      <c r="L62" s="34">
        <f>D62-H62</f>
        <v>-580.35784615384546</v>
      </c>
      <c r="M62" s="16"/>
      <c r="N62" s="31">
        <f>IF(H62=0,0,L62/H62)</f>
        <v>8.1279741058056479E-2</v>
      </c>
      <c r="O62" s="26"/>
      <c r="P62" s="34">
        <f>+P58-P60</f>
        <v>-47588.160000000003</v>
      </c>
      <c r="Q62" s="13"/>
      <c r="R62" s="31">
        <f>IF(P$12=0,0,P62/P$12)</f>
        <v>0</v>
      </c>
      <c r="S62" s="13"/>
      <c r="T62" s="34">
        <f>+T58-T60</f>
        <v>-50323.138999999996</v>
      </c>
      <c r="U62" s="13"/>
      <c r="V62" s="31">
        <f>IF(T$12=0,0,T62/T$12)</f>
        <v>0</v>
      </c>
      <c r="W62" s="16"/>
      <c r="X62" s="34">
        <f>P62-T62</f>
        <v>2734.9789999999921</v>
      </c>
      <c r="Y62" s="16"/>
      <c r="Z62" s="31">
        <f>IF(T62=0,0,X62/T62)</f>
        <v>-5.4348338643978318E-2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5" t="s">
        <v>5</v>
      </c>
      <c r="C65" s="25"/>
      <c r="D65" s="33">
        <f>SUM(D62:D64)</f>
        <v>-7720.61</v>
      </c>
      <c r="E65" s="13"/>
      <c r="F65" s="32">
        <f>IF(D$12=0,0,D65/D$12)</f>
        <v>0</v>
      </c>
      <c r="G65" s="13"/>
      <c r="H65" s="33">
        <f>SUM(H62:H64)</f>
        <v>-7140.2521538461542</v>
      </c>
      <c r="I65" s="13"/>
      <c r="J65" s="32">
        <f>IF(H$12=0,0,H65/H$12)</f>
        <v>0</v>
      </c>
      <c r="K65" s="16"/>
      <c r="L65" s="33">
        <f>+D65-H65</f>
        <v>-580.35784615384546</v>
      </c>
      <c r="M65" s="16"/>
      <c r="N65" s="32">
        <f>IF(H65=0,0,L65/H65)</f>
        <v>8.1279741058056479E-2</v>
      </c>
      <c r="O65" s="26"/>
      <c r="P65" s="33">
        <f>SUM(P62:P64)</f>
        <v>-47588.160000000003</v>
      </c>
      <c r="Q65" s="13"/>
      <c r="R65" s="32">
        <f>IF(P$12=0,0,P65/P$12)</f>
        <v>0</v>
      </c>
      <c r="S65" s="13"/>
      <c r="T65" s="33">
        <f>SUM(T62:T64)</f>
        <v>-50323.138999999996</v>
      </c>
      <c r="U65" s="13"/>
      <c r="V65" s="32">
        <f>IF(T$12=0,0,T65/T$12)</f>
        <v>0</v>
      </c>
      <c r="W65" s="16"/>
      <c r="X65" s="33">
        <f>+P65-T65</f>
        <v>2734.9789999999921</v>
      </c>
      <c r="Y65" s="16"/>
      <c r="Z65" s="32">
        <f>IF(T65=0,0,X65/T65)</f>
        <v>-5.4348338643978318E-2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6" x14ac:dyDescent="0.25">
      <c r="A67" s="9"/>
      <c r="B67" s="63">
        <v>44209.518340740738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6" x14ac:dyDescent="0.25">
      <c r="A68" s="9"/>
      <c r="B68" s="60" t="s">
        <v>314</v>
      </c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58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","206", " - ", "Graphics")</f>
        <v>Department 206 - Graphics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6"/>
      <c r="L16" s="21">
        <f>+D16-H16</f>
        <v>0</v>
      </c>
      <c r="M16" s="16"/>
      <c r="N16" s="19">
        <f>IF(H16=0,0,L16/H16)</f>
        <v>0</v>
      </c>
      <c r="O16" s="26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6"/>
      <c r="X16" s="21">
        <f>+P16-T16</f>
        <v>0</v>
      </c>
      <c r="Y16" s="16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8483.08</v>
      </c>
      <c r="E18" s="20"/>
      <c r="F18" s="30">
        <f t="shared" ref="F18:F28" si="0">IF(D$12=0,0,D18/D$12)</f>
        <v>0</v>
      </c>
      <c r="G18" s="20"/>
      <c r="H18" s="20">
        <f>SUM(OSRRefH22x_0)</f>
        <v>17391.590153846155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-8908.5101538461549</v>
      </c>
      <c r="M18" s="4"/>
      <c r="N18" s="30">
        <f t="shared" ref="N18:N28" si="3">IF(H18=0,0,L18/H18)</f>
        <v>-0.51223091592208636</v>
      </c>
      <c r="O18" s="10"/>
      <c r="P18" s="20">
        <f>SUM(OSRRefP22x_0)</f>
        <v>52242.79</v>
      </c>
      <c r="Q18" s="20"/>
      <c r="R18" s="30">
        <f t="shared" ref="R18:R28" si="4">IF(P$12=0,0,P18/P$12)</f>
        <v>0</v>
      </c>
      <c r="S18" s="20"/>
      <c r="T18" s="20">
        <f>SUM(OSRRefT22x_0)</f>
        <v>113412.467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-61169.677000000003</v>
      </c>
      <c r="Y18" s="4"/>
      <c r="Z18" s="30">
        <f t="shared" ref="Z18:Z28" si="7">IF(T18=0,0,X18/T18)</f>
        <v>-0.53935584524406832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1535.0600000000002</v>
      </c>
      <c r="E19" s="1"/>
      <c r="F19" s="5">
        <f t="shared" si="0"/>
        <v>0</v>
      </c>
      <c r="G19" s="1"/>
      <c r="H19" s="1">
        <f>SUM(OSRRefH22_0x_0)</f>
        <v>1611.590153846154</v>
      </c>
      <c r="I19" s="1"/>
      <c r="J19" s="5">
        <f t="shared" si="1"/>
        <v>0</v>
      </c>
      <c r="K19" s="1"/>
      <c r="L19" s="1">
        <f t="shared" si="2"/>
        <v>-76.53015384615378</v>
      </c>
      <c r="M19" s="1"/>
      <c r="N19" s="5">
        <f t="shared" si="3"/>
        <v>-4.7487355059541721E-2</v>
      </c>
      <c r="O19" s="14"/>
      <c r="P19" s="1">
        <f>SUM(OSRRefP22_0x_0)</f>
        <v>9490.4</v>
      </c>
      <c r="Q19" s="1"/>
      <c r="R19" s="5">
        <f t="shared" si="4"/>
        <v>0</v>
      </c>
      <c r="S19" s="1"/>
      <c r="T19" s="1">
        <f>SUM(OSRRefT22_0x_0)</f>
        <v>10594.467000000001</v>
      </c>
      <c r="U19" s="1"/>
      <c r="V19" s="5">
        <f t="shared" si="5"/>
        <v>0</v>
      </c>
      <c r="W19" s="1"/>
      <c r="X19" s="1">
        <f t="shared" si="6"/>
        <v>-1104.0670000000009</v>
      </c>
      <c r="Y19" s="1"/>
      <c r="Z19" s="5">
        <f t="shared" si="7"/>
        <v>-0.10421166067155628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399.76</v>
      </c>
      <c r="E20" s="2"/>
      <c r="F20" s="6">
        <f t="shared" si="0"/>
        <v>0</v>
      </c>
      <c r="G20" s="2"/>
      <c r="H20" s="7">
        <v>367.34399999999999</v>
      </c>
      <c r="I20" s="2"/>
      <c r="J20" s="6">
        <f t="shared" si="1"/>
        <v>0</v>
      </c>
      <c r="K20" s="2"/>
      <c r="L20" s="7">
        <f t="shared" si="2"/>
        <v>32.415999999999997</v>
      </c>
      <c r="M20" s="2"/>
      <c r="N20" s="6">
        <f t="shared" si="3"/>
        <v>8.824426150964762E-2</v>
      </c>
      <c r="O20" s="11"/>
      <c r="P20" s="7">
        <v>2423.41</v>
      </c>
      <c r="Q20" s="2"/>
      <c r="R20" s="6">
        <f t="shared" si="4"/>
        <v>0</v>
      </c>
      <c r="S20" s="2"/>
      <c r="T20" s="7">
        <v>2594.3670000000002</v>
      </c>
      <c r="U20" s="2"/>
      <c r="V20" s="6">
        <f t="shared" si="5"/>
        <v>0</v>
      </c>
      <c r="W20" s="2"/>
      <c r="X20" s="7">
        <f t="shared" si="6"/>
        <v>-170.95700000000033</v>
      </c>
      <c r="Y20" s="2"/>
      <c r="Z20" s="6">
        <f t="shared" si="7"/>
        <v>-6.5895457350482925E-2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28.23</v>
      </c>
      <c r="E21" s="2"/>
      <c r="F21" s="6">
        <f t="shared" si="0"/>
        <v>0</v>
      </c>
      <c r="G21" s="2"/>
      <c r="H21" s="7">
        <v>19.8</v>
      </c>
      <c r="I21" s="2"/>
      <c r="J21" s="6">
        <f t="shared" si="1"/>
        <v>0</v>
      </c>
      <c r="K21" s="2"/>
      <c r="L21" s="7">
        <f t="shared" si="2"/>
        <v>8.43</v>
      </c>
      <c r="M21" s="2"/>
      <c r="N21" s="6">
        <f t="shared" si="3"/>
        <v>0.42575757575757572</v>
      </c>
      <c r="O21" s="11"/>
      <c r="P21" s="7">
        <v>136.31</v>
      </c>
      <c r="Q21" s="2"/>
      <c r="R21" s="6">
        <f t="shared" si="4"/>
        <v>0</v>
      </c>
      <c r="S21" s="2"/>
      <c r="T21" s="7">
        <v>128.69999999999999</v>
      </c>
      <c r="U21" s="2"/>
      <c r="V21" s="6">
        <f t="shared" si="5"/>
        <v>0</v>
      </c>
      <c r="W21" s="2"/>
      <c r="X21" s="7">
        <f t="shared" si="6"/>
        <v>7.6100000000000136</v>
      </c>
      <c r="Y21" s="2"/>
      <c r="Z21" s="6">
        <f t="shared" si="7"/>
        <v>5.9129759129759242E-2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700.87</v>
      </c>
      <c r="E22" s="2"/>
      <c r="F22" s="6">
        <f t="shared" si="0"/>
        <v>0</v>
      </c>
      <c r="G22" s="2"/>
      <c r="H22" s="7">
        <v>613.84615384615404</v>
      </c>
      <c r="I22" s="2"/>
      <c r="J22" s="6">
        <f t="shared" si="1"/>
        <v>0</v>
      </c>
      <c r="K22" s="2"/>
      <c r="L22" s="7">
        <f t="shared" si="2"/>
        <v>87.023846153845966</v>
      </c>
      <c r="M22" s="2"/>
      <c r="N22" s="6">
        <f t="shared" si="3"/>
        <v>0.14176817042606482</v>
      </c>
      <c r="O22" s="11"/>
      <c r="P22" s="7">
        <v>4205.22</v>
      </c>
      <c r="Q22" s="2"/>
      <c r="R22" s="6">
        <f t="shared" si="4"/>
        <v>0</v>
      </c>
      <c r="S22" s="2"/>
      <c r="T22" s="7">
        <v>3990</v>
      </c>
      <c r="U22" s="2"/>
      <c r="V22" s="6">
        <f t="shared" si="5"/>
        <v>0</v>
      </c>
      <c r="W22" s="2"/>
      <c r="X22" s="7">
        <f t="shared" si="6"/>
        <v>215.22000000000025</v>
      </c>
      <c r="Y22" s="2"/>
      <c r="Z22" s="6">
        <f t="shared" si="7"/>
        <v>5.3939849624060211E-2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15.6</v>
      </c>
      <c r="I23" s="2"/>
      <c r="J23" s="6">
        <f t="shared" si="1"/>
        <v>0</v>
      </c>
      <c r="K23" s="2"/>
      <c r="L23" s="7">
        <f t="shared" si="2"/>
        <v>-15.6</v>
      </c>
      <c r="M23" s="2"/>
      <c r="N23" s="6">
        <f t="shared" si="3"/>
        <v>-1</v>
      </c>
      <c r="O23" s="11"/>
      <c r="P23" s="7">
        <v>85.16</v>
      </c>
      <c r="Q23" s="2"/>
      <c r="R23" s="6">
        <f t="shared" si="4"/>
        <v>0</v>
      </c>
      <c r="S23" s="2"/>
      <c r="T23" s="7">
        <v>101.4</v>
      </c>
      <c r="U23" s="2"/>
      <c r="V23" s="6">
        <f t="shared" si="5"/>
        <v>0</v>
      </c>
      <c r="W23" s="2"/>
      <c r="X23" s="7">
        <f t="shared" si="6"/>
        <v>-16.240000000000009</v>
      </c>
      <c r="Y23" s="2"/>
      <c r="Z23" s="6">
        <f t="shared" si="7"/>
        <v>-0.16015779092702179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/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0</v>
      </c>
      <c r="Y24" s="2"/>
      <c r="Z24" s="6">
        <f t="shared" si="7"/>
        <v>0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184.8</v>
      </c>
      <c r="E26" s="2"/>
      <c r="F26" s="6">
        <f t="shared" si="0"/>
        <v>0</v>
      </c>
      <c r="G26" s="2"/>
      <c r="H26" s="7">
        <v>240</v>
      </c>
      <c r="I26" s="2"/>
      <c r="J26" s="6">
        <f t="shared" si="1"/>
        <v>0</v>
      </c>
      <c r="K26" s="2"/>
      <c r="L26" s="7">
        <f t="shared" si="2"/>
        <v>-55.199999999999989</v>
      </c>
      <c r="M26" s="2"/>
      <c r="N26" s="6">
        <f t="shared" si="3"/>
        <v>-0.22999999999999995</v>
      </c>
      <c r="O26" s="11"/>
      <c r="P26" s="7">
        <v>1201.2</v>
      </c>
      <c r="Q26" s="2"/>
      <c r="R26" s="6">
        <f t="shared" si="4"/>
        <v>0</v>
      </c>
      <c r="S26" s="2"/>
      <c r="T26" s="7">
        <v>1560</v>
      </c>
      <c r="U26" s="2"/>
      <c r="V26" s="6">
        <f t="shared" si="5"/>
        <v>0</v>
      </c>
      <c r="W26" s="2"/>
      <c r="X26" s="7">
        <f t="shared" si="6"/>
        <v>-358.79999999999995</v>
      </c>
      <c r="Y26" s="2"/>
      <c r="Z26" s="6">
        <f t="shared" si="7"/>
        <v>-0.22999999999999998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221.4</v>
      </c>
      <c r="E27" s="2"/>
      <c r="F27" s="6">
        <f t="shared" si="0"/>
        <v>0</v>
      </c>
      <c r="G27" s="2"/>
      <c r="H27" s="7">
        <v>180</v>
      </c>
      <c r="I27" s="2"/>
      <c r="J27" s="6">
        <f t="shared" si="1"/>
        <v>0</v>
      </c>
      <c r="K27" s="2"/>
      <c r="L27" s="7">
        <f t="shared" si="2"/>
        <v>41.400000000000006</v>
      </c>
      <c r="M27" s="2"/>
      <c r="N27" s="6">
        <f t="shared" si="3"/>
        <v>0.23000000000000004</v>
      </c>
      <c r="O27" s="11"/>
      <c r="P27" s="7">
        <v>1439.1</v>
      </c>
      <c r="Q27" s="2"/>
      <c r="R27" s="6">
        <f t="shared" si="4"/>
        <v>0</v>
      </c>
      <c r="S27" s="2"/>
      <c r="T27" s="7">
        <v>1170</v>
      </c>
      <c r="U27" s="2"/>
      <c r="V27" s="6">
        <f t="shared" si="5"/>
        <v>0</v>
      </c>
      <c r="W27" s="2"/>
      <c r="X27" s="7">
        <f t="shared" si="6"/>
        <v>269.09999999999991</v>
      </c>
      <c r="Y27" s="2"/>
      <c r="Z27" s="6">
        <f t="shared" si="7"/>
        <v>0.22999999999999993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>
        <v>175</v>
      </c>
      <c r="I28" s="2"/>
      <c r="J28" s="6">
        <f t="shared" si="1"/>
        <v>0</v>
      </c>
      <c r="K28" s="2"/>
      <c r="L28" s="7">
        <f t="shared" si="2"/>
        <v>-175</v>
      </c>
      <c r="M28" s="2"/>
      <c r="N28" s="6">
        <f t="shared" si="3"/>
        <v>-1</v>
      </c>
      <c r="O28" s="11"/>
      <c r="P28" s="7"/>
      <c r="Q28" s="2"/>
      <c r="R28" s="6">
        <f t="shared" si="4"/>
        <v>0</v>
      </c>
      <c r="S28" s="2"/>
      <c r="T28" s="7">
        <v>1050</v>
      </c>
      <c r="U28" s="2"/>
      <c r="V28" s="6">
        <f t="shared" si="5"/>
        <v>0</v>
      </c>
      <c r="W28" s="2"/>
      <c r="X28" s="7">
        <f t="shared" si="6"/>
        <v>-1050</v>
      </c>
      <c r="Y28" s="2"/>
      <c r="Z28" s="6">
        <f t="shared" si="7"/>
        <v>-1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6467.54</v>
      </c>
      <c r="E29" s="1"/>
      <c r="F29" s="5">
        <f t="shared" ref="F29:F39" si="8">IF(D$12=0,0,D29/D$12)</f>
        <v>0</v>
      </c>
      <c r="G29" s="1"/>
      <c r="H29" s="1">
        <f>SUM(OSRRefH22_1x_0)</f>
        <v>5676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791.54</v>
      </c>
      <c r="M29" s="1"/>
      <c r="N29" s="5">
        <f t="shared" ref="N29:N39" si="11">IF(H29=0,0,L29/H29)</f>
        <v>0.13945384073291051</v>
      </c>
      <c r="O29" s="14"/>
      <c r="P29" s="1">
        <f>SUM(OSRRefP22_1x_0)</f>
        <v>40078.719999999994</v>
      </c>
      <c r="Q29" s="1"/>
      <c r="R29" s="5">
        <f t="shared" ref="R29:R39" si="12">IF(P$12=0,0,P29/P$12)</f>
        <v>0</v>
      </c>
      <c r="S29" s="1"/>
      <c r="T29" s="1">
        <f>SUM(OSRRefT22_1x_0)</f>
        <v>36894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3184.7199999999939</v>
      </c>
      <c r="Y29" s="1"/>
      <c r="Z29" s="5">
        <f t="shared" ref="Z29:Z39" si="15">IF(T29=0,0,X29/T29)</f>
        <v>8.6320810971973597E-2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>
        <v>5362.5</v>
      </c>
      <c r="E33" s="2"/>
      <c r="F33" s="6">
        <f t="shared" si="8"/>
        <v>0</v>
      </c>
      <c r="G33" s="2"/>
      <c r="H33" s="7">
        <v>4512</v>
      </c>
      <c r="I33" s="2"/>
      <c r="J33" s="6">
        <f t="shared" si="9"/>
        <v>0</v>
      </c>
      <c r="K33" s="2"/>
      <c r="L33" s="7">
        <f t="shared" si="10"/>
        <v>850.5</v>
      </c>
      <c r="M33" s="2"/>
      <c r="N33" s="6">
        <f t="shared" si="11"/>
        <v>0.18849734042553193</v>
      </c>
      <c r="O33" s="11"/>
      <c r="P33" s="7">
        <v>31850.099999999995</v>
      </c>
      <c r="Q33" s="2"/>
      <c r="R33" s="6">
        <f t="shared" si="12"/>
        <v>0</v>
      </c>
      <c r="S33" s="2"/>
      <c r="T33" s="7">
        <v>29328</v>
      </c>
      <c r="U33" s="2"/>
      <c r="V33" s="6">
        <f t="shared" si="13"/>
        <v>0</v>
      </c>
      <c r="W33" s="2"/>
      <c r="X33" s="7">
        <f t="shared" si="14"/>
        <v>2522.0999999999949</v>
      </c>
      <c r="Y33" s="2"/>
      <c r="Z33" s="6">
        <f t="shared" si="15"/>
        <v>8.5996317512274781E-2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>
        <v>0</v>
      </c>
      <c r="Q36" s="2"/>
      <c r="R36" s="6">
        <f t="shared" si="12"/>
        <v>0</v>
      </c>
      <c r="S36" s="2"/>
      <c r="T36" s="7">
        <v>2619</v>
      </c>
      <c r="U36" s="2"/>
      <c r="V36" s="6">
        <f t="shared" si="13"/>
        <v>0</v>
      </c>
      <c r="W36" s="2"/>
      <c r="X36" s="7">
        <f t="shared" si="14"/>
        <v>-2619</v>
      </c>
      <c r="Y36" s="2"/>
      <c r="Z36" s="6">
        <f t="shared" si="15"/>
        <v>-1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>
        <v>1105.04</v>
      </c>
      <c r="E37" s="2"/>
      <c r="F37" s="6">
        <f t="shared" si="8"/>
        <v>0</v>
      </c>
      <c r="G37" s="2"/>
      <c r="H37" s="7">
        <v>1164</v>
      </c>
      <c r="I37" s="2"/>
      <c r="J37" s="6">
        <f t="shared" si="9"/>
        <v>0</v>
      </c>
      <c r="K37" s="2"/>
      <c r="L37" s="7">
        <f t="shared" si="10"/>
        <v>-58.960000000000036</v>
      </c>
      <c r="M37" s="2"/>
      <c r="N37" s="6">
        <f t="shared" si="11"/>
        <v>-5.0652920962199345E-2</v>
      </c>
      <c r="O37" s="11"/>
      <c r="P37" s="7">
        <v>8228.6200000000008</v>
      </c>
      <c r="Q37" s="2"/>
      <c r="R37" s="6">
        <f t="shared" si="12"/>
        <v>0</v>
      </c>
      <c r="S37" s="2"/>
      <c r="T37" s="7">
        <v>4947</v>
      </c>
      <c r="U37" s="2"/>
      <c r="V37" s="6">
        <f t="shared" si="13"/>
        <v>0</v>
      </c>
      <c r="W37" s="2"/>
      <c r="X37" s="7">
        <f t="shared" si="14"/>
        <v>3281.6200000000008</v>
      </c>
      <c r="Y37" s="2"/>
      <c r="Z37" s="6">
        <f t="shared" si="15"/>
        <v>0.66335556903173654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25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173.21</v>
      </c>
      <c r="E40" s="1"/>
      <c r="F40" s="5">
        <f t="shared" ref="F40:F54" si="16">IF(D$12=0,0,D40/D$12)</f>
        <v>0</v>
      </c>
      <c r="G40" s="1"/>
      <c r="H40" s="1">
        <f>SUM(OSRRefH22_2x_0)</f>
        <v>8333</v>
      </c>
      <c r="I40" s="1"/>
      <c r="J40" s="5">
        <f t="shared" ref="J40:J54" si="17">IF(H$12=0,0,H40/H$12)</f>
        <v>0</v>
      </c>
      <c r="K40" s="1"/>
      <c r="L40" s="1">
        <f t="shared" ref="L40:L54" si="18">+D40-H40</f>
        <v>-8159.79</v>
      </c>
      <c r="M40" s="1"/>
      <c r="N40" s="5">
        <f t="shared" ref="N40:N54" si="19">IF(H40=0,0,L40/H40)</f>
        <v>-0.97921396855874232</v>
      </c>
      <c r="O40" s="14"/>
      <c r="P40" s="1">
        <f>SUM(OSRRefP22_2x_0)</f>
        <v>866.05</v>
      </c>
      <c r="Q40" s="1"/>
      <c r="R40" s="5">
        <f t="shared" ref="R40:R54" si="20">IF(P$12=0,0,P40/P$12)</f>
        <v>0</v>
      </c>
      <c r="S40" s="1"/>
      <c r="T40" s="1">
        <f>SUM(OSRRefT22_2x_0)</f>
        <v>49998</v>
      </c>
      <c r="U40" s="1"/>
      <c r="V40" s="5">
        <f t="shared" ref="V40:V54" si="21">IF(T$12=0,0,T40/T$12)</f>
        <v>0</v>
      </c>
      <c r="W40" s="1"/>
      <c r="X40" s="1">
        <f t="shared" ref="X40:X54" si="22">+P40-T40</f>
        <v>-49131.95</v>
      </c>
      <c r="Y40" s="1"/>
      <c r="Z40" s="5">
        <f t="shared" ref="Z40:Z54" si="23">IF(T40=0,0,X40/T40)</f>
        <v>-0.98267830713228521</v>
      </c>
    </row>
    <row r="41" spans="1:26" s="24" customFormat="1" hidden="1" outlineLevel="2" x14ac:dyDescent="0.25">
      <c r="A41" s="29"/>
      <c r="B41" s="11" t="str">
        <f>CONCATENATE("          ", "6362", " - ", "ADVERTISING EXPENSE")</f>
        <v xml:space="preserve">          6362 - ADVERTISING EXPENSE</v>
      </c>
      <c r="C41" s="11"/>
      <c r="D41" s="7">
        <v>173.21</v>
      </c>
      <c r="E41" s="2"/>
      <c r="F41" s="6">
        <f t="shared" si="16"/>
        <v>0</v>
      </c>
      <c r="G41" s="2"/>
      <c r="H41" s="7">
        <v>8333</v>
      </c>
      <c r="I41" s="2"/>
      <c r="J41" s="6">
        <f t="shared" si="17"/>
        <v>0</v>
      </c>
      <c r="K41" s="2"/>
      <c r="L41" s="7">
        <f t="shared" si="18"/>
        <v>-8159.79</v>
      </c>
      <c r="M41" s="2"/>
      <c r="N41" s="6">
        <f t="shared" si="19"/>
        <v>-0.97921396855874232</v>
      </c>
      <c r="O41" s="11"/>
      <c r="P41" s="7">
        <v>866.05</v>
      </c>
      <c r="Q41" s="2"/>
      <c r="R41" s="6">
        <f t="shared" si="20"/>
        <v>0</v>
      </c>
      <c r="S41" s="2"/>
      <c r="T41" s="7">
        <v>49998</v>
      </c>
      <c r="U41" s="2"/>
      <c r="V41" s="6">
        <f t="shared" si="21"/>
        <v>0</v>
      </c>
      <c r="W41" s="2"/>
      <c r="X41" s="7">
        <f t="shared" si="22"/>
        <v>-49131.95</v>
      </c>
      <c r="Y41" s="2"/>
      <c r="Z41" s="6">
        <f t="shared" si="23"/>
        <v>-0.98267830713228521</v>
      </c>
    </row>
    <row r="42" spans="1:26" s="28" customFormat="1" outlineLevel="1" collapsed="1" x14ac:dyDescent="0.25">
      <c r="A42" s="27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271.27</v>
      </c>
      <c r="E42" s="1"/>
      <c r="F42" s="5">
        <f t="shared" si="16"/>
        <v>0</v>
      </c>
      <c r="G42" s="1"/>
      <c r="H42" s="1">
        <f>SUM(OSRRefH22_3x_0)</f>
        <v>271</v>
      </c>
      <c r="I42" s="1"/>
      <c r="J42" s="5">
        <f t="shared" si="17"/>
        <v>0</v>
      </c>
      <c r="K42" s="1"/>
      <c r="L42" s="1">
        <f t="shared" si="18"/>
        <v>0.26999999999998181</v>
      </c>
      <c r="M42" s="1"/>
      <c r="N42" s="5">
        <f t="shared" si="19"/>
        <v>9.9630996309956377E-4</v>
      </c>
      <c r="O42" s="14"/>
      <c r="P42" s="1">
        <f>SUM(OSRRefP22_3x_0)</f>
        <v>1627.62</v>
      </c>
      <c r="Q42" s="1"/>
      <c r="R42" s="5">
        <f t="shared" si="20"/>
        <v>0</v>
      </c>
      <c r="S42" s="1"/>
      <c r="T42" s="1">
        <f>SUM(OSRRefT22_3x_0)</f>
        <v>1626</v>
      </c>
      <c r="U42" s="1"/>
      <c r="V42" s="5">
        <f t="shared" si="21"/>
        <v>0</v>
      </c>
      <c r="W42" s="1"/>
      <c r="X42" s="1">
        <f t="shared" si="22"/>
        <v>1.6199999999998909</v>
      </c>
      <c r="Y42" s="1"/>
      <c r="Z42" s="5">
        <f t="shared" si="23"/>
        <v>9.9630996309956377E-4</v>
      </c>
    </row>
    <row r="43" spans="1:26" s="24" customFormat="1" hidden="1" outlineLevel="2" x14ac:dyDescent="0.25">
      <c r="A43" s="29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271.27</v>
      </c>
      <c r="E43" s="2"/>
      <c r="F43" s="6">
        <f t="shared" si="16"/>
        <v>0</v>
      </c>
      <c r="G43" s="2"/>
      <c r="H43" s="7">
        <v>271</v>
      </c>
      <c r="I43" s="2"/>
      <c r="J43" s="6">
        <f t="shared" si="17"/>
        <v>0</v>
      </c>
      <c r="K43" s="2"/>
      <c r="L43" s="7">
        <f t="shared" si="18"/>
        <v>0.26999999999998181</v>
      </c>
      <c r="M43" s="2"/>
      <c r="N43" s="6">
        <f t="shared" si="19"/>
        <v>9.9630996309956377E-4</v>
      </c>
      <c r="O43" s="11"/>
      <c r="P43" s="7">
        <v>1627.62</v>
      </c>
      <c r="Q43" s="2"/>
      <c r="R43" s="6">
        <f t="shared" si="20"/>
        <v>0</v>
      </c>
      <c r="S43" s="2"/>
      <c r="T43" s="7">
        <v>1626</v>
      </c>
      <c r="U43" s="2"/>
      <c r="V43" s="6">
        <f t="shared" si="21"/>
        <v>0</v>
      </c>
      <c r="W43" s="2"/>
      <c r="X43" s="7">
        <f t="shared" si="22"/>
        <v>1.6199999999998909</v>
      </c>
      <c r="Y43" s="2"/>
      <c r="Z43" s="6">
        <f t="shared" si="23"/>
        <v>9.9630996309956377E-4</v>
      </c>
    </row>
    <row r="44" spans="1:26" s="28" customFormat="1" outlineLevel="1" collapsed="1" x14ac:dyDescent="0.25">
      <c r="A44" s="27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4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500</v>
      </c>
      <c r="U44" s="1"/>
      <c r="V44" s="5">
        <f t="shared" si="21"/>
        <v>0</v>
      </c>
      <c r="W44" s="1"/>
      <c r="X44" s="1">
        <f t="shared" si="22"/>
        <v>-500</v>
      </c>
      <c r="Y44" s="1"/>
      <c r="Z44" s="5">
        <f t="shared" si="23"/>
        <v>-1</v>
      </c>
    </row>
    <row r="45" spans="1:26" s="24" customFormat="1" hidden="1" outlineLevel="2" x14ac:dyDescent="0.25">
      <c r="A45" s="29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/>
      <c r="Q45" s="2"/>
      <c r="R45" s="6">
        <f t="shared" si="20"/>
        <v>0</v>
      </c>
      <c r="S45" s="2"/>
      <c r="T45" s="7">
        <v>500</v>
      </c>
      <c r="U45" s="2"/>
      <c r="V45" s="6">
        <f t="shared" si="21"/>
        <v>0</v>
      </c>
      <c r="W45" s="2"/>
      <c r="X45" s="7">
        <f t="shared" si="22"/>
        <v>-500</v>
      </c>
      <c r="Y45" s="2"/>
      <c r="Z45" s="6">
        <f t="shared" si="23"/>
        <v>-1</v>
      </c>
    </row>
    <row r="46" spans="1:26" s="28" customFormat="1" outlineLevel="1" collapsed="1" x14ac:dyDescent="0.25">
      <c r="A46" s="27"/>
      <c r="B46" s="14" t="str">
        <f>CONCATENATE("     ","Repair and Maintenance                            ")</f>
        <v xml:space="preserve">     Repair and Maintenance                            </v>
      </c>
      <c r="C46" s="14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667</v>
      </c>
      <c r="I46" s="1"/>
      <c r="J46" s="5">
        <f t="shared" si="17"/>
        <v>0</v>
      </c>
      <c r="K46" s="1"/>
      <c r="L46" s="1">
        <f t="shared" si="18"/>
        <v>-667</v>
      </c>
      <c r="M46" s="1"/>
      <c r="N46" s="5">
        <f t="shared" si="19"/>
        <v>-1</v>
      </c>
      <c r="O46" s="14"/>
      <c r="P46" s="1">
        <f>SUM(OSRRefP22_5x_0)</f>
        <v>0</v>
      </c>
      <c r="Q46" s="1"/>
      <c r="R46" s="5">
        <f t="shared" si="20"/>
        <v>0</v>
      </c>
      <c r="S46" s="1"/>
      <c r="T46" s="1">
        <f>SUM(OSRRefT22_5x_0)</f>
        <v>4002</v>
      </c>
      <c r="U46" s="1"/>
      <c r="V46" s="5">
        <f t="shared" si="21"/>
        <v>0</v>
      </c>
      <c r="W46" s="1"/>
      <c r="X46" s="1">
        <f t="shared" si="22"/>
        <v>-4002</v>
      </c>
      <c r="Y46" s="1"/>
      <c r="Z46" s="5">
        <f t="shared" si="23"/>
        <v>-1</v>
      </c>
    </row>
    <row r="47" spans="1:26" s="24" customFormat="1" hidden="1" outlineLevel="2" x14ac:dyDescent="0.25">
      <c r="A47" s="29"/>
      <c r="B47" s="11" t="str">
        <f>CONCATENATE("          ", "6371", " - ", "COMPUTER SOFTWARE MAINTENANCE")</f>
        <v xml:space="preserve">          6371 - COMPUTER SOFTWARE MAINTENANCE</v>
      </c>
      <c r="C47" s="11"/>
      <c r="D47" s="7"/>
      <c r="E47" s="2"/>
      <c r="F47" s="6">
        <f t="shared" si="16"/>
        <v>0</v>
      </c>
      <c r="G47" s="2"/>
      <c r="H47" s="7">
        <v>667</v>
      </c>
      <c r="I47" s="2"/>
      <c r="J47" s="6">
        <f t="shared" si="17"/>
        <v>0</v>
      </c>
      <c r="K47" s="2"/>
      <c r="L47" s="7">
        <f t="shared" si="18"/>
        <v>-667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4002</v>
      </c>
      <c r="U47" s="2"/>
      <c r="V47" s="6">
        <f t="shared" si="21"/>
        <v>0</v>
      </c>
      <c r="W47" s="2"/>
      <c r="X47" s="7">
        <f t="shared" si="22"/>
        <v>-4002</v>
      </c>
      <c r="Y47" s="2"/>
      <c r="Z47" s="6">
        <f t="shared" si="23"/>
        <v>-1</v>
      </c>
    </row>
    <row r="48" spans="1:26" s="28" customFormat="1" outlineLevel="1" collapsed="1" x14ac:dyDescent="0.25">
      <c r="A48" s="27"/>
      <c r="B48" s="14" t="str">
        <f>CONCATENATE("     ","Subscriptions &amp; Dues                              ")</f>
        <v xml:space="preserve">     Subscriptions &amp; Dues                              </v>
      </c>
      <c r="C48" s="14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4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600</v>
      </c>
      <c r="U48" s="1"/>
      <c r="V48" s="5">
        <f t="shared" si="21"/>
        <v>0</v>
      </c>
      <c r="W48" s="1"/>
      <c r="X48" s="1">
        <f t="shared" si="22"/>
        <v>-600</v>
      </c>
      <c r="Y48" s="1"/>
      <c r="Z48" s="5">
        <f t="shared" si="23"/>
        <v>-1</v>
      </c>
    </row>
    <row r="49" spans="1:26" s="24" customFormat="1" hidden="1" outlineLevel="2" x14ac:dyDescent="0.25">
      <c r="A49" s="29"/>
      <c r="B49" s="11" t="str">
        <f>CONCATENATE("          ", "6258", " - ", "MEMBERSHIP DUES")</f>
        <v xml:space="preserve">          6258 - MEMBERSHIP DUES</v>
      </c>
      <c r="C49" s="11"/>
      <c r="D49" s="7"/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0</v>
      </c>
      <c r="M49" s="2"/>
      <c r="N49" s="6">
        <f t="shared" si="19"/>
        <v>0</v>
      </c>
      <c r="O49" s="11"/>
      <c r="P49" s="7"/>
      <c r="Q49" s="2"/>
      <c r="R49" s="6">
        <f t="shared" si="20"/>
        <v>0</v>
      </c>
      <c r="S49" s="2"/>
      <c r="T49" s="7">
        <v>600</v>
      </c>
      <c r="U49" s="2"/>
      <c r="V49" s="6">
        <f t="shared" si="21"/>
        <v>0</v>
      </c>
      <c r="W49" s="2"/>
      <c r="X49" s="7">
        <f t="shared" si="22"/>
        <v>-600</v>
      </c>
      <c r="Y49" s="2"/>
      <c r="Z49" s="6">
        <f t="shared" si="23"/>
        <v>-1</v>
      </c>
    </row>
    <row r="50" spans="1:26" s="28" customFormat="1" outlineLevel="1" collapsed="1" x14ac:dyDescent="0.25">
      <c r="A50" s="27"/>
      <c r="B50" s="14" t="str">
        <f>CONCATENATE("     ","Supplies                                          ")</f>
        <v xml:space="preserve">     Supplies                                          </v>
      </c>
      <c r="C50" s="14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833</v>
      </c>
      <c r="I50" s="1"/>
      <c r="J50" s="5">
        <f t="shared" si="17"/>
        <v>0</v>
      </c>
      <c r="K50" s="1"/>
      <c r="L50" s="1">
        <f t="shared" si="18"/>
        <v>-833</v>
      </c>
      <c r="M50" s="1"/>
      <c r="N50" s="5">
        <f t="shared" si="19"/>
        <v>-1</v>
      </c>
      <c r="O50" s="14"/>
      <c r="P50" s="1">
        <f>SUM(OSRRefP22_7x_0)</f>
        <v>0</v>
      </c>
      <c r="Q50" s="1"/>
      <c r="R50" s="5">
        <f t="shared" si="20"/>
        <v>0</v>
      </c>
      <c r="S50" s="1"/>
      <c r="T50" s="1">
        <f>SUM(OSRRefT22_7x_0)</f>
        <v>4998</v>
      </c>
      <c r="U50" s="1"/>
      <c r="V50" s="5">
        <f t="shared" si="21"/>
        <v>0</v>
      </c>
      <c r="W50" s="1"/>
      <c r="X50" s="1">
        <f t="shared" si="22"/>
        <v>-4998</v>
      </c>
      <c r="Y50" s="1"/>
      <c r="Z50" s="5">
        <f t="shared" si="23"/>
        <v>-1</v>
      </c>
    </row>
    <row r="51" spans="1:26" s="24" customFormat="1" hidden="1" outlineLevel="2" x14ac:dyDescent="0.25">
      <c r="A51" s="29"/>
      <c r="B51" s="11" t="str">
        <f>CONCATENATE("          ", "6241", " - ", "OFFICE EXPENSE")</f>
        <v xml:space="preserve">          6241 - OFFICE EXPENSE</v>
      </c>
      <c r="C51" s="11"/>
      <c r="D51" s="7"/>
      <c r="E51" s="2"/>
      <c r="F51" s="6">
        <f t="shared" si="16"/>
        <v>0</v>
      </c>
      <c r="G51" s="2"/>
      <c r="H51" s="7">
        <v>833</v>
      </c>
      <c r="I51" s="2"/>
      <c r="J51" s="6">
        <f t="shared" si="17"/>
        <v>0</v>
      </c>
      <c r="K51" s="2"/>
      <c r="L51" s="7">
        <f t="shared" si="18"/>
        <v>-833</v>
      </c>
      <c r="M51" s="2"/>
      <c r="N51" s="6">
        <f t="shared" si="19"/>
        <v>-1</v>
      </c>
      <c r="O51" s="11"/>
      <c r="P51" s="7"/>
      <c r="Q51" s="2"/>
      <c r="R51" s="6">
        <f t="shared" si="20"/>
        <v>0</v>
      </c>
      <c r="S51" s="2"/>
      <c r="T51" s="7">
        <v>4998</v>
      </c>
      <c r="U51" s="2"/>
      <c r="V51" s="6">
        <f t="shared" si="21"/>
        <v>0</v>
      </c>
      <c r="W51" s="2"/>
      <c r="X51" s="7">
        <f t="shared" si="22"/>
        <v>-4998</v>
      </c>
      <c r="Y51" s="2"/>
      <c r="Z51" s="6">
        <f t="shared" si="23"/>
        <v>-1</v>
      </c>
    </row>
    <row r="52" spans="1:26" s="28" customFormat="1" outlineLevel="1" collapsed="1" x14ac:dyDescent="0.25">
      <c r="A52" s="27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SUM(OSRRefD22_8x_0)</f>
        <v>36</v>
      </c>
      <c r="E52" s="1"/>
      <c r="F52" s="5">
        <f t="shared" si="16"/>
        <v>0</v>
      </c>
      <c r="G52" s="1"/>
      <c r="H52" s="1">
        <f>SUM(OSRRefH22_8x_0)</f>
        <v>0</v>
      </c>
      <c r="I52" s="1"/>
      <c r="J52" s="5">
        <f t="shared" si="17"/>
        <v>0</v>
      </c>
      <c r="K52" s="1"/>
      <c r="L52" s="1">
        <f t="shared" si="18"/>
        <v>36</v>
      </c>
      <c r="M52" s="1"/>
      <c r="N52" s="5">
        <f t="shared" si="19"/>
        <v>0</v>
      </c>
      <c r="O52" s="14"/>
      <c r="P52" s="1">
        <f>SUM(OSRRefP22_8x_0)</f>
        <v>180</v>
      </c>
      <c r="Q52" s="1"/>
      <c r="R52" s="5">
        <f t="shared" si="20"/>
        <v>0</v>
      </c>
      <c r="S52" s="1"/>
      <c r="T52" s="1">
        <f>SUM(OSRRefT22_8x_0)</f>
        <v>1800</v>
      </c>
      <c r="U52" s="1"/>
      <c r="V52" s="5">
        <f t="shared" si="21"/>
        <v>0</v>
      </c>
      <c r="W52" s="1"/>
      <c r="X52" s="1">
        <f t="shared" si="22"/>
        <v>-1620</v>
      </c>
      <c r="Y52" s="1"/>
      <c r="Z52" s="5">
        <f t="shared" si="23"/>
        <v>-0.9</v>
      </c>
    </row>
    <row r="53" spans="1:26" s="24" customFormat="1" hidden="1" outlineLevel="2" x14ac:dyDescent="0.25">
      <c r="A53" s="29"/>
      <c r="B53" s="11" t="str">
        <f>CONCATENATE("          ", "6303", " - ", "DATA PHONE LINES")</f>
        <v xml:space="preserve">          6303 - DATA PHONE LINES</v>
      </c>
      <c r="C53" s="11"/>
      <c r="D53" s="7"/>
      <c r="E53" s="2"/>
      <c r="F53" s="6">
        <f t="shared" si="16"/>
        <v>0</v>
      </c>
      <c r="G53" s="2"/>
      <c r="H53" s="7"/>
      <c r="I53" s="2"/>
      <c r="J53" s="6">
        <f t="shared" si="17"/>
        <v>0</v>
      </c>
      <c r="K53" s="2"/>
      <c r="L53" s="7">
        <f t="shared" si="18"/>
        <v>0</v>
      </c>
      <c r="M53" s="2"/>
      <c r="N53" s="6">
        <f t="shared" si="19"/>
        <v>0</v>
      </c>
      <c r="O53" s="11"/>
      <c r="P53" s="7"/>
      <c r="Q53" s="2"/>
      <c r="R53" s="6">
        <f t="shared" si="20"/>
        <v>0</v>
      </c>
      <c r="S53" s="2"/>
      <c r="T53" s="7">
        <v>1800</v>
      </c>
      <c r="U53" s="2"/>
      <c r="V53" s="6">
        <f t="shared" si="21"/>
        <v>0</v>
      </c>
      <c r="W53" s="2"/>
      <c r="X53" s="7">
        <f t="shared" si="22"/>
        <v>-1800</v>
      </c>
      <c r="Y53" s="2"/>
      <c r="Z53" s="6">
        <f t="shared" si="23"/>
        <v>-1</v>
      </c>
    </row>
    <row r="54" spans="1:26" s="24" customFormat="1" hidden="1" outlineLevel="2" x14ac:dyDescent="0.25">
      <c r="A54" s="29"/>
      <c r="B54" s="11" t="str">
        <f>CONCATENATE("          ", "6309", " - ", "TELEPHONE")</f>
        <v xml:space="preserve">          6309 - TELEPHONE</v>
      </c>
      <c r="C54" s="11"/>
      <c r="D54" s="7">
        <v>36</v>
      </c>
      <c r="E54" s="2"/>
      <c r="F54" s="6">
        <f t="shared" si="16"/>
        <v>0</v>
      </c>
      <c r="G54" s="2"/>
      <c r="H54" s="7"/>
      <c r="I54" s="2"/>
      <c r="J54" s="6">
        <f t="shared" si="17"/>
        <v>0</v>
      </c>
      <c r="K54" s="2"/>
      <c r="L54" s="7">
        <f t="shared" si="18"/>
        <v>36</v>
      </c>
      <c r="M54" s="2"/>
      <c r="N54" s="6">
        <f t="shared" si="19"/>
        <v>0</v>
      </c>
      <c r="O54" s="11"/>
      <c r="P54" s="7">
        <v>180</v>
      </c>
      <c r="Q54" s="2"/>
      <c r="R54" s="6">
        <f t="shared" si="20"/>
        <v>0</v>
      </c>
      <c r="S54" s="2"/>
      <c r="T54" s="7"/>
      <c r="U54" s="2"/>
      <c r="V54" s="6">
        <f t="shared" si="21"/>
        <v>0</v>
      </c>
      <c r="W54" s="2"/>
      <c r="X54" s="7">
        <f t="shared" si="22"/>
        <v>180</v>
      </c>
      <c r="Y54" s="2"/>
      <c r="Z54" s="6">
        <f t="shared" si="23"/>
        <v>0</v>
      </c>
    </row>
    <row r="55" spans="1:26" s="28" customFormat="1" outlineLevel="1" collapsed="1" x14ac:dyDescent="0.25">
      <c r="A55" s="27"/>
      <c r="B55" s="14" t="str">
        <f>CONCATENATE("     ","Training                                          ")</f>
        <v xml:space="preserve">     Training                                          </v>
      </c>
      <c r="C55" s="14"/>
      <c r="D55" s="1">
        <f>SUM(OSRRefD22_9x_0)</f>
        <v>0</v>
      </c>
      <c r="E55" s="1"/>
      <c r="F55" s="5">
        <f t="shared" ref="F55:F56" si="24">IF(D$12=0,0,D55/D$12)</f>
        <v>0</v>
      </c>
      <c r="G55" s="1"/>
      <c r="H55" s="1">
        <f>SUM(OSRRefH22_9x_0)</f>
        <v>0</v>
      </c>
      <c r="I55" s="1"/>
      <c r="J55" s="5">
        <f t="shared" ref="J55:J56" si="25">IF(H$12=0,0,H55/H$12)</f>
        <v>0</v>
      </c>
      <c r="K55" s="1"/>
      <c r="L55" s="1">
        <f t="shared" ref="L55:L56" si="26">+D55-H55</f>
        <v>0</v>
      </c>
      <c r="M55" s="1"/>
      <c r="N55" s="5">
        <f t="shared" ref="N55:N56" si="27">IF(H55=0,0,L55/H55)</f>
        <v>0</v>
      </c>
      <c r="O55" s="14"/>
      <c r="P55" s="1">
        <f>SUM(OSRRefP22_9x_0)</f>
        <v>0</v>
      </c>
      <c r="Q55" s="1"/>
      <c r="R55" s="5">
        <f t="shared" ref="R55:R56" si="28">IF(P$12=0,0,P55/P$12)</f>
        <v>0</v>
      </c>
      <c r="S55" s="1"/>
      <c r="T55" s="1">
        <f>SUM(OSRRefT22_9x_0)</f>
        <v>2400</v>
      </c>
      <c r="U55" s="1"/>
      <c r="V55" s="5">
        <f t="shared" ref="V55:V56" si="29">IF(T$12=0,0,T55/T$12)</f>
        <v>0</v>
      </c>
      <c r="W55" s="1"/>
      <c r="X55" s="1">
        <f t="shared" ref="X55:X56" si="30">+P55-T55</f>
        <v>-2400</v>
      </c>
      <c r="Y55" s="1"/>
      <c r="Z55" s="5">
        <f t="shared" ref="Z55:Z56" si="31">IF(T55=0,0,X55/T55)</f>
        <v>-1</v>
      </c>
    </row>
    <row r="56" spans="1:26" s="24" customFormat="1" hidden="1" outlineLevel="2" x14ac:dyDescent="0.25">
      <c r="A56" s="29"/>
      <c r="B56" s="11" t="str">
        <f>CONCATENATE("          ", "6376", " - ", "TRAINING")</f>
        <v xml:space="preserve">          6376 - TRAINING</v>
      </c>
      <c r="C56" s="11"/>
      <c r="D56" s="7"/>
      <c r="E56" s="2"/>
      <c r="F56" s="6">
        <f t="shared" si="24"/>
        <v>0</v>
      </c>
      <c r="G56" s="2"/>
      <c r="H56" s="7"/>
      <c r="I56" s="2"/>
      <c r="J56" s="6">
        <f t="shared" si="25"/>
        <v>0</v>
      </c>
      <c r="K56" s="2"/>
      <c r="L56" s="7">
        <f t="shared" si="26"/>
        <v>0</v>
      </c>
      <c r="M56" s="2"/>
      <c r="N56" s="6">
        <f t="shared" si="27"/>
        <v>0</v>
      </c>
      <c r="O56" s="11"/>
      <c r="P56" s="7"/>
      <c r="Q56" s="2"/>
      <c r="R56" s="6">
        <f t="shared" si="28"/>
        <v>0</v>
      </c>
      <c r="S56" s="2"/>
      <c r="T56" s="7">
        <v>2400</v>
      </c>
      <c r="U56" s="2"/>
      <c r="V56" s="6">
        <f t="shared" si="29"/>
        <v>0</v>
      </c>
      <c r="W56" s="2"/>
      <c r="X56" s="7">
        <f t="shared" si="30"/>
        <v>-2400</v>
      </c>
      <c r="Y56" s="2"/>
      <c r="Z56" s="6">
        <f t="shared" si="31"/>
        <v>-1</v>
      </c>
    </row>
    <row r="57" spans="1:26" s="53" customFormat="1" x14ac:dyDescent="0.25">
      <c r="A57" s="36"/>
      <c r="B57" s="36"/>
      <c r="C57" s="36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6" t="s">
        <v>0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5" t="s">
        <v>3</v>
      </c>
      <c r="C60" s="25"/>
      <c r="D60" s="21">
        <f>+D16-D18+D58</f>
        <v>-8483.08</v>
      </c>
      <c r="E60" s="13"/>
      <c r="F60" s="19">
        <f>IF(D$12=0,0,D60/D$12)</f>
        <v>0</v>
      </c>
      <c r="G60" s="13"/>
      <c r="H60" s="21">
        <f>+H16-H18+H58</f>
        <v>-17391.590153846155</v>
      </c>
      <c r="I60" s="13"/>
      <c r="J60" s="19">
        <f>IF(H$12=0,0,H60/H$12)</f>
        <v>0</v>
      </c>
      <c r="K60" s="16"/>
      <c r="L60" s="21">
        <f>+D60-H60</f>
        <v>8908.5101538461549</v>
      </c>
      <c r="M60" s="16"/>
      <c r="N60" s="19">
        <f>IF(H60=0,0,L60/H60)</f>
        <v>-0.51223091592208636</v>
      </c>
      <c r="O60" s="26"/>
      <c r="P60" s="21">
        <f>+P16-P18+P58</f>
        <v>-52242.79</v>
      </c>
      <c r="Q60" s="13"/>
      <c r="R60" s="19">
        <f>IF(P$12=0,0,P60/P$12)</f>
        <v>0</v>
      </c>
      <c r="S60" s="13"/>
      <c r="T60" s="21">
        <f>+T16-T18+T58</f>
        <v>-113412.467</v>
      </c>
      <c r="U60" s="13"/>
      <c r="V60" s="19">
        <f>IF(T$12=0,0,T60/T$12)</f>
        <v>0</v>
      </c>
      <c r="W60" s="16"/>
      <c r="X60" s="21">
        <f>+P60-T60</f>
        <v>61169.677000000003</v>
      </c>
      <c r="Y60" s="16"/>
      <c r="Z60" s="19">
        <f>IF(T60=0,0,X60/T60)</f>
        <v>-0.53935584524406832</v>
      </c>
    </row>
    <row r="61" spans="1:26" x14ac:dyDescent="0.25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52"/>
      <c r="B62" s="10" t="s">
        <v>14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/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5" t="s">
        <v>4</v>
      </c>
      <c r="C64" s="25"/>
      <c r="D64" s="34">
        <f>+D60-D62</f>
        <v>-8483.08</v>
      </c>
      <c r="E64" s="13"/>
      <c r="F64" s="31">
        <f>IF(D$12=0,0,D64/D$12)</f>
        <v>0</v>
      </c>
      <c r="G64" s="13"/>
      <c r="H64" s="34">
        <f>+H60-H62</f>
        <v>-17391.590153846155</v>
      </c>
      <c r="I64" s="13"/>
      <c r="J64" s="31">
        <f>IF(H$12=0,0,H64/H$12)</f>
        <v>0</v>
      </c>
      <c r="K64" s="16"/>
      <c r="L64" s="34">
        <f>D64-H64</f>
        <v>8908.5101538461549</v>
      </c>
      <c r="M64" s="16"/>
      <c r="N64" s="31">
        <f>IF(H64=0,0,L64/H64)</f>
        <v>-0.51223091592208636</v>
      </c>
      <c r="O64" s="26"/>
      <c r="P64" s="34">
        <f>+P60-P62</f>
        <v>-52242.79</v>
      </c>
      <c r="Q64" s="13"/>
      <c r="R64" s="31">
        <f>IF(P$12=0,0,P64/P$12)</f>
        <v>0</v>
      </c>
      <c r="S64" s="13"/>
      <c r="T64" s="34">
        <f>+T60-T62</f>
        <v>-113412.467</v>
      </c>
      <c r="U64" s="13"/>
      <c r="V64" s="31">
        <f>IF(T$12=0,0,T64/T$12)</f>
        <v>0</v>
      </c>
      <c r="W64" s="16"/>
      <c r="X64" s="34">
        <f>P64-T64</f>
        <v>61169.677000000003</v>
      </c>
      <c r="Y64" s="16"/>
      <c r="Z64" s="31">
        <f>IF(T64=0,0,X64/T64)</f>
        <v>-0.53935584524406832</v>
      </c>
    </row>
    <row r="65" spans="1:26" ht="15.75" thickTop="1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5" t="s">
        <v>5</v>
      </c>
      <c r="C67" s="25"/>
      <c r="D67" s="33">
        <f>SUM(D64:D66)</f>
        <v>-8483.08</v>
      </c>
      <c r="E67" s="13"/>
      <c r="F67" s="32">
        <f>IF(D$12=0,0,D67/D$12)</f>
        <v>0</v>
      </c>
      <c r="G67" s="13"/>
      <c r="H67" s="33">
        <f>SUM(H64:H66)</f>
        <v>-17391.590153846155</v>
      </c>
      <c r="I67" s="13"/>
      <c r="J67" s="32">
        <f>IF(H$12=0,0,H67/H$12)</f>
        <v>0</v>
      </c>
      <c r="K67" s="16"/>
      <c r="L67" s="33">
        <f>+D67-H67</f>
        <v>8908.5101538461549</v>
      </c>
      <c r="M67" s="16"/>
      <c r="N67" s="32">
        <f>IF(H67=0,0,L67/H67)</f>
        <v>-0.51223091592208636</v>
      </c>
      <c r="O67" s="26"/>
      <c r="P67" s="33">
        <f>SUM(P64:P66)</f>
        <v>-52242.79</v>
      </c>
      <c r="Q67" s="13"/>
      <c r="R67" s="32">
        <f>IF(P$12=0,0,P67/P$12)</f>
        <v>0</v>
      </c>
      <c r="S67" s="13"/>
      <c r="T67" s="33">
        <f>SUM(T64:T66)</f>
        <v>-113412.467</v>
      </c>
      <c r="U67" s="13"/>
      <c r="V67" s="32">
        <f>IF(T$12=0,0,T67/T$12)</f>
        <v>0</v>
      </c>
      <c r="W67" s="16"/>
      <c r="X67" s="33">
        <f>+P67-T67</f>
        <v>61169.677000000003</v>
      </c>
      <c r="Y67" s="16"/>
      <c r="Z67" s="32">
        <f>IF(T67=0,0,X67/T67)</f>
        <v>-0.53935584524406832</v>
      </c>
    </row>
    <row r="68" spans="1:26" ht="15.75" thickTop="1" x14ac:dyDescent="0.25">
      <c r="A68" s="9"/>
      <c r="C68" s="9"/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63">
        <v>44209.518353240739</v>
      </c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A70" s="9"/>
      <c r="B70" s="60" t="s">
        <v>314</v>
      </c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58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3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308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233631.73999999996</v>
      </c>
      <c r="E12" s="4"/>
      <c r="F12" s="12"/>
      <c r="G12" s="4"/>
      <c r="H12" s="4">
        <f>SUM(OSRRefH13x_0)</f>
        <v>396137</v>
      </c>
      <c r="I12" s="4"/>
      <c r="J12" s="12"/>
      <c r="K12" s="4"/>
      <c r="L12" s="4">
        <f t="shared" ref="L12:L76" si="0">+D12-H12</f>
        <v>-162505.26000000004</v>
      </c>
      <c r="M12" s="4"/>
      <c r="N12" s="12">
        <f t="shared" ref="N12:N76" si="1">IF(H12=0,0,L12/H12)</f>
        <v>-0.41022489694221959</v>
      </c>
      <c r="O12" s="10"/>
      <c r="P12" s="4">
        <f>SUM(OSRRefP13x_0)</f>
        <v>2701201.1299999994</v>
      </c>
      <c r="Q12" s="4"/>
      <c r="R12" s="12"/>
      <c r="S12" s="4"/>
      <c r="T12" s="4">
        <f>SUM(OSRRefT13x_0)</f>
        <v>4897796</v>
      </c>
      <c r="U12" s="4"/>
      <c r="V12" s="12"/>
      <c r="W12" s="4"/>
      <c r="X12" s="4">
        <f t="shared" ref="X12:X76" si="2">+P12-T12</f>
        <v>-2196594.8700000006</v>
      </c>
      <c r="Y12" s="4"/>
      <c r="Z12" s="12">
        <f t="shared" ref="Z12:Z76" si="3">IF(T12=0,0,X12/T12)</f>
        <v>-0.44848639469671675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-31830.44</f>
        <v>-31830.44</v>
      </c>
      <c r="E13" s="2"/>
      <c r="F13" s="22"/>
      <c r="G13" s="2"/>
      <c r="H13" s="2">
        <v>366257</v>
      </c>
      <c r="I13" s="2"/>
      <c r="J13" s="22"/>
      <c r="K13" s="2"/>
      <c r="L13" s="2">
        <f t="shared" si="0"/>
        <v>-398087.44</v>
      </c>
      <c r="M13" s="2"/>
      <c r="N13" s="22">
        <f t="shared" si="1"/>
        <v>-1.0869073901659219</v>
      </c>
      <c r="O13" s="11"/>
      <c r="P13" s="2">
        <f>-88829.09</f>
        <v>-88829.09</v>
      </c>
      <c r="Q13" s="2"/>
      <c r="R13" s="22"/>
      <c r="S13" s="2"/>
      <c r="T13" s="2">
        <v>4665373</v>
      </c>
      <c r="U13" s="2"/>
      <c r="V13" s="22"/>
      <c r="W13" s="2"/>
      <c r="X13" s="2">
        <f t="shared" si="2"/>
        <v>-4754202.09</v>
      </c>
      <c r="Y13" s="2"/>
      <c r="Z13" s="22">
        <f t="shared" si="3"/>
        <v>-1.0190400831830595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--11522</f>
        <v>11522</v>
      </c>
      <c r="E14" s="2"/>
      <c r="F14" s="22"/>
      <c r="G14" s="2"/>
      <c r="H14" s="2"/>
      <c r="I14" s="2"/>
      <c r="J14" s="22"/>
      <c r="K14" s="2"/>
      <c r="L14" s="2">
        <f t="shared" si="0"/>
        <v>11522</v>
      </c>
      <c r="M14" s="2"/>
      <c r="N14" s="22">
        <f t="shared" si="1"/>
        <v>0</v>
      </c>
      <c r="O14" s="11"/>
      <c r="P14" s="2">
        <f>--730666.02</f>
        <v>730666.02</v>
      </c>
      <c r="Q14" s="2"/>
      <c r="R14" s="22"/>
      <c r="S14" s="2"/>
      <c r="T14" s="2"/>
      <c r="U14" s="2"/>
      <c r="V14" s="22"/>
      <c r="W14" s="2"/>
      <c r="X14" s="2">
        <f t="shared" si="2"/>
        <v>730666.02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--2822.44</f>
        <v>2822.44</v>
      </c>
      <c r="E15" s="2"/>
      <c r="F15" s="22"/>
      <c r="G15" s="2"/>
      <c r="H15" s="2"/>
      <c r="I15" s="2"/>
      <c r="J15" s="22"/>
      <c r="K15" s="2"/>
      <c r="L15" s="2">
        <f t="shared" si="0"/>
        <v>2822.44</v>
      </c>
      <c r="M15" s="2"/>
      <c r="N15" s="22">
        <f t="shared" si="1"/>
        <v>0</v>
      </c>
      <c r="O15" s="11"/>
      <c r="P15" s="2">
        <f>--323454.06</f>
        <v>323454.06</v>
      </c>
      <c r="Q15" s="2"/>
      <c r="R15" s="22"/>
      <c r="S15" s="2"/>
      <c r="T15" s="2"/>
      <c r="U15" s="2"/>
      <c r="V15" s="22"/>
      <c r="W15" s="2"/>
      <c r="X15" s="2">
        <f t="shared" si="2"/>
        <v>323454.06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7" si="4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--10665.63</f>
        <v>10665.63</v>
      </c>
      <c r="Q16" s="2"/>
      <c r="R16" s="22"/>
      <c r="S16" s="2"/>
      <c r="T16" s="2"/>
      <c r="U16" s="2"/>
      <c r="V16" s="22"/>
      <c r="W16" s="2"/>
      <c r="X16" s="2">
        <f t="shared" si="2"/>
        <v>10665.63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--2459.56</f>
        <v>2459.56</v>
      </c>
      <c r="Q17" s="2"/>
      <c r="R17" s="22"/>
      <c r="S17" s="2"/>
      <c r="T17" s="2"/>
      <c r="U17" s="2"/>
      <c r="V17" s="22"/>
      <c r="W17" s="2"/>
      <c r="X17" s="2">
        <f t="shared" si="2"/>
        <v>2459.56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--78.85</f>
        <v>78.849999999999994</v>
      </c>
      <c r="E18" s="2"/>
      <c r="F18" s="22"/>
      <c r="G18" s="2"/>
      <c r="H18" s="2"/>
      <c r="I18" s="2"/>
      <c r="J18" s="22"/>
      <c r="K18" s="2"/>
      <c r="L18" s="2">
        <f t="shared" si="0"/>
        <v>78.849999999999994</v>
      </c>
      <c r="M18" s="2"/>
      <c r="N18" s="22">
        <f t="shared" si="1"/>
        <v>0</v>
      </c>
      <c r="O18" s="11"/>
      <c r="P18" s="2">
        <f>--583.97</f>
        <v>583.97</v>
      </c>
      <c r="Q18" s="2"/>
      <c r="R18" s="22"/>
      <c r="S18" s="2"/>
      <c r="T18" s="2"/>
      <c r="U18" s="2"/>
      <c r="V18" s="22"/>
      <c r="W18" s="2"/>
      <c r="X18" s="2">
        <f t="shared" si="2"/>
        <v>583.97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--35.82</f>
        <v>35.82</v>
      </c>
      <c r="E19" s="2"/>
      <c r="F19" s="22"/>
      <c r="G19" s="2"/>
      <c r="H19" s="2"/>
      <c r="I19" s="2"/>
      <c r="J19" s="22"/>
      <c r="K19" s="2"/>
      <c r="L19" s="2">
        <f t="shared" si="0"/>
        <v>35.82</v>
      </c>
      <c r="M19" s="2"/>
      <c r="N19" s="22">
        <f t="shared" si="1"/>
        <v>0</v>
      </c>
      <c r="O19" s="11"/>
      <c r="P19" s="2">
        <f>--376.06</f>
        <v>376.06</v>
      </c>
      <c r="Q19" s="2"/>
      <c r="R19" s="22"/>
      <c r="S19" s="2"/>
      <c r="T19" s="2"/>
      <c r="U19" s="2"/>
      <c r="V19" s="22"/>
      <c r="W19" s="2"/>
      <c r="X19" s="2">
        <f t="shared" si="2"/>
        <v>376.06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--6.95</f>
        <v>6.95</v>
      </c>
      <c r="E20" s="2"/>
      <c r="F20" s="22"/>
      <c r="G20" s="2"/>
      <c r="H20" s="2"/>
      <c r="I20" s="2"/>
      <c r="J20" s="22"/>
      <c r="K20" s="2"/>
      <c r="L20" s="2">
        <f t="shared" si="0"/>
        <v>6.95</v>
      </c>
      <c r="M20" s="2"/>
      <c r="N20" s="22">
        <f t="shared" si="1"/>
        <v>0</v>
      </c>
      <c r="O20" s="11"/>
      <c r="P20" s="2">
        <f>--190.84</f>
        <v>190.84</v>
      </c>
      <c r="Q20" s="2"/>
      <c r="R20" s="22"/>
      <c r="S20" s="2"/>
      <c r="T20" s="2"/>
      <c r="U20" s="2"/>
      <c r="V20" s="22"/>
      <c r="W20" s="2"/>
      <c r="X20" s="2">
        <f t="shared" si="2"/>
        <v>190.84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--75.18</f>
        <v>75.180000000000007</v>
      </c>
      <c r="E21" s="2"/>
      <c r="F21" s="22"/>
      <c r="G21" s="2"/>
      <c r="H21" s="2"/>
      <c r="I21" s="2"/>
      <c r="J21" s="22"/>
      <c r="K21" s="2"/>
      <c r="L21" s="2">
        <f t="shared" si="0"/>
        <v>75.180000000000007</v>
      </c>
      <c r="M21" s="2"/>
      <c r="N21" s="22">
        <f t="shared" si="1"/>
        <v>0</v>
      </c>
      <c r="O21" s="11"/>
      <c r="P21" s="2">
        <f>--372.38</f>
        <v>372.38</v>
      </c>
      <c r="Q21" s="2"/>
      <c r="R21" s="22"/>
      <c r="S21" s="2"/>
      <c r="T21" s="2"/>
      <c r="U21" s="2"/>
      <c r="V21" s="22"/>
      <c r="W21" s="2"/>
      <c r="X21" s="2">
        <f t="shared" si="2"/>
        <v>372.38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--3253.96</f>
        <v>3253.96</v>
      </c>
      <c r="E22" s="2"/>
      <c r="F22" s="22"/>
      <c r="G22" s="2"/>
      <c r="H22" s="2"/>
      <c r="I22" s="2"/>
      <c r="J22" s="22"/>
      <c r="K22" s="2"/>
      <c r="L22" s="2">
        <f t="shared" si="0"/>
        <v>3253.96</v>
      </c>
      <c r="M22" s="2"/>
      <c r="N22" s="22">
        <f t="shared" si="1"/>
        <v>0</v>
      </c>
      <c r="O22" s="11"/>
      <c r="P22" s="2">
        <f>--39974.43</f>
        <v>39974.43</v>
      </c>
      <c r="Q22" s="2"/>
      <c r="R22" s="22"/>
      <c r="S22" s="2"/>
      <c r="T22" s="2"/>
      <c r="U22" s="2"/>
      <c r="V22" s="22"/>
      <c r="W22" s="2"/>
      <c r="X22" s="2">
        <f t="shared" si="2"/>
        <v>39974.43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--1179.23</f>
        <v>1179.23</v>
      </c>
      <c r="E23" s="2"/>
      <c r="F23" s="22"/>
      <c r="G23" s="2"/>
      <c r="H23" s="2"/>
      <c r="I23" s="2"/>
      <c r="J23" s="22"/>
      <c r="K23" s="2"/>
      <c r="L23" s="2">
        <f t="shared" si="0"/>
        <v>1179.23</v>
      </c>
      <c r="M23" s="2"/>
      <c r="N23" s="22">
        <f t="shared" si="1"/>
        <v>0</v>
      </c>
      <c r="O23" s="11"/>
      <c r="P23" s="2">
        <f>--17178.81</f>
        <v>17178.810000000001</v>
      </c>
      <c r="Q23" s="2"/>
      <c r="R23" s="22"/>
      <c r="S23" s="2"/>
      <c r="T23" s="2"/>
      <c r="U23" s="2"/>
      <c r="V23" s="22"/>
      <c r="W23" s="2"/>
      <c r="X23" s="2">
        <f t="shared" si="2"/>
        <v>17178.810000000001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--247.04</f>
        <v>247.04</v>
      </c>
      <c r="E24" s="2"/>
      <c r="F24" s="22"/>
      <c r="G24" s="2"/>
      <c r="H24" s="2"/>
      <c r="I24" s="2"/>
      <c r="J24" s="22"/>
      <c r="K24" s="2"/>
      <c r="L24" s="2">
        <f t="shared" si="0"/>
        <v>247.04</v>
      </c>
      <c r="M24" s="2"/>
      <c r="N24" s="22">
        <f t="shared" si="1"/>
        <v>0</v>
      </c>
      <c r="O24" s="11"/>
      <c r="P24" s="2">
        <f>--2109.65</f>
        <v>2109.65</v>
      </c>
      <c r="Q24" s="2"/>
      <c r="R24" s="22"/>
      <c r="S24" s="2"/>
      <c r="T24" s="2"/>
      <c r="U24" s="2"/>
      <c r="V24" s="22"/>
      <c r="W24" s="2"/>
      <c r="X24" s="2">
        <f t="shared" si="2"/>
        <v>2109.65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"4032", " - ", "TAXABLE SALES-JUICE")</f>
        <v xml:space="preserve">          4032 - TAXABLE SALES-JUICE</v>
      </c>
      <c r="C25" s="11"/>
      <c r="D25" s="2">
        <f t="shared" ref="D25:D26" si="5"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--444.59</f>
        <v>444.59</v>
      </c>
      <c r="Q25" s="2"/>
      <c r="R25" s="22"/>
      <c r="S25" s="2"/>
      <c r="T25" s="2"/>
      <c r="U25" s="2"/>
      <c r="V25" s="22"/>
      <c r="W25" s="2"/>
      <c r="X25" s="2">
        <f t="shared" si="2"/>
        <v>444.59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"4034", " - ", "TAXABLE SALES-SODA")</f>
        <v xml:space="preserve">          4034 - TAXABLE SALES-SODA</v>
      </c>
      <c r="C26" s="11"/>
      <c r="D26" s="2">
        <f t="shared" si="5"/>
        <v>0</v>
      </c>
      <c r="E26" s="2"/>
      <c r="F26" s="22"/>
      <c r="G26" s="2"/>
      <c r="H26" s="2"/>
      <c r="I26" s="2"/>
      <c r="J26" s="22"/>
      <c r="K26" s="2"/>
      <c r="L26" s="2">
        <f t="shared" si="0"/>
        <v>0</v>
      </c>
      <c r="M26" s="2"/>
      <c r="N26" s="22">
        <f t="shared" si="1"/>
        <v>0</v>
      </c>
      <c r="O26" s="11"/>
      <c r="P26" s="2">
        <f>--6.78</f>
        <v>6.78</v>
      </c>
      <c r="Q26" s="2"/>
      <c r="R26" s="22"/>
      <c r="S26" s="2"/>
      <c r="T26" s="2"/>
      <c r="U26" s="2"/>
      <c r="V26" s="22"/>
      <c r="W26" s="2"/>
      <c r="X26" s="2">
        <f t="shared" si="2"/>
        <v>6.78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"4040", " - ", "TAXABLE SALES-LOGO CLOTHING")</f>
        <v xml:space="preserve">          4040 - TAXABLE SALES-LOGO CLOTHING</v>
      </c>
      <c r="C27" s="11"/>
      <c r="D27" s="2">
        <f>--84378.29</f>
        <v>84378.29</v>
      </c>
      <c r="E27" s="2"/>
      <c r="F27" s="22"/>
      <c r="G27" s="2"/>
      <c r="H27" s="2"/>
      <c r="I27" s="2"/>
      <c r="J27" s="22"/>
      <c r="K27" s="2"/>
      <c r="L27" s="2">
        <f t="shared" si="0"/>
        <v>84378.29</v>
      </c>
      <c r="M27" s="2"/>
      <c r="N27" s="22">
        <f t="shared" si="1"/>
        <v>0</v>
      </c>
      <c r="O27" s="11"/>
      <c r="P27" s="2">
        <f>--508110.99</f>
        <v>508110.99</v>
      </c>
      <c r="Q27" s="2"/>
      <c r="R27" s="22"/>
      <c r="S27" s="2"/>
      <c r="T27" s="2"/>
      <c r="U27" s="2"/>
      <c r="V27" s="22"/>
      <c r="W27" s="2"/>
      <c r="X27" s="2">
        <f t="shared" si="2"/>
        <v>508110.99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"4041", " - ", "TAXABLE SALES-LOGO GIFTS")</f>
        <v xml:space="preserve">          4041 - TAXABLE SALES-LOGO GIFTS</v>
      </c>
      <c r="C28" s="11"/>
      <c r="D28" s="2">
        <f>--32217.83</f>
        <v>32217.83</v>
      </c>
      <c r="E28" s="2"/>
      <c r="F28" s="22"/>
      <c r="G28" s="2"/>
      <c r="H28" s="2"/>
      <c r="I28" s="2"/>
      <c r="J28" s="22"/>
      <c r="K28" s="2"/>
      <c r="L28" s="2">
        <f t="shared" si="0"/>
        <v>32217.83</v>
      </c>
      <c r="M28" s="2"/>
      <c r="N28" s="22">
        <f t="shared" si="1"/>
        <v>0</v>
      </c>
      <c r="O28" s="11"/>
      <c r="P28" s="2">
        <f>--197618.32</f>
        <v>197618.32</v>
      </c>
      <c r="Q28" s="2"/>
      <c r="R28" s="22"/>
      <c r="S28" s="2"/>
      <c r="T28" s="2"/>
      <c r="U28" s="2"/>
      <c r="V28" s="22"/>
      <c r="W28" s="2"/>
      <c r="X28" s="2">
        <f t="shared" si="2"/>
        <v>197618.32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"4042", " - ", "TAXABLE SALES-EVERYDAY GIFTS")</f>
        <v xml:space="preserve">          4042 - TAXABLE SALES-EVERYDAY GIFTS</v>
      </c>
      <c r="C29" s="11"/>
      <c r="D29" s="2">
        <f>--8018.58</f>
        <v>8018.58</v>
      </c>
      <c r="E29" s="2"/>
      <c r="F29" s="22"/>
      <c r="G29" s="2"/>
      <c r="H29" s="2"/>
      <c r="I29" s="2"/>
      <c r="J29" s="22"/>
      <c r="K29" s="2"/>
      <c r="L29" s="2">
        <f t="shared" si="0"/>
        <v>8018.58</v>
      </c>
      <c r="M29" s="2"/>
      <c r="N29" s="22">
        <f t="shared" si="1"/>
        <v>0</v>
      </c>
      <c r="O29" s="11"/>
      <c r="P29" s="2">
        <f>--64897.7</f>
        <v>64897.7</v>
      </c>
      <c r="Q29" s="2"/>
      <c r="R29" s="22"/>
      <c r="S29" s="2"/>
      <c r="T29" s="2"/>
      <c r="U29" s="2"/>
      <c r="V29" s="22"/>
      <c r="W29" s="2"/>
      <c r="X29" s="2">
        <f t="shared" si="2"/>
        <v>64897.7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"4043", " - ", "TAXABLE SALES-CARDS")</f>
        <v xml:space="preserve">          4043 - TAXABLE SALES-CARDS</v>
      </c>
      <c r="C30" s="11"/>
      <c r="D30" s="2">
        <f>--35930.93</f>
        <v>35930.93</v>
      </c>
      <c r="E30" s="2"/>
      <c r="F30" s="22"/>
      <c r="G30" s="2"/>
      <c r="H30" s="2"/>
      <c r="I30" s="2"/>
      <c r="J30" s="22"/>
      <c r="K30" s="2"/>
      <c r="L30" s="2">
        <f t="shared" si="0"/>
        <v>35930.93</v>
      </c>
      <c r="M30" s="2"/>
      <c r="N30" s="22">
        <f t="shared" si="1"/>
        <v>0</v>
      </c>
      <c r="O30" s="11"/>
      <c r="P30" s="2">
        <f>--93109.15</f>
        <v>93109.15</v>
      </c>
      <c r="Q30" s="2"/>
      <c r="R30" s="22"/>
      <c r="S30" s="2"/>
      <c r="T30" s="2"/>
      <c r="U30" s="2"/>
      <c r="V30" s="22"/>
      <c r="W30" s="2"/>
      <c r="X30" s="2">
        <f t="shared" si="2"/>
        <v>93109.15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"4044", " - ", "TAXABLE SALES-ACCESSORIES")</f>
        <v xml:space="preserve">          4044 - TAXABLE SALES-ACCESSORIES</v>
      </c>
      <c r="C31" s="11"/>
      <c r="D31" s="2">
        <f>--11267.16</f>
        <v>11267.16</v>
      </c>
      <c r="E31" s="2"/>
      <c r="F31" s="22"/>
      <c r="G31" s="2"/>
      <c r="H31" s="2"/>
      <c r="I31" s="2"/>
      <c r="J31" s="22"/>
      <c r="K31" s="2"/>
      <c r="L31" s="2">
        <f t="shared" si="0"/>
        <v>11267.16</v>
      </c>
      <c r="M31" s="2"/>
      <c r="N31" s="22">
        <f t="shared" si="1"/>
        <v>0</v>
      </c>
      <c r="O31" s="11"/>
      <c r="P31" s="2">
        <f>--26273.67</f>
        <v>26273.67</v>
      </c>
      <c r="Q31" s="2"/>
      <c r="R31" s="22"/>
      <c r="S31" s="2"/>
      <c r="T31" s="2"/>
      <c r="U31" s="2"/>
      <c r="V31" s="22"/>
      <c r="W31" s="2"/>
      <c r="X31" s="2">
        <f t="shared" si="2"/>
        <v>26273.67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"4045", " - ", "TAXABLE SALES-SPECIAL ORDERS")</f>
        <v xml:space="preserve">          4045 - TAXABLE SALES-SPECIAL ORDERS</v>
      </c>
      <c r="C32" s="11"/>
      <c r="D32" s="2">
        <f>--13848.98</f>
        <v>13848.98</v>
      </c>
      <c r="E32" s="2"/>
      <c r="F32" s="22"/>
      <c r="G32" s="2"/>
      <c r="H32" s="2"/>
      <c r="I32" s="2"/>
      <c r="J32" s="22"/>
      <c r="K32" s="2"/>
      <c r="L32" s="2">
        <f t="shared" si="0"/>
        <v>13848.98</v>
      </c>
      <c r="M32" s="2"/>
      <c r="N32" s="22">
        <f t="shared" si="1"/>
        <v>0</v>
      </c>
      <c r="O32" s="11"/>
      <c r="P32" s="2">
        <f>--122061.15</f>
        <v>122061.15</v>
      </c>
      <c r="Q32" s="2"/>
      <c r="R32" s="22"/>
      <c r="S32" s="2"/>
      <c r="T32" s="2"/>
      <c r="U32" s="2"/>
      <c r="V32" s="22"/>
      <c r="W32" s="2"/>
      <c r="X32" s="2">
        <f t="shared" si="2"/>
        <v>122061.15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"4081", " - ", "TAXABLE SALES-ELECTRONICS")</f>
        <v xml:space="preserve">          4081 - TAXABLE SALES-ELECTRONICS</v>
      </c>
      <c r="C33" s="11"/>
      <c r="D33" s="2">
        <f t="shared" ref="D33:D34" si="6">0</f>
        <v>0</v>
      </c>
      <c r="E33" s="2"/>
      <c r="F33" s="22"/>
      <c r="G33" s="2"/>
      <c r="H33" s="2"/>
      <c r="I33" s="2"/>
      <c r="J33" s="22"/>
      <c r="K33" s="2"/>
      <c r="L33" s="2">
        <f t="shared" si="0"/>
        <v>0</v>
      </c>
      <c r="M33" s="2"/>
      <c r="N33" s="22">
        <f t="shared" si="1"/>
        <v>0</v>
      </c>
      <c r="O33" s="11"/>
      <c r="P33" s="2">
        <f>--71.95</f>
        <v>71.95</v>
      </c>
      <c r="Q33" s="2"/>
      <c r="R33" s="22"/>
      <c r="S33" s="2"/>
      <c r="T33" s="2"/>
      <c r="U33" s="2"/>
      <c r="V33" s="22"/>
      <c r="W33" s="2"/>
      <c r="X33" s="2">
        <f t="shared" si="2"/>
        <v>71.95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 t="shared" si="6"/>
        <v>0</v>
      </c>
      <c r="E34" s="2"/>
      <c r="F34" s="22"/>
      <c r="G34" s="2"/>
      <c r="H34" s="2"/>
      <c r="I34" s="2"/>
      <c r="J34" s="22"/>
      <c r="K34" s="2"/>
      <c r="L34" s="2">
        <f t="shared" si="0"/>
        <v>0</v>
      </c>
      <c r="M34" s="2"/>
      <c r="N34" s="22">
        <f t="shared" si="1"/>
        <v>0</v>
      </c>
      <c r="O34" s="11"/>
      <c r="P34" s="2">
        <f>--9.99</f>
        <v>9.99</v>
      </c>
      <c r="Q34" s="2"/>
      <c r="R34" s="22"/>
      <c r="S34" s="2"/>
      <c r="T34" s="2"/>
      <c r="U34" s="2"/>
      <c r="V34" s="22"/>
      <c r="W34" s="2"/>
      <c r="X34" s="2">
        <f t="shared" si="2"/>
        <v>9.99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"4100", " - ", "NON-TAXABLE SALES")</f>
        <v xml:space="preserve">          4100 - NON-TAXABLE SALES</v>
      </c>
      <c r="C35" s="11"/>
      <c r="D35" s="2">
        <f>-225.75</f>
        <v>-225.75</v>
      </c>
      <c r="E35" s="2"/>
      <c r="F35" s="22"/>
      <c r="G35" s="2"/>
      <c r="H35" s="2">
        <v>29880</v>
      </c>
      <c r="I35" s="2"/>
      <c r="J35" s="22"/>
      <c r="K35" s="2"/>
      <c r="L35" s="2">
        <f t="shared" si="0"/>
        <v>-30105.75</v>
      </c>
      <c r="M35" s="2"/>
      <c r="N35" s="22">
        <f t="shared" si="1"/>
        <v>-1.0075552208835341</v>
      </c>
      <c r="O35" s="11"/>
      <c r="P35" s="2">
        <f>--165587.67</f>
        <v>165587.67000000001</v>
      </c>
      <c r="Q35" s="2"/>
      <c r="R35" s="22"/>
      <c r="S35" s="2"/>
      <c r="T35" s="2">
        <v>232423</v>
      </c>
      <c r="U35" s="2"/>
      <c r="V35" s="22"/>
      <c r="W35" s="2"/>
      <c r="X35" s="2">
        <f t="shared" si="2"/>
        <v>-66835.329999999987</v>
      </c>
      <c r="Y35" s="2"/>
      <c r="Z35" s="22">
        <f t="shared" si="3"/>
        <v>-0.28755901954625829</v>
      </c>
    </row>
    <row r="36" spans="1:26" s="24" customFormat="1" hidden="1" outlineLevel="1" x14ac:dyDescent="0.25">
      <c r="A36" s="51"/>
      <c r="B36" s="11" t="str">
        <f>CONCATENATE("          ", "4101", " - ", "NON-TAXABLE SALES-NEW TEXT")</f>
        <v xml:space="preserve">          4101 - NON-TAXABLE SALES-NEW TEXT</v>
      </c>
      <c r="C36" s="11"/>
      <c r="D36" s="2">
        <f>--3205.21</f>
        <v>3205.21</v>
      </c>
      <c r="E36" s="2"/>
      <c r="F36" s="22"/>
      <c r="G36" s="2"/>
      <c r="H36" s="2"/>
      <c r="I36" s="2"/>
      <c r="J36" s="22"/>
      <c r="K36" s="2"/>
      <c r="L36" s="2">
        <f t="shared" si="0"/>
        <v>3205.21</v>
      </c>
      <c r="M36" s="2"/>
      <c r="N36" s="22">
        <f t="shared" si="1"/>
        <v>0</v>
      </c>
      <c r="O36" s="11"/>
      <c r="P36" s="2">
        <f>--82140.93</f>
        <v>82140.929999999993</v>
      </c>
      <c r="Q36" s="2"/>
      <c r="R36" s="22"/>
      <c r="S36" s="2"/>
      <c r="T36" s="2"/>
      <c r="U36" s="2"/>
      <c r="V36" s="22"/>
      <c r="W36" s="2"/>
      <c r="X36" s="2">
        <f t="shared" si="2"/>
        <v>82140.929999999993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"4102", " - ", "NON-TAXABLE SALES-USED TEXT")</f>
        <v xml:space="preserve">          4102 - NON-TAXABLE SALES-USED TEXT</v>
      </c>
      <c r="C37" s="11"/>
      <c r="D37" s="2">
        <f>--598.12</f>
        <v>598.12</v>
      </c>
      <c r="E37" s="2"/>
      <c r="F37" s="22"/>
      <c r="G37" s="2"/>
      <c r="H37" s="2"/>
      <c r="I37" s="2"/>
      <c r="J37" s="22"/>
      <c r="K37" s="2"/>
      <c r="L37" s="2">
        <f t="shared" si="0"/>
        <v>598.12</v>
      </c>
      <c r="M37" s="2"/>
      <c r="N37" s="22">
        <f t="shared" si="1"/>
        <v>0</v>
      </c>
      <c r="O37" s="11"/>
      <c r="P37" s="2">
        <f>--33631.31</f>
        <v>33631.31</v>
      </c>
      <c r="Q37" s="2"/>
      <c r="R37" s="22"/>
      <c r="S37" s="2"/>
      <c r="T37" s="2"/>
      <c r="U37" s="2"/>
      <c r="V37" s="22"/>
      <c r="W37" s="2"/>
      <c r="X37" s="2">
        <f t="shared" si="2"/>
        <v>33631.31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"4103", " - ", "NON-TAXABLE SALES-RENTAL TEXT")</f>
        <v xml:space="preserve">          4103 - NON-TAXABLE SALES-RENTAL TEXT</v>
      </c>
      <c r="C38" s="11"/>
      <c r="D38" s="2">
        <f>0</f>
        <v>0</v>
      </c>
      <c r="E38" s="2"/>
      <c r="F38" s="22"/>
      <c r="G38" s="2"/>
      <c r="H38" s="2"/>
      <c r="I38" s="2"/>
      <c r="J38" s="22"/>
      <c r="K38" s="2"/>
      <c r="L38" s="2">
        <f t="shared" si="0"/>
        <v>0</v>
      </c>
      <c r="M38" s="2"/>
      <c r="N38" s="22">
        <f t="shared" si="1"/>
        <v>0</v>
      </c>
      <c r="O38" s="11"/>
      <c r="P38" s="2">
        <f>--284.97</f>
        <v>284.97000000000003</v>
      </c>
      <c r="Q38" s="2"/>
      <c r="R38" s="22"/>
      <c r="S38" s="2"/>
      <c r="T38" s="2"/>
      <c r="U38" s="2"/>
      <c r="V38" s="22"/>
      <c r="W38" s="2"/>
      <c r="X38" s="2">
        <f t="shared" si="2"/>
        <v>284.97000000000003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"4104", " - ", "NON-TAXABLE SALES-DIGITAL TEXT")</f>
        <v xml:space="preserve">          4104 - NON-TAXABLE SALES-DIGITAL TEXT</v>
      </c>
      <c r="C39" s="11"/>
      <c r="D39" s="2">
        <f>--1301.3</f>
        <v>1301.3</v>
      </c>
      <c r="E39" s="2"/>
      <c r="F39" s="22"/>
      <c r="G39" s="2"/>
      <c r="H39" s="2"/>
      <c r="I39" s="2"/>
      <c r="J39" s="22"/>
      <c r="K39" s="2"/>
      <c r="L39" s="2">
        <f t="shared" si="0"/>
        <v>1301.3</v>
      </c>
      <c r="M39" s="2"/>
      <c r="N39" s="22">
        <f t="shared" si="1"/>
        <v>0</v>
      </c>
      <c r="O39" s="11"/>
      <c r="P39" s="2">
        <f>--296191.01</f>
        <v>296191.01</v>
      </c>
      <c r="Q39" s="2"/>
      <c r="R39" s="22"/>
      <c r="S39" s="2"/>
      <c r="T39" s="2"/>
      <c r="U39" s="2"/>
      <c r="V39" s="22"/>
      <c r="W39" s="2"/>
      <c r="X39" s="2">
        <f t="shared" si="2"/>
        <v>296191.01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"4113", " - ", "NON-TAXABLE SALES-TRADE BOOKS")</f>
        <v xml:space="preserve">          4113 - NON-TAXABLE SALES-TRADE BOOKS</v>
      </c>
      <c r="C40" s="11"/>
      <c r="D40" s="2">
        <f>--41.55</f>
        <v>41.55</v>
      </c>
      <c r="E40" s="2"/>
      <c r="F40" s="22"/>
      <c r="G40" s="2"/>
      <c r="H40" s="2"/>
      <c r="I40" s="2"/>
      <c r="J40" s="22"/>
      <c r="K40" s="2"/>
      <c r="L40" s="2">
        <f t="shared" si="0"/>
        <v>41.55</v>
      </c>
      <c r="M40" s="2"/>
      <c r="N40" s="22">
        <f t="shared" si="1"/>
        <v>0</v>
      </c>
      <c r="O40" s="11"/>
      <c r="P40" s="2">
        <f>--2327.5</f>
        <v>2327.5</v>
      </c>
      <c r="Q40" s="2"/>
      <c r="R40" s="22"/>
      <c r="S40" s="2"/>
      <c r="T40" s="2"/>
      <c r="U40" s="2"/>
      <c r="V40" s="22"/>
      <c r="W40" s="2"/>
      <c r="X40" s="2">
        <f t="shared" si="2"/>
        <v>2327.5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"4118", " - ", "NON-TAXABLE SALES-STUDY GUIDES")</f>
        <v xml:space="preserve">          4118 - NON-TAXABLE SALES-STUDY GUIDES</v>
      </c>
      <c r="C41" s="11"/>
      <c r="D41" s="2">
        <f t="shared" ref="D41:D42" si="7">0</f>
        <v>0</v>
      </c>
      <c r="E41" s="2"/>
      <c r="F41" s="22"/>
      <c r="G41" s="2"/>
      <c r="H41" s="2"/>
      <c r="I41" s="2"/>
      <c r="J41" s="22"/>
      <c r="K41" s="2"/>
      <c r="L41" s="2">
        <f t="shared" si="0"/>
        <v>0</v>
      </c>
      <c r="M41" s="2"/>
      <c r="N41" s="22">
        <f t="shared" si="1"/>
        <v>0</v>
      </c>
      <c r="O41" s="11"/>
      <c r="P41" s="2">
        <f>--233.43</f>
        <v>233.43</v>
      </c>
      <c r="Q41" s="2"/>
      <c r="R41" s="22"/>
      <c r="S41" s="2"/>
      <c r="T41" s="2"/>
      <c r="U41" s="2"/>
      <c r="V41" s="22"/>
      <c r="W41" s="2"/>
      <c r="X41" s="2">
        <f t="shared" si="2"/>
        <v>233.43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"4126", " - ", "NON-TAXABLE SALES-WRITING INST")</f>
        <v xml:space="preserve">          4126 - NON-TAXABLE SALES-WRITING INST</v>
      </c>
      <c r="C42" s="11"/>
      <c r="D42" s="2">
        <f t="shared" si="7"/>
        <v>0</v>
      </c>
      <c r="E42" s="2"/>
      <c r="F42" s="22"/>
      <c r="G42" s="2"/>
      <c r="H42" s="2"/>
      <c r="I42" s="2"/>
      <c r="J42" s="22"/>
      <c r="K42" s="2"/>
      <c r="L42" s="2">
        <f t="shared" si="0"/>
        <v>0</v>
      </c>
      <c r="M42" s="2"/>
      <c r="N42" s="22">
        <f t="shared" si="1"/>
        <v>0</v>
      </c>
      <c r="O42" s="11"/>
      <c r="P42" s="2">
        <f>--52.68</f>
        <v>52.68</v>
      </c>
      <c r="Q42" s="2"/>
      <c r="R42" s="22"/>
      <c r="S42" s="2"/>
      <c r="T42" s="2"/>
      <c r="U42" s="2"/>
      <c r="V42" s="22"/>
      <c r="W42" s="2"/>
      <c r="X42" s="2">
        <f t="shared" si="2"/>
        <v>52.68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"4127", " - ", "NON-TAXABLE SALES-SCHOOL SUPPL")</f>
        <v xml:space="preserve">          4127 - NON-TAXABLE SALES-SCHOOL SUPPL</v>
      </c>
      <c r="C43" s="11"/>
      <c r="D43" s="2">
        <f>--259.53</f>
        <v>259.52999999999997</v>
      </c>
      <c r="E43" s="2"/>
      <c r="F43" s="22"/>
      <c r="G43" s="2"/>
      <c r="H43" s="2"/>
      <c r="I43" s="2"/>
      <c r="J43" s="22"/>
      <c r="K43" s="2"/>
      <c r="L43" s="2">
        <f t="shared" si="0"/>
        <v>259.52999999999997</v>
      </c>
      <c r="M43" s="2"/>
      <c r="N43" s="22">
        <f t="shared" si="1"/>
        <v>0</v>
      </c>
      <c r="O43" s="11"/>
      <c r="P43" s="2">
        <f>--3206.11</f>
        <v>3206.11</v>
      </c>
      <c r="Q43" s="2"/>
      <c r="R43" s="22"/>
      <c r="S43" s="2"/>
      <c r="T43" s="2"/>
      <c r="U43" s="2"/>
      <c r="V43" s="22"/>
      <c r="W43" s="2"/>
      <c r="X43" s="2">
        <f t="shared" si="2"/>
        <v>3206.11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"4128", " - ", "NON-TAXABLE SALES-ART/TECH")</f>
        <v xml:space="preserve">          4128 - NON-TAXABLE SALES-ART/TECH</v>
      </c>
      <c r="C44" s="11"/>
      <c r="D44" s="2">
        <f>0</f>
        <v>0</v>
      </c>
      <c r="E44" s="2"/>
      <c r="F44" s="22"/>
      <c r="G44" s="2"/>
      <c r="H44" s="2"/>
      <c r="I44" s="2"/>
      <c r="J44" s="22"/>
      <c r="K44" s="2"/>
      <c r="L44" s="2">
        <f t="shared" si="0"/>
        <v>0</v>
      </c>
      <c r="M44" s="2"/>
      <c r="N44" s="22">
        <f t="shared" si="1"/>
        <v>0</v>
      </c>
      <c r="O44" s="11"/>
      <c r="P44" s="2">
        <f>--24.78</f>
        <v>24.78</v>
      </c>
      <c r="Q44" s="2"/>
      <c r="R44" s="22"/>
      <c r="S44" s="2"/>
      <c r="T44" s="2"/>
      <c r="U44" s="2"/>
      <c r="V44" s="22"/>
      <c r="W44" s="2"/>
      <c r="X44" s="2">
        <f t="shared" si="2"/>
        <v>24.78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"4131", " - ", "NON-TAXABLE SALES-FOOD")</f>
        <v xml:space="preserve">          4131 - NON-TAXABLE SALES-FOOD</v>
      </c>
      <c r="C45" s="11"/>
      <c r="D45" s="2">
        <f>--1032.82</f>
        <v>1032.82</v>
      </c>
      <c r="E45" s="2"/>
      <c r="F45" s="22"/>
      <c r="G45" s="2"/>
      <c r="H45" s="2"/>
      <c r="I45" s="2"/>
      <c r="J45" s="22"/>
      <c r="K45" s="2"/>
      <c r="L45" s="2">
        <f t="shared" si="0"/>
        <v>1032.82</v>
      </c>
      <c r="M45" s="2"/>
      <c r="N45" s="22">
        <f t="shared" si="1"/>
        <v>0</v>
      </c>
      <c r="O45" s="11"/>
      <c r="P45" s="2">
        <f>--7542.15</f>
        <v>7542.15</v>
      </c>
      <c r="Q45" s="2"/>
      <c r="R45" s="22"/>
      <c r="S45" s="2"/>
      <c r="T45" s="2"/>
      <c r="U45" s="2"/>
      <c r="V45" s="22"/>
      <c r="W45" s="2"/>
      <c r="X45" s="2">
        <f t="shared" si="2"/>
        <v>7542.15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"4132", " - ", "NON-TAXABLE SALES-JUICE")</f>
        <v xml:space="preserve">          4132 - NON-TAXABLE SALES-JUICE</v>
      </c>
      <c r="C46" s="11"/>
      <c r="D46" s="2">
        <f t="shared" ref="D46:D49" si="8">0</f>
        <v>0</v>
      </c>
      <c r="E46" s="2"/>
      <c r="F46" s="22"/>
      <c r="G46" s="2"/>
      <c r="H46" s="2"/>
      <c r="I46" s="2"/>
      <c r="J46" s="22"/>
      <c r="K46" s="2"/>
      <c r="L46" s="2">
        <f t="shared" si="0"/>
        <v>0</v>
      </c>
      <c r="M46" s="2"/>
      <c r="N46" s="22">
        <f t="shared" si="1"/>
        <v>0</v>
      </c>
      <c r="O46" s="11"/>
      <c r="P46" s="2">
        <f>--2054.37</f>
        <v>2054.37</v>
      </c>
      <c r="Q46" s="2"/>
      <c r="R46" s="22"/>
      <c r="S46" s="2"/>
      <c r="T46" s="2"/>
      <c r="U46" s="2"/>
      <c r="V46" s="22"/>
      <c r="W46" s="2"/>
      <c r="X46" s="2">
        <f t="shared" si="2"/>
        <v>2054.37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"4133", " - ", "NON-TAXABLE SALES-CANDY")</f>
        <v xml:space="preserve">          4133 - NON-TAXABLE SALES-CANDY</v>
      </c>
      <c r="C47" s="11"/>
      <c r="D47" s="2">
        <f t="shared" si="8"/>
        <v>0</v>
      </c>
      <c r="E47" s="2"/>
      <c r="F47" s="22"/>
      <c r="G47" s="2"/>
      <c r="H47" s="2"/>
      <c r="I47" s="2"/>
      <c r="J47" s="22"/>
      <c r="K47" s="2"/>
      <c r="L47" s="2">
        <f t="shared" si="0"/>
        <v>0</v>
      </c>
      <c r="M47" s="2"/>
      <c r="N47" s="22">
        <f t="shared" si="1"/>
        <v>0</v>
      </c>
      <c r="O47" s="11"/>
      <c r="P47" s="2">
        <f>--80.71</f>
        <v>80.709999999999994</v>
      </c>
      <c r="Q47" s="2"/>
      <c r="R47" s="22"/>
      <c r="S47" s="2"/>
      <c r="T47" s="2"/>
      <c r="U47" s="2"/>
      <c r="V47" s="22"/>
      <c r="W47" s="2"/>
      <c r="X47" s="2">
        <f t="shared" si="2"/>
        <v>80.709999999999994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"4134", " - ", "NON-TAXABLE SALES-SODA")</f>
        <v xml:space="preserve">          4134 - NON-TAXABLE SALES-SODA</v>
      </c>
      <c r="C48" s="11"/>
      <c r="D48" s="2">
        <f t="shared" si="8"/>
        <v>0</v>
      </c>
      <c r="E48" s="2"/>
      <c r="F48" s="22"/>
      <c r="G48" s="2"/>
      <c r="H48" s="2"/>
      <c r="I48" s="2"/>
      <c r="J48" s="22"/>
      <c r="K48" s="2"/>
      <c r="L48" s="2">
        <f t="shared" si="0"/>
        <v>0</v>
      </c>
      <c r="M48" s="2"/>
      <c r="N48" s="22">
        <f t="shared" si="1"/>
        <v>0</v>
      </c>
      <c r="O48" s="11"/>
      <c r="P48" s="2">
        <f>--45.53</f>
        <v>45.53</v>
      </c>
      <c r="Q48" s="2"/>
      <c r="R48" s="22"/>
      <c r="S48" s="2"/>
      <c r="T48" s="2"/>
      <c r="U48" s="2"/>
      <c r="V48" s="22"/>
      <c r="W48" s="2"/>
      <c r="X48" s="2">
        <f t="shared" si="2"/>
        <v>45.53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"4137", " - ", "NON-TAXABLE SALES-WATER")</f>
        <v xml:space="preserve">          4137 - NON-TAXABLE SALES-WATER</v>
      </c>
      <c r="C49" s="11"/>
      <c r="D49" s="2">
        <f t="shared" si="8"/>
        <v>0</v>
      </c>
      <c r="E49" s="2"/>
      <c r="F49" s="22"/>
      <c r="G49" s="2"/>
      <c r="H49" s="2"/>
      <c r="I49" s="2"/>
      <c r="J49" s="22"/>
      <c r="K49" s="2"/>
      <c r="L49" s="2">
        <f t="shared" si="0"/>
        <v>0</v>
      </c>
      <c r="M49" s="2"/>
      <c r="N49" s="22">
        <f t="shared" si="1"/>
        <v>0</v>
      </c>
      <c r="O49" s="11"/>
      <c r="P49" s="2">
        <f>--68.25</f>
        <v>68.25</v>
      </c>
      <c r="Q49" s="2"/>
      <c r="R49" s="22"/>
      <c r="S49" s="2"/>
      <c r="T49" s="2"/>
      <c r="U49" s="2"/>
      <c r="V49" s="22"/>
      <c r="W49" s="2"/>
      <c r="X49" s="2">
        <f t="shared" si="2"/>
        <v>68.25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"4140", " - ", "NON-TAXABLE SALES-LOGO CLOTHIN")</f>
        <v xml:space="preserve">          4140 - NON-TAXABLE SALES-LOGO CLOTHIN</v>
      </c>
      <c r="C50" s="11"/>
      <c r="D50" s="2">
        <f>--53650.7</f>
        <v>53650.7</v>
      </c>
      <c r="E50" s="2"/>
      <c r="F50" s="22"/>
      <c r="G50" s="2"/>
      <c r="H50" s="2"/>
      <c r="I50" s="2"/>
      <c r="J50" s="22"/>
      <c r="K50" s="2"/>
      <c r="L50" s="2">
        <f t="shared" si="0"/>
        <v>53650.7</v>
      </c>
      <c r="M50" s="2"/>
      <c r="N50" s="22">
        <f t="shared" si="1"/>
        <v>0</v>
      </c>
      <c r="O50" s="11"/>
      <c r="P50" s="2">
        <f>--103970.97</f>
        <v>103970.97</v>
      </c>
      <c r="Q50" s="2"/>
      <c r="R50" s="22"/>
      <c r="S50" s="2"/>
      <c r="T50" s="2"/>
      <c r="U50" s="2"/>
      <c r="V50" s="22"/>
      <c r="W50" s="2"/>
      <c r="X50" s="2">
        <f t="shared" si="2"/>
        <v>103970.97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"4141", " - ", "NON-TAXABLE SALES-LOGO GIFTS")</f>
        <v xml:space="preserve">          4141 - NON-TAXABLE SALES-LOGO GIFTS</v>
      </c>
      <c r="C51" s="11"/>
      <c r="D51" s="2">
        <f>--1780.23</f>
        <v>1780.23</v>
      </c>
      <c r="E51" s="2"/>
      <c r="F51" s="22"/>
      <c r="G51" s="2"/>
      <c r="H51" s="2"/>
      <c r="I51" s="2"/>
      <c r="J51" s="22"/>
      <c r="K51" s="2"/>
      <c r="L51" s="2">
        <f t="shared" si="0"/>
        <v>1780.23</v>
      </c>
      <c r="M51" s="2"/>
      <c r="N51" s="22">
        <f t="shared" si="1"/>
        <v>0</v>
      </c>
      <c r="O51" s="11"/>
      <c r="P51" s="2">
        <f>--5969.25</f>
        <v>5969.25</v>
      </c>
      <c r="Q51" s="2"/>
      <c r="R51" s="22"/>
      <c r="S51" s="2"/>
      <c r="T51" s="2"/>
      <c r="U51" s="2"/>
      <c r="V51" s="22"/>
      <c r="W51" s="2"/>
      <c r="X51" s="2">
        <f t="shared" si="2"/>
        <v>5969.25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"4142", " - ", "NON-TAXABLE SALES-EVERYDAY GIF")</f>
        <v xml:space="preserve">          4142 - NON-TAXABLE SALES-EVERYDAY GIF</v>
      </c>
      <c r="C52" s="11"/>
      <c r="D52" s="2">
        <f>0</f>
        <v>0</v>
      </c>
      <c r="E52" s="2"/>
      <c r="F52" s="22"/>
      <c r="G52" s="2"/>
      <c r="H52" s="2"/>
      <c r="I52" s="2"/>
      <c r="J52" s="22"/>
      <c r="K52" s="2"/>
      <c r="L52" s="2">
        <f t="shared" si="0"/>
        <v>0</v>
      </c>
      <c r="M52" s="2"/>
      <c r="N52" s="22">
        <f t="shared" si="1"/>
        <v>0</v>
      </c>
      <c r="O52" s="11"/>
      <c r="P52" s="2">
        <f>--2208.19</f>
        <v>2208.19</v>
      </c>
      <c r="Q52" s="2"/>
      <c r="R52" s="22"/>
      <c r="S52" s="2"/>
      <c r="T52" s="2"/>
      <c r="U52" s="2"/>
      <c r="V52" s="22"/>
      <c r="W52" s="2"/>
      <c r="X52" s="2">
        <f t="shared" si="2"/>
        <v>2208.19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"4143", " - ", "NON-TAXABLE SALES-CARDS")</f>
        <v xml:space="preserve">          4143 - NON-TAXABLE SALES-CARDS</v>
      </c>
      <c r="C53" s="11"/>
      <c r="D53" s="2">
        <f>--1697.07</f>
        <v>1697.07</v>
      </c>
      <c r="E53" s="2"/>
      <c r="F53" s="22"/>
      <c r="G53" s="2"/>
      <c r="H53" s="2"/>
      <c r="I53" s="2"/>
      <c r="J53" s="22"/>
      <c r="K53" s="2"/>
      <c r="L53" s="2">
        <f t="shared" si="0"/>
        <v>1697.07</v>
      </c>
      <c r="M53" s="2"/>
      <c r="N53" s="22">
        <f t="shared" si="1"/>
        <v>0</v>
      </c>
      <c r="O53" s="11"/>
      <c r="P53" s="2">
        <f>--1737.03</f>
        <v>1737.03</v>
      </c>
      <c r="Q53" s="2"/>
      <c r="R53" s="22"/>
      <c r="S53" s="2"/>
      <c r="T53" s="2"/>
      <c r="U53" s="2"/>
      <c r="V53" s="22"/>
      <c r="W53" s="2"/>
      <c r="X53" s="2">
        <f t="shared" si="2"/>
        <v>1737.03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"4144", " - ", "NON-TAXABLE SALES-ACCESSORIES")</f>
        <v xml:space="preserve">          4144 - NON-TAXABLE SALES-ACCESSORIES</v>
      </c>
      <c r="C54" s="11"/>
      <c r="D54" s="2">
        <f>--99.8</f>
        <v>99.8</v>
      </c>
      <c r="E54" s="2"/>
      <c r="F54" s="22"/>
      <c r="G54" s="2"/>
      <c r="H54" s="2"/>
      <c r="I54" s="2"/>
      <c r="J54" s="22"/>
      <c r="K54" s="2"/>
      <c r="L54" s="2">
        <f t="shared" si="0"/>
        <v>99.8</v>
      </c>
      <c r="M54" s="2"/>
      <c r="N54" s="22">
        <f t="shared" si="1"/>
        <v>0</v>
      </c>
      <c r="O54" s="11"/>
      <c r="P54" s="2">
        <f>--489.5</f>
        <v>489.5</v>
      </c>
      <c r="Q54" s="2"/>
      <c r="R54" s="22"/>
      <c r="S54" s="2"/>
      <c r="T54" s="2"/>
      <c r="U54" s="2"/>
      <c r="V54" s="22"/>
      <c r="W54" s="2"/>
      <c r="X54" s="2">
        <f t="shared" si="2"/>
        <v>489.5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"4145", " - ", "NON-TAXABLE SALES-SPECIAL ORDE")</f>
        <v xml:space="preserve">          4145 - NON-TAXABLE SALES-SPECIAL ORDE</v>
      </c>
      <c r="C55" s="11"/>
      <c r="D55" s="2">
        <f>--16747.77</f>
        <v>16747.77</v>
      </c>
      <c r="E55" s="2"/>
      <c r="F55" s="22"/>
      <c r="G55" s="2"/>
      <c r="H55" s="2"/>
      <c r="I55" s="2"/>
      <c r="J55" s="22"/>
      <c r="K55" s="2"/>
      <c r="L55" s="2">
        <f t="shared" si="0"/>
        <v>16747.77</v>
      </c>
      <c r="M55" s="2"/>
      <c r="N55" s="22">
        <f t="shared" si="1"/>
        <v>0</v>
      </c>
      <c r="O55" s="11"/>
      <c r="P55" s="2">
        <f>--55393.77</f>
        <v>55393.77</v>
      </c>
      <c r="Q55" s="2"/>
      <c r="R55" s="22"/>
      <c r="S55" s="2"/>
      <c r="T55" s="2"/>
      <c r="U55" s="2"/>
      <c r="V55" s="22"/>
      <c r="W55" s="2"/>
      <c r="X55" s="2">
        <f t="shared" si="2"/>
        <v>55393.77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"4146", " - ", "NON-TAXABLE SALES-COIN OP MACH")</f>
        <v xml:space="preserve">          4146 - NON-TAXABLE SALES-COIN OP MACH</v>
      </c>
      <c r="C56" s="11"/>
      <c r="D56" s="2">
        <f>--19.9</f>
        <v>19.899999999999999</v>
      </c>
      <c r="E56" s="2"/>
      <c r="F56" s="22"/>
      <c r="G56" s="2"/>
      <c r="H56" s="2"/>
      <c r="I56" s="2"/>
      <c r="J56" s="22"/>
      <c r="K56" s="2"/>
      <c r="L56" s="2">
        <f t="shared" si="0"/>
        <v>19.899999999999999</v>
      </c>
      <c r="M56" s="2"/>
      <c r="N56" s="22">
        <f t="shared" si="1"/>
        <v>0</v>
      </c>
      <c r="O56" s="11"/>
      <c r="P56" s="2">
        <f>--127.9</f>
        <v>127.9</v>
      </c>
      <c r="Q56" s="2"/>
      <c r="R56" s="22"/>
      <c r="S56" s="2"/>
      <c r="T56" s="2"/>
      <c r="U56" s="2"/>
      <c r="V56" s="22"/>
      <c r="W56" s="2"/>
      <c r="X56" s="2">
        <f t="shared" si="2"/>
        <v>127.9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"4147", " - ", "NON-TAXABLE SALES-MISC")</f>
        <v xml:space="preserve">          4147 - NON-TAXABLE SALES-MISC</v>
      </c>
      <c r="C57" s="11"/>
      <c r="D57" s="2">
        <f>--13</f>
        <v>13</v>
      </c>
      <c r="E57" s="2"/>
      <c r="F57" s="22"/>
      <c r="G57" s="2"/>
      <c r="H57" s="2"/>
      <c r="I57" s="2"/>
      <c r="J57" s="22"/>
      <c r="K57" s="2"/>
      <c r="L57" s="2">
        <f t="shared" si="0"/>
        <v>13</v>
      </c>
      <c r="M57" s="2"/>
      <c r="N57" s="22">
        <f t="shared" si="1"/>
        <v>0</v>
      </c>
      <c r="O57" s="11"/>
      <c r="P57" s="2">
        <f>--104.5</f>
        <v>104.5</v>
      </c>
      <c r="Q57" s="2"/>
      <c r="R57" s="22"/>
      <c r="S57" s="2"/>
      <c r="T57" s="2"/>
      <c r="U57" s="2"/>
      <c r="V57" s="22"/>
      <c r="W57" s="2"/>
      <c r="X57" s="2">
        <f t="shared" si="2"/>
        <v>104.5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"4153", " - ", "NON-TAXABLE SALES-FOOD")</f>
        <v xml:space="preserve">          4153 - NON-TAXABLE SALES-FOOD</v>
      </c>
      <c r="C58" s="11"/>
      <c r="D58" s="2">
        <f>0</f>
        <v>0</v>
      </c>
      <c r="E58" s="2"/>
      <c r="F58" s="22"/>
      <c r="G58" s="2"/>
      <c r="H58" s="2"/>
      <c r="I58" s="2"/>
      <c r="J58" s="22"/>
      <c r="K58" s="2"/>
      <c r="L58" s="2">
        <f t="shared" si="0"/>
        <v>0</v>
      </c>
      <c r="M58" s="2"/>
      <c r="N58" s="22">
        <f t="shared" si="1"/>
        <v>0</v>
      </c>
      <c r="O58" s="11"/>
      <c r="P58" s="2">
        <f>--110</f>
        <v>110</v>
      </c>
      <c r="Q58" s="2"/>
      <c r="R58" s="22"/>
      <c r="S58" s="2"/>
      <c r="T58" s="2"/>
      <c r="U58" s="2"/>
      <c r="V58" s="22"/>
      <c r="W58" s="2"/>
      <c r="X58" s="2">
        <f t="shared" si="2"/>
        <v>110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"4201", " - ", "SALES RETURN TAXABLE-NEW TEXT")</f>
        <v xml:space="preserve">          4201 - SALES RETURN TAXABLE-NEW TEXT</v>
      </c>
      <c r="C59" s="11"/>
      <c r="D59" s="2">
        <f>-681.18</f>
        <v>-681.18</v>
      </c>
      <c r="E59" s="2"/>
      <c r="F59" s="22"/>
      <c r="G59" s="2"/>
      <c r="H59" s="2"/>
      <c r="I59" s="2"/>
      <c r="J59" s="22"/>
      <c r="K59" s="2"/>
      <c r="L59" s="2">
        <f t="shared" si="0"/>
        <v>-681.18</v>
      </c>
      <c r="M59" s="2"/>
      <c r="N59" s="22">
        <f t="shared" si="1"/>
        <v>0</v>
      </c>
      <c r="O59" s="11"/>
      <c r="P59" s="2">
        <f>-35775.84</f>
        <v>-35775.839999999997</v>
      </c>
      <c r="Q59" s="2"/>
      <c r="R59" s="22"/>
      <c r="S59" s="2"/>
      <c r="T59" s="2"/>
      <c r="U59" s="2"/>
      <c r="V59" s="22"/>
      <c r="W59" s="2"/>
      <c r="X59" s="2">
        <f t="shared" si="2"/>
        <v>-35775.839999999997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"4202", " - ", "SALES RETURN TAXABLE-USED TEXT")</f>
        <v xml:space="preserve">          4202 - SALES RETURN TAXABLE-USED TEXT</v>
      </c>
      <c r="C60" s="11"/>
      <c r="D60" s="2">
        <f>-62.65</f>
        <v>-62.65</v>
      </c>
      <c r="E60" s="2"/>
      <c r="F60" s="22"/>
      <c r="G60" s="2"/>
      <c r="H60" s="2"/>
      <c r="I60" s="2"/>
      <c r="J60" s="22"/>
      <c r="K60" s="2"/>
      <c r="L60" s="2">
        <f t="shared" si="0"/>
        <v>-62.65</v>
      </c>
      <c r="M60" s="2"/>
      <c r="N60" s="22">
        <f t="shared" si="1"/>
        <v>0</v>
      </c>
      <c r="O60" s="11"/>
      <c r="P60" s="2">
        <f>-13866</f>
        <v>-13866</v>
      </c>
      <c r="Q60" s="2"/>
      <c r="R60" s="22"/>
      <c r="S60" s="2"/>
      <c r="T60" s="2"/>
      <c r="U60" s="2"/>
      <c r="V60" s="22"/>
      <c r="W60" s="2"/>
      <c r="X60" s="2">
        <f t="shared" si="2"/>
        <v>-13866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"4204", " - ", "SALES RETURN TAXABLE-DIGITAL T")</f>
        <v xml:space="preserve">          4204 - SALES RETURN TAXABLE-DIGITAL T</v>
      </c>
      <c r="C61" s="11"/>
      <c r="D61" s="2">
        <f t="shared" ref="D61:D62" si="9">0</f>
        <v>0</v>
      </c>
      <c r="E61" s="2"/>
      <c r="F61" s="22"/>
      <c r="G61" s="2"/>
      <c r="H61" s="2"/>
      <c r="I61" s="2"/>
      <c r="J61" s="22"/>
      <c r="K61" s="2"/>
      <c r="L61" s="2">
        <f t="shared" si="0"/>
        <v>0</v>
      </c>
      <c r="M61" s="2"/>
      <c r="N61" s="22">
        <f t="shared" si="1"/>
        <v>0</v>
      </c>
      <c r="O61" s="11"/>
      <c r="P61" s="2">
        <f>-1630.85</f>
        <v>-1630.85</v>
      </c>
      <c r="Q61" s="2"/>
      <c r="R61" s="22"/>
      <c r="S61" s="2"/>
      <c r="T61" s="2"/>
      <c r="U61" s="2"/>
      <c r="V61" s="22"/>
      <c r="W61" s="2"/>
      <c r="X61" s="2">
        <f t="shared" si="2"/>
        <v>-1630.85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"4226", " - ", "SALES RETURN TAXABLE-WRITING I")</f>
        <v xml:space="preserve">          4226 - SALES RETURN TAXABLE-WRITING I</v>
      </c>
      <c r="C62" s="11"/>
      <c r="D62" s="2">
        <f t="shared" si="9"/>
        <v>0</v>
      </c>
      <c r="E62" s="2"/>
      <c r="F62" s="22"/>
      <c r="G62" s="2"/>
      <c r="H62" s="2"/>
      <c r="I62" s="2"/>
      <c r="J62" s="22"/>
      <c r="K62" s="2"/>
      <c r="L62" s="2">
        <f t="shared" si="0"/>
        <v>0</v>
      </c>
      <c r="M62" s="2"/>
      <c r="N62" s="22">
        <f t="shared" si="1"/>
        <v>0</v>
      </c>
      <c r="O62" s="11"/>
      <c r="P62" s="2">
        <f>-34.23</f>
        <v>-34.229999999999997</v>
      </c>
      <c r="Q62" s="2"/>
      <c r="R62" s="22"/>
      <c r="S62" s="2"/>
      <c r="T62" s="2"/>
      <c r="U62" s="2"/>
      <c r="V62" s="22"/>
      <c r="W62" s="2"/>
      <c r="X62" s="2">
        <f t="shared" si="2"/>
        <v>-34.229999999999997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"4227", " - ", "SALES RETURN TAXABLE-SCHOOL SU")</f>
        <v xml:space="preserve">          4227 - SALES RETURN TAXABLE-SCHOOL SU</v>
      </c>
      <c r="C63" s="11"/>
      <c r="D63" s="2">
        <f>-25.82</f>
        <v>-25.82</v>
      </c>
      <c r="E63" s="2"/>
      <c r="F63" s="22"/>
      <c r="G63" s="2"/>
      <c r="H63" s="2"/>
      <c r="I63" s="2"/>
      <c r="J63" s="22"/>
      <c r="K63" s="2"/>
      <c r="L63" s="2">
        <f t="shared" si="0"/>
        <v>-25.82</v>
      </c>
      <c r="M63" s="2"/>
      <c r="N63" s="22">
        <f t="shared" si="1"/>
        <v>0</v>
      </c>
      <c r="O63" s="11"/>
      <c r="P63" s="2">
        <f>-636.46</f>
        <v>-636.46</v>
      </c>
      <c r="Q63" s="2"/>
      <c r="R63" s="22"/>
      <c r="S63" s="2"/>
      <c r="T63" s="2"/>
      <c r="U63" s="2"/>
      <c r="V63" s="22"/>
      <c r="W63" s="2"/>
      <c r="X63" s="2">
        <f t="shared" si="2"/>
        <v>-636.46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"4228", " - ", "SALES RETURN TAXABLE-ART/TECH")</f>
        <v xml:space="preserve">          4228 - SALES RETURN TAXABLE-ART/TECH</v>
      </c>
      <c r="C64" s="11"/>
      <c r="D64" s="2">
        <f>0</f>
        <v>0</v>
      </c>
      <c r="E64" s="2"/>
      <c r="F64" s="22"/>
      <c r="G64" s="2"/>
      <c r="H64" s="2"/>
      <c r="I64" s="2"/>
      <c r="J64" s="22"/>
      <c r="K64" s="2"/>
      <c r="L64" s="2">
        <f t="shared" si="0"/>
        <v>0</v>
      </c>
      <c r="M64" s="2"/>
      <c r="N64" s="22">
        <f t="shared" si="1"/>
        <v>0</v>
      </c>
      <c r="O64" s="11"/>
      <c r="P64" s="2">
        <f>-254.69</f>
        <v>-254.69</v>
      </c>
      <c r="Q64" s="2"/>
      <c r="R64" s="22"/>
      <c r="S64" s="2"/>
      <c r="T64" s="2"/>
      <c r="U64" s="2"/>
      <c r="V64" s="22"/>
      <c r="W64" s="2"/>
      <c r="X64" s="2">
        <f t="shared" si="2"/>
        <v>-254.69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"4240", " - ", "SALES RETURN TAXABLE-LOGO CLOT")</f>
        <v xml:space="preserve">          4240 - SALES RETURN TAXABLE-LOGO CLOT</v>
      </c>
      <c r="C65" s="11"/>
      <c r="D65" s="2">
        <f>-4840.17</f>
        <v>-4840.17</v>
      </c>
      <c r="E65" s="2"/>
      <c r="F65" s="22"/>
      <c r="G65" s="2"/>
      <c r="H65" s="2"/>
      <c r="I65" s="2"/>
      <c r="J65" s="22"/>
      <c r="K65" s="2"/>
      <c r="L65" s="2">
        <f t="shared" si="0"/>
        <v>-4840.17</v>
      </c>
      <c r="M65" s="2"/>
      <c r="N65" s="22">
        <f t="shared" si="1"/>
        <v>0</v>
      </c>
      <c r="O65" s="11"/>
      <c r="P65" s="2">
        <f>-20418.84</f>
        <v>-20418.84</v>
      </c>
      <c r="Q65" s="2"/>
      <c r="R65" s="22"/>
      <c r="S65" s="2"/>
      <c r="T65" s="2"/>
      <c r="U65" s="2"/>
      <c r="V65" s="22"/>
      <c r="W65" s="2"/>
      <c r="X65" s="2">
        <f t="shared" si="2"/>
        <v>-20418.84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"4241", " - ", "SALES RETURN TAXABLE-LOGO GIFT")</f>
        <v xml:space="preserve">          4241 - SALES RETURN TAXABLE-LOGO GIFT</v>
      </c>
      <c r="C66" s="11"/>
      <c r="D66" s="2">
        <f>-755.16</f>
        <v>-755.16</v>
      </c>
      <c r="E66" s="2"/>
      <c r="F66" s="22"/>
      <c r="G66" s="2"/>
      <c r="H66" s="2"/>
      <c r="I66" s="2"/>
      <c r="J66" s="22"/>
      <c r="K66" s="2"/>
      <c r="L66" s="2">
        <f t="shared" si="0"/>
        <v>-755.16</v>
      </c>
      <c r="M66" s="2"/>
      <c r="N66" s="22">
        <f t="shared" si="1"/>
        <v>0</v>
      </c>
      <c r="O66" s="11"/>
      <c r="P66" s="2">
        <f>-3560.01</f>
        <v>-3560.01</v>
      </c>
      <c r="Q66" s="2"/>
      <c r="R66" s="22"/>
      <c r="S66" s="2"/>
      <c r="T66" s="2"/>
      <c r="U66" s="2"/>
      <c r="V66" s="22"/>
      <c r="W66" s="2"/>
      <c r="X66" s="2">
        <f t="shared" si="2"/>
        <v>-3560.01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"4242", " - ", "SALES RETURN TAXABLE-EVERYDAY")</f>
        <v xml:space="preserve">          4242 - SALES RETURN TAXABLE-EVERYDAY</v>
      </c>
      <c r="C67" s="11"/>
      <c r="D67" s="2">
        <f>-287.93</f>
        <v>-287.93</v>
      </c>
      <c r="E67" s="2"/>
      <c r="F67" s="22"/>
      <c r="G67" s="2"/>
      <c r="H67" s="2"/>
      <c r="I67" s="2"/>
      <c r="J67" s="22"/>
      <c r="K67" s="2"/>
      <c r="L67" s="2">
        <f t="shared" si="0"/>
        <v>-287.93</v>
      </c>
      <c r="M67" s="2"/>
      <c r="N67" s="22">
        <f t="shared" si="1"/>
        <v>0</v>
      </c>
      <c r="O67" s="11"/>
      <c r="P67" s="2">
        <f>-1616.92</f>
        <v>-1616.92</v>
      </c>
      <c r="Q67" s="2"/>
      <c r="R67" s="22"/>
      <c r="S67" s="2"/>
      <c r="T67" s="2"/>
      <c r="U67" s="2"/>
      <c r="V67" s="22"/>
      <c r="W67" s="2"/>
      <c r="X67" s="2">
        <f t="shared" si="2"/>
        <v>-1616.92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"4243", " - ", "SALES RETURN TAXABLE-CARDS")</f>
        <v xml:space="preserve">          4243 - SALES RETURN TAXABLE-CARDS</v>
      </c>
      <c r="C68" s="11"/>
      <c r="D68" s="2">
        <f>-1765.08</f>
        <v>-1765.08</v>
      </c>
      <c r="E68" s="2"/>
      <c r="F68" s="22"/>
      <c r="G68" s="2"/>
      <c r="H68" s="2"/>
      <c r="I68" s="2"/>
      <c r="J68" s="22"/>
      <c r="K68" s="2"/>
      <c r="L68" s="2">
        <f t="shared" si="0"/>
        <v>-1765.08</v>
      </c>
      <c r="M68" s="2"/>
      <c r="N68" s="22">
        <f t="shared" si="1"/>
        <v>0</v>
      </c>
      <c r="O68" s="11"/>
      <c r="P68" s="2">
        <f>-3577.54</f>
        <v>-3577.54</v>
      </c>
      <c r="Q68" s="2"/>
      <c r="R68" s="22"/>
      <c r="S68" s="2"/>
      <c r="T68" s="2"/>
      <c r="U68" s="2"/>
      <c r="V68" s="22"/>
      <c r="W68" s="2"/>
      <c r="X68" s="2">
        <f t="shared" si="2"/>
        <v>-3577.54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"4244", " - ", "SALES RETURN TAXABLE-ACCESSORI")</f>
        <v xml:space="preserve">          4244 - SALES RETURN TAXABLE-ACCESSORI</v>
      </c>
      <c r="C69" s="11"/>
      <c r="D69" s="2">
        <f>-299.93</f>
        <v>-299.93</v>
      </c>
      <c r="E69" s="2"/>
      <c r="F69" s="22"/>
      <c r="G69" s="2"/>
      <c r="H69" s="2"/>
      <c r="I69" s="2"/>
      <c r="J69" s="22"/>
      <c r="K69" s="2"/>
      <c r="L69" s="2">
        <f t="shared" si="0"/>
        <v>-299.93</v>
      </c>
      <c r="M69" s="2"/>
      <c r="N69" s="22">
        <f t="shared" si="1"/>
        <v>0</v>
      </c>
      <c r="O69" s="11"/>
      <c r="P69" s="2">
        <f>-890.87</f>
        <v>-890.87</v>
      </c>
      <c r="Q69" s="2"/>
      <c r="R69" s="22"/>
      <c r="S69" s="2"/>
      <c r="T69" s="2"/>
      <c r="U69" s="2"/>
      <c r="V69" s="22"/>
      <c r="W69" s="2"/>
      <c r="X69" s="2">
        <f t="shared" si="2"/>
        <v>-890.87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"4245", " - ", "SALES RETURN TAXABLE-SPECIAL O")</f>
        <v xml:space="preserve">          4245 - SALES RETURN TAXABLE-SPECIAL O</v>
      </c>
      <c r="C70" s="11"/>
      <c r="D70" s="2">
        <f>-9752.79</f>
        <v>-9752.7900000000009</v>
      </c>
      <c r="E70" s="2"/>
      <c r="F70" s="22"/>
      <c r="G70" s="2"/>
      <c r="H70" s="2"/>
      <c r="I70" s="2"/>
      <c r="J70" s="22"/>
      <c r="K70" s="2"/>
      <c r="L70" s="2">
        <f t="shared" si="0"/>
        <v>-9752.7900000000009</v>
      </c>
      <c r="M70" s="2"/>
      <c r="N70" s="22">
        <f t="shared" si="1"/>
        <v>0</v>
      </c>
      <c r="O70" s="11"/>
      <c r="P70" s="2">
        <f>-11345.61</f>
        <v>-11345.61</v>
      </c>
      <c r="Q70" s="2"/>
      <c r="R70" s="22"/>
      <c r="S70" s="2"/>
      <c r="T70" s="2"/>
      <c r="U70" s="2"/>
      <c r="V70" s="22"/>
      <c r="W70" s="2"/>
      <c r="X70" s="2">
        <f t="shared" si="2"/>
        <v>-11345.61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"4301", " - ", "SALES RETURN NON TAXABLE-NEW T")</f>
        <v xml:space="preserve">          4301 - SALES RETURN NON TAXABLE-NEW T</v>
      </c>
      <c r="C71" s="11"/>
      <c r="D71" s="2">
        <f>-372.93</f>
        <v>-372.93</v>
      </c>
      <c r="E71" s="2"/>
      <c r="F71" s="22"/>
      <c r="G71" s="2"/>
      <c r="H71" s="2"/>
      <c r="I71" s="2"/>
      <c r="J71" s="22"/>
      <c r="K71" s="2"/>
      <c r="L71" s="2">
        <f t="shared" si="0"/>
        <v>-372.93</v>
      </c>
      <c r="M71" s="2"/>
      <c r="N71" s="22">
        <f t="shared" si="1"/>
        <v>0</v>
      </c>
      <c r="O71" s="11"/>
      <c r="P71" s="2">
        <f>-2749.1</f>
        <v>-2749.1</v>
      </c>
      <c r="Q71" s="2"/>
      <c r="R71" s="22"/>
      <c r="S71" s="2"/>
      <c r="T71" s="2"/>
      <c r="U71" s="2"/>
      <c r="V71" s="22"/>
      <c r="W71" s="2"/>
      <c r="X71" s="2">
        <f t="shared" si="2"/>
        <v>-2749.1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"4302", " - ", "SALES RETURN NON TAXABLE-TEXT")</f>
        <v xml:space="preserve">          4302 - SALES RETURN NON TAXABLE-TEXT</v>
      </c>
      <c r="C72" s="11"/>
      <c r="D72" s="2">
        <f>-77.35</f>
        <v>-77.349999999999994</v>
      </c>
      <c r="E72" s="2"/>
      <c r="F72" s="22"/>
      <c r="G72" s="2"/>
      <c r="H72" s="2"/>
      <c r="I72" s="2"/>
      <c r="J72" s="22"/>
      <c r="K72" s="2"/>
      <c r="L72" s="2">
        <f t="shared" si="0"/>
        <v>-77.349999999999994</v>
      </c>
      <c r="M72" s="2"/>
      <c r="N72" s="22">
        <f t="shared" si="1"/>
        <v>0</v>
      </c>
      <c r="O72" s="11"/>
      <c r="P72" s="2">
        <f>-1470.2</f>
        <v>-1470.2</v>
      </c>
      <c r="Q72" s="2"/>
      <c r="R72" s="22"/>
      <c r="S72" s="2"/>
      <c r="T72" s="2"/>
      <c r="U72" s="2"/>
      <c r="V72" s="22"/>
      <c r="W72" s="2"/>
      <c r="X72" s="2">
        <f t="shared" si="2"/>
        <v>-1470.2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"4304", " - ", "SALES RETURN NON TAXABLE-DIGIT")</f>
        <v xml:space="preserve">          4304 - SALES RETURN NON TAXABLE-DIGIT</v>
      </c>
      <c r="C73" s="11"/>
      <c r="D73" s="2">
        <f>-144.23</f>
        <v>-144.22999999999999</v>
      </c>
      <c r="E73" s="2"/>
      <c r="F73" s="22"/>
      <c r="G73" s="2"/>
      <c r="H73" s="2"/>
      <c r="I73" s="2"/>
      <c r="J73" s="22"/>
      <c r="K73" s="2"/>
      <c r="L73" s="2">
        <f t="shared" si="0"/>
        <v>-144.22999999999999</v>
      </c>
      <c r="M73" s="2"/>
      <c r="N73" s="22">
        <f t="shared" si="1"/>
        <v>0</v>
      </c>
      <c r="O73" s="11"/>
      <c r="P73" s="2">
        <f>-14422.77</f>
        <v>-14422.77</v>
      </c>
      <c r="Q73" s="2"/>
      <c r="R73" s="22"/>
      <c r="S73" s="2"/>
      <c r="T73" s="2"/>
      <c r="U73" s="2"/>
      <c r="V73" s="22"/>
      <c r="W73" s="2"/>
      <c r="X73" s="2">
        <f t="shared" si="2"/>
        <v>-14422.77</v>
      </c>
      <c r="Y73" s="2"/>
      <c r="Z73" s="22">
        <f t="shared" si="3"/>
        <v>0</v>
      </c>
    </row>
    <row r="74" spans="1:26" s="24" customFormat="1" hidden="1" outlineLevel="1" x14ac:dyDescent="0.25">
      <c r="A74" s="51"/>
      <c r="B74" s="11" t="str">
        <f>CONCATENATE("          ", "4340", " - ", "SALES RETURN NON TAXABLE-LOGO")</f>
        <v xml:space="preserve">          4340 - SALES RETURN NON TAXABLE-LOGO</v>
      </c>
      <c r="C74" s="11"/>
      <c r="D74" s="2">
        <f>-543.24</f>
        <v>-543.24</v>
      </c>
      <c r="E74" s="2"/>
      <c r="F74" s="22"/>
      <c r="G74" s="2"/>
      <c r="H74" s="2"/>
      <c r="I74" s="2"/>
      <c r="J74" s="22"/>
      <c r="K74" s="2"/>
      <c r="L74" s="2">
        <f t="shared" si="0"/>
        <v>-543.24</v>
      </c>
      <c r="M74" s="2"/>
      <c r="N74" s="22">
        <f t="shared" si="1"/>
        <v>0</v>
      </c>
      <c r="O74" s="11"/>
      <c r="P74" s="2">
        <f>-1483.72</f>
        <v>-1483.72</v>
      </c>
      <c r="Q74" s="2"/>
      <c r="R74" s="22"/>
      <c r="S74" s="2"/>
      <c r="T74" s="2"/>
      <c r="U74" s="2"/>
      <c r="V74" s="22"/>
      <c r="W74" s="2"/>
      <c r="X74" s="2">
        <f t="shared" si="2"/>
        <v>-1483.72</v>
      </c>
      <c r="Y74" s="2"/>
      <c r="Z74" s="22">
        <f t="shared" si="3"/>
        <v>0</v>
      </c>
    </row>
    <row r="75" spans="1:26" s="24" customFormat="1" hidden="1" outlineLevel="1" x14ac:dyDescent="0.25">
      <c r="A75" s="51"/>
      <c r="B75" s="11" t="str">
        <f>CONCATENATE("          ", "4341", " - ", "SALES RETURN NON TAXABLE-LOGO")</f>
        <v xml:space="preserve">          4341 - SALES RETURN NON TAXABLE-LOGO</v>
      </c>
      <c r="C75" s="11"/>
      <c r="D75" s="2">
        <f>-33.85</f>
        <v>-33.85</v>
      </c>
      <c r="E75" s="2"/>
      <c r="F75" s="22"/>
      <c r="G75" s="2"/>
      <c r="H75" s="2"/>
      <c r="I75" s="2"/>
      <c r="J75" s="22"/>
      <c r="K75" s="2"/>
      <c r="L75" s="2">
        <f t="shared" si="0"/>
        <v>-33.85</v>
      </c>
      <c r="M75" s="2"/>
      <c r="N75" s="22">
        <f t="shared" si="1"/>
        <v>0</v>
      </c>
      <c r="O75" s="11"/>
      <c r="P75" s="2">
        <f>-335.64</f>
        <v>-335.64</v>
      </c>
      <c r="Q75" s="2"/>
      <c r="R75" s="22"/>
      <c r="S75" s="2"/>
      <c r="T75" s="2"/>
      <c r="U75" s="2"/>
      <c r="V75" s="22"/>
      <c r="W75" s="2"/>
      <c r="X75" s="2">
        <f t="shared" si="2"/>
        <v>-335.64</v>
      </c>
      <c r="Y75" s="2"/>
      <c r="Z75" s="22">
        <f t="shared" si="3"/>
        <v>0</v>
      </c>
    </row>
    <row r="76" spans="1:26" s="24" customFormat="1" hidden="1" outlineLevel="1" x14ac:dyDescent="0.25">
      <c r="A76" s="51"/>
      <c r="B76" s="11" t="str">
        <f>CONCATENATE("          ", "4342", " - ", "SALES RETURN NON TAXABLE-EVERY")</f>
        <v xml:space="preserve">          4342 - SALES RETURN NON TAXABLE-EVERY</v>
      </c>
      <c r="C76" s="11"/>
      <c r="D76" s="2">
        <f>0</f>
        <v>0</v>
      </c>
      <c r="E76" s="2"/>
      <c r="F76" s="22"/>
      <c r="G76" s="2"/>
      <c r="H76" s="2"/>
      <c r="I76" s="2"/>
      <c r="J76" s="22"/>
      <c r="K76" s="2"/>
      <c r="L76" s="2">
        <f t="shared" si="0"/>
        <v>0</v>
      </c>
      <c r="M76" s="2"/>
      <c r="N76" s="22">
        <f t="shared" si="1"/>
        <v>0</v>
      </c>
      <c r="O76" s="11"/>
      <c r="P76" s="2">
        <f>-118.7</f>
        <v>-118.7</v>
      </c>
      <c r="Q76" s="2"/>
      <c r="R76" s="22"/>
      <c r="S76" s="2"/>
      <c r="T76" s="2"/>
      <c r="U76" s="2"/>
      <c r="V76" s="22"/>
      <c r="W76" s="2"/>
      <c r="X76" s="2">
        <f t="shared" si="2"/>
        <v>-118.7</v>
      </c>
      <c r="Y76" s="2"/>
      <c r="Z76" s="22">
        <f t="shared" si="3"/>
        <v>0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collapsed="1" x14ac:dyDescent="0.25">
      <c r="A78" s="10"/>
      <c r="B78" s="26" t="s">
        <v>8</v>
      </c>
      <c r="C78" s="10"/>
      <c r="D78" s="4">
        <f>SUM(OSRRefD16x_0)</f>
        <v>133139.77000000002</v>
      </c>
      <c r="E78" s="4"/>
      <c r="F78" s="12">
        <f t="shared" ref="F78:F114" si="10">IF(D$12=0,0,D78/D$12)</f>
        <v>0.56987021540823191</v>
      </c>
      <c r="G78" s="4"/>
      <c r="H78" s="4">
        <f>SUM(OSRRefH16x_0)</f>
        <v>189995</v>
      </c>
      <c r="I78" s="4"/>
      <c r="J78" s="12">
        <f t="shared" ref="J78:J114" si="11">IF(H$12=0,0,H78/H$12)</f>
        <v>0.47961942459300694</v>
      </c>
      <c r="K78" s="4"/>
      <c r="L78" s="4">
        <f t="shared" ref="L78:L114" si="12">+D78-H78</f>
        <v>-56855.229999999981</v>
      </c>
      <c r="M78" s="4"/>
      <c r="N78" s="12">
        <f t="shared" ref="N78:N114" si="13">IF(H78=0,0,L78/H78)</f>
        <v>-0.29924592752440843</v>
      </c>
      <c r="O78" s="10"/>
      <c r="P78" s="4">
        <f>SUM(OSRRefP16x_0)</f>
        <v>1743756.1400000001</v>
      </c>
      <c r="Q78" s="4"/>
      <c r="R78" s="12">
        <f t="shared" ref="R78:R114" si="14">IF(P$12=0,0,P78/P$12)</f>
        <v>0.6455484268215157</v>
      </c>
      <c r="S78" s="4"/>
      <c r="T78" s="4">
        <f>SUM(OSRRefT16x_0)</f>
        <v>2893055</v>
      </c>
      <c r="U78" s="4"/>
      <c r="V78" s="12">
        <f t="shared" ref="V78:V114" si="15">IF(T$12=0,0,T78/T$12)</f>
        <v>0.5906850754910985</v>
      </c>
      <c r="W78" s="4"/>
      <c r="X78" s="4">
        <f t="shared" ref="X78:X114" si="16">+P78-T78</f>
        <v>-1149298.8599999999</v>
      </c>
      <c r="Y78" s="4"/>
      <c r="Z78" s="12">
        <f t="shared" ref="Z78:Z114" si="17">IF(T78=0,0,X78/T78)</f>
        <v>-0.39726132410203052</v>
      </c>
    </row>
    <row r="79" spans="1:26" s="24" customFormat="1" hidden="1" outlineLevel="1" x14ac:dyDescent="0.25">
      <c r="A79" s="51"/>
      <c r="B79" s="11" t="str">
        <f>CONCATENATE("          ", "5000", " - ", "PURCHASES @ COST")</f>
        <v xml:space="preserve">          5000 - PURCHASES @ COST</v>
      </c>
      <c r="C79" s="11"/>
      <c r="D79" s="2"/>
      <c r="E79" s="2"/>
      <c r="F79" s="22">
        <f t="shared" si="10"/>
        <v>0</v>
      </c>
      <c r="G79" s="2"/>
      <c r="H79" s="2">
        <v>189995</v>
      </c>
      <c r="I79" s="2"/>
      <c r="J79" s="22">
        <f t="shared" si="11"/>
        <v>0.47961942459300694</v>
      </c>
      <c r="K79" s="2"/>
      <c r="L79" s="2">
        <f t="shared" si="12"/>
        <v>-189995</v>
      </c>
      <c r="M79" s="2"/>
      <c r="N79" s="22">
        <f t="shared" si="13"/>
        <v>-1</v>
      </c>
      <c r="O79" s="11"/>
      <c r="P79" s="2"/>
      <c r="Q79" s="2"/>
      <c r="R79" s="22">
        <f t="shared" si="14"/>
        <v>0</v>
      </c>
      <c r="S79" s="2"/>
      <c r="T79" s="2">
        <v>2893055</v>
      </c>
      <c r="U79" s="2"/>
      <c r="V79" s="22">
        <f t="shared" si="15"/>
        <v>0.5906850754910985</v>
      </c>
      <c r="W79" s="2"/>
      <c r="X79" s="2">
        <f t="shared" si="16"/>
        <v>-2893055</v>
      </c>
      <c r="Y79" s="2"/>
      <c r="Z79" s="22">
        <f t="shared" si="17"/>
        <v>-1</v>
      </c>
    </row>
    <row r="80" spans="1:26" s="24" customFormat="1" hidden="1" outlineLevel="1" x14ac:dyDescent="0.25">
      <c r="A80" s="51"/>
      <c r="B80" s="11" t="str">
        <f>CONCATENATE("          ", "5001", " - ", "PURCHASES @ COST-NEW TEXT")</f>
        <v xml:space="preserve">          5001 - PURCHASES @ COST-NEW TEXT</v>
      </c>
      <c r="C80" s="11"/>
      <c r="D80" s="2">
        <v>37317.56</v>
      </c>
      <c r="E80" s="2"/>
      <c r="F80" s="22">
        <f t="shared" si="10"/>
        <v>0.15972812598151262</v>
      </c>
      <c r="G80" s="2"/>
      <c r="H80" s="2"/>
      <c r="I80" s="2"/>
      <c r="J80" s="22">
        <f t="shared" si="11"/>
        <v>0</v>
      </c>
      <c r="K80" s="2"/>
      <c r="L80" s="2">
        <f t="shared" si="12"/>
        <v>37317.56</v>
      </c>
      <c r="M80" s="2"/>
      <c r="N80" s="22">
        <f t="shared" si="13"/>
        <v>0</v>
      </c>
      <c r="O80" s="11"/>
      <c r="P80" s="2">
        <v>1277913.04</v>
      </c>
      <c r="Q80" s="2"/>
      <c r="R80" s="22">
        <f t="shared" si="14"/>
        <v>0.47309066541076128</v>
      </c>
      <c r="S80" s="2"/>
      <c r="T80" s="2"/>
      <c r="U80" s="2"/>
      <c r="V80" s="22">
        <f t="shared" si="15"/>
        <v>0</v>
      </c>
      <c r="W80" s="2"/>
      <c r="X80" s="2">
        <f t="shared" si="16"/>
        <v>1277913.04</v>
      </c>
      <c r="Y80" s="2"/>
      <c r="Z80" s="22">
        <f t="shared" si="17"/>
        <v>0</v>
      </c>
    </row>
    <row r="81" spans="1:26" s="24" customFormat="1" hidden="1" outlineLevel="1" x14ac:dyDescent="0.25">
      <c r="A81" s="51"/>
      <c r="B81" s="11" t="str">
        <f>CONCATENATE("          ", "5002", " - ", "PURCHASES @ COST-USED TEXT")</f>
        <v xml:space="preserve">          5002 - PURCHASES @ COST-USED TEXT</v>
      </c>
      <c r="C81" s="11"/>
      <c r="D81" s="2">
        <v>70238.87</v>
      </c>
      <c r="E81" s="2"/>
      <c r="F81" s="22">
        <f t="shared" si="10"/>
        <v>0.30063924533541547</v>
      </c>
      <c r="G81" s="2"/>
      <c r="H81" s="2"/>
      <c r="I81" s="2"/>
      <c r="J81" s="22">
        <f t="shared" si="11"/>
        <v>0</v>
      </c>
      <c r="K81" s="2"/>
      <c r="L81" s="2">
        <f t="shared" si="12"/>
        <v>70238.87</v>
      </c>
      <c r="M81" s="2"/>
      <c r="N81" s="22">
        <f t="shared" si="13"/>
        <v>0</v>
      </c>
      <c r="O81" s="11"/>
      <c r="P81" s="2">
        <v>164472.92000000001</v>
      </c>
      <c r="Q81" s="2"/>
      <c r="R81" s="22">
        <f t="shared" si="14"/>
        <v>6.088880912025979E-2</v>
      </c>
      <c r="S81" s="2"/>
      <c r="T81" s="2"/>
      <c r="U81" s="2"/>
      <c r="V81" s="22">
        <f t="shared" si="15"/>
        <v>0</v>
      </c>
      <c r="W81" s="2"/>
      <c r="X81" s="2">
        <f t="shared" si="16"/>
        <v>164472.92000000001</v>
      </c>
      <c r="Y81" s="2"/>
      <c r="Z81" s="22">
        <f t="shared" si="17"/>
        <v>0</v>
      </c>
    </row>
    <row r="82" spans="1:26" s="24" customFormat="1" hidden="1" outlineLevel="1" x14ac:dyDescent="0.25">
      <c r="A82" s="51"/>
      <c r="B82" s="11" t="str">
        <f>CONCATENATE("          ", "5003", " - ", "PURCHASES @ COST-RENTAL TEXT")</f>
        <v xml:space="preserve">          5003 - PURCHASES @ COST-RENTAL TEXT</v>
      </c>
      <c r="C82" s="11"/>
      <c r="D82" s="2"/>
      <c r="E82" s="2"/>
      <c r="F82" s="22">
        <f t="shared" si="10"/>
        <v>0</v>
      </c>
      <c r="G82" s="2"/>
      <c r="H82" s="2"/>
      <c r="I82" s="2"/>
      <c r="J82" s="22">
        <f t="shared" si="11"/>
        <v>0</v>
      </c>
      <c r="K82" s="2"/>
      <c r="L82" s="2">
        <f t="shared" si="12"/>
        <v>0</v>
      </c>
      <c r="M82" s="2"/>
      <c r="N82" s="22">
        <f t="shared" si="13"/>
        <v>0</v>
      </c>
      <c r="O82" s="11"/>
      <c r="P82" s="2">
        <v>32.520000000000003</v>
      </c>
      <c r="Q82" s="2"/>
      <c r="R82" s="22">
        <f t="shared" si="14"/>
        <v>1.2039088699774093E-5</v>
      </c>
      <c r="S82" s="2"/>
      <c r="T82" s="2"/>
      <c r="U82" s="2"/>
      <c r="V82" s="22">
        <f t="shared" si="15"/>
        <v>0</v>
      </c>
      <c r="W82" s="2"/>
      <c r="X82" s="2">
        <f t="shared" si="16"/>
        <v>32.520000000000003</v>
      </c>
      <c r="Y82" s="2"/>
      <c r="Z82" s="22">
        <f t="shared" si="17"/>
        <v>0</v>
      </c>
    </row>
    <row r="83" spans="1:26" s="24" customFormat="1" hidden="1" outlineLevel="1" x14ac:dyDescent="0.25">
      <c r="A83" s="51"/>
      <c r="B83" s="11" t="str">
        <f>CONCATENATE("          ", "5004", " - ", "PURCHASES @ COST-DIGITAL TEXT")</f>
        <v xml:space="preserve">          5004 - PURCHASES @ COST-DIGITAL TEXT</v>
      </c>
      <c r="C83" s="11"/>
      <c r="D83" s="2">
        <v>900</v>
      </c>
      <c r="E83" s="2"/>
      <c r="F83" s="22">
        <f t="shared" si="10"/>
        <v>3.852216312732166E-3</v>
      </c>
      <c r="G83" s="2"/>
      <c r="H83" s="2"/>
      <c r="I83" s="2"/>
      <c r="J83" s="22">
        <f t="shared" si="11"/>
        <v>0</v>
      </c>
      <c r="K83" s="2"/>
      <c r="L83" s="2">
        <f t="shared" si="12"/>
        <v>900</v>
      </c>
      <c r="M83" s="2"/>
      <c r="N83" s="22">
        <f t="shared" si="13"/>
        <v>0</v>
      </c>
      <c r="O83" s="11"/>
      <c r="P83" s="2">
        <v>197838.11000000002</v>
      </c>
      <c r="Q83" s="2"/>
      <c r="R83" s="22">
        <f t="shared" si="14"/>
        <v>7.3240791958353743E-2</v>
      </c>
      <c r="S83" s="2"/>
      <c r="T83" s="2"/>
      <c r="U83" s="2"/>
      <c r="V83" s="22">
        <f t="shared" si="15"/>
        <v>0</v>
      </c>
      <c r="W83" s="2"/>
      <c r="X83" s="2">
        <f t="shared" si="16"/>
        <v>197838.11000000002</v>
      </c>
      <c r="Y83" s="2"/>
      <c r="Z83" s="22">
        <f t="shared" si="17"/>
        <v>0</v>
      </c>
    </row>
    <row r="84" spans="1:26" s="24" customFormat="1" hidden="1" outlineLevel="1" x14ac:dyDescent="0.25">
      <c r="A84" s="51"/>
      <c r="B84" s="11" t="str">
        <f>CONCATENATE("          ", "5011", " - ", "PURCHASES @ COST-NO VALUE TEXT")</f>
        <v xml:space="preserve">          5011 - PURCHASES @ COST-NO VALUE TEXT</v>
      </c>
      <c r="C84" s="11"/>
      <c r="D84" s="2"/>
      <c r="E84" s="2"/>
      <c r="F84" s="22">
        <f t="shared" si="10"/>
        <v>0</v>
      </c>
      <c r="G84" s="2"/>
      <c r="H84" s="2"/>
      <c r="I84" s="2"/>
      <c r="J84" s="22">
        <f t="shared" si="11"/>
        <v>0</v>
      </c>
      <c r="K84" s="2"/>
      <c r="L84" s="2">
        <f t="shared" si="12"/>
        <v>0</v>
      </c>
      <c r="M84" s="2"/>
      <c r="N84" s="22">
        <f t="shared" si="13"/>
        <v>0</v>
      </c>
      <c r="O84" s="11"/>
      <c r="P84" s="2">
        <v>67.17</v>
      </c>
      <c r="Q84" s="2"/>
      <c r="R84" s="22">
        <f t="shared" si="14"/>
        <v>2.4866715497042611E-5</v>
      </c>
      <c r="S84" s="2"/>
      <c r="T84" s="2"/>
      <c r="U84" s="2"/>
      <c r="V84" s="22">
        <f t="shared" si="15"/>
        <v>0</v>
      </c>
      <c r="W84" s="2"/>
      <c r="X84" s="2">
        <f t="shared" si="16"/>
        <v>67.17</v>
      </c>
      <c r="Y84" s="2"/>
      <c r="Z84" s="22">
        <f t="shared" si="17"/>
        <v>0</v>
      </c>
    </row>
    <row r="85" spans="1:26" s="24" customFormat="1" hidden="1" outlineLevel="1" x14ac:dyDescent="0.25">
      <c r="A85" s="51"/>
      <c r="B85" s="11" t="str">
        <f>CONCATENATE("          ", "5013", " - ", "PURCHASES @ COST-TRADE BOOKS")</f>
        <v xml:space="preserve">          5013 - PURCHASES @ COST-TRADE BOOKS</v>
      </c>
      <c r="C85" s="11"/>
      <c r="D85" s="2">
        <v>31.11</v>
      </c>
      <c r="E85" s="2"/>
      <c r="F85" s="22">
        <f t="shared" si="10"/>
        <v>1.3315827721010855E-4</v>
      </c>
      <c r="G85" s="2"/>
      <c r="H85" s="2"/>
      <c r="I85" s="2"/>
      <c r="J85" s="22">
        <f t="shared" si="11"/>
        <v>0</v>
      </c>
      <c r="K85" s="2"/>
      <c r="L85" s="2">
        <f t="shared" si="12"/>
        <v>31.11</v>
      </c>
      <c r="M85" s="2"/>
      <c r="N85" s="22">
        <f t="shared" si="13"/>
        <v>0</v>
      </c>
      <c r="O85" s="11"/>
      <c r="P85" s="2">
        <v>2125.85</v>
      </c>
      <c r="Q85" s="2"/>
      <c r="R85" s="22">
        <f t="shared" si="14"/>
        <v>7.8700174392419282E-4</v>
      </c>
      <c r="S85" s="2"/>
      <c r="T85" s="2"/>
      <c r="U85" s="2"/>
      <c r="V85" s="22">
        <f t="shared" si="15"/>
        <v>0</v>
      </c>
      <c r="W85" s="2"/>
      <c r="X85" s="2">
        <f t="shared" si="16"/>
        <v>2125.85</v>
      </c>
      <c r="Y85" s="2"/>
      <c r="Z85" s="22">
        <f t="shared" si="17"/>
        <v>0</v>
      </c>
    </row>
    <row r="86" spans="1:26" s="24" customFormat="1" hidden="1" outlineLevel="1" x14ac:dyDescent="0.25">
      <c r="A86" s="51"/>
      <c r="B86" s="11" t="str">
        <f>CONCATENATE("          ", "5014", " - ", "PURCHASES @ COST-REMAINDERS")</f>
        <v xml:space="preserve">          5014 - PURCHASES @ COST-REMAINDERS</v>
      </c>
      <c r="C86" s="11"/>
      <c r="D86" s="2"/>
      <c r="E86" s="2"/>
      <c r="F86" s="22">
        <f t="shared" si="10"/>
        <v>0</v>
      </c>
      <c r="G86" s="2"/>
      <c r="H86" s="2"/>
      <c r="I86" s="2"/>
      <c r="J86" s="22">
        <f t="shared" si="11"/>
        <v>0</v>
      </c>
      <c r="K86" s="2"/>
      <c r="L86" s="2">
        <f t="shared" si="12"/>
        <v>0</v>
      </c>
      <c r="M86" s="2"/>
      <c r="N86" s="22">
        <f t="shared" si="13"/>
        <v>0</v>
      </c>
      <c r="O86" s="11"/>
      <c r="P86" s="2">
        <v>90.41</v>
      </c>
      <c r="Q86" s="2"/>
      <c r="R86" s="22">
        <f t="shared" si="14"/>
        <v>3.3470295490362101E-5</v>
      </c>
      <c r="S86" s="2"/>
      <c r="T86" s="2"/>
      <c r="U86" s="2"/>
      <c r="V86" s="22">
        <f t="shared" si="15"/>
        <v>0</v>
      </c>
      <c r="W86" s="2"/>
      <c r="X86" s="2">
        <f t="shared" si="16"/>
        <v>90.41</v>
      </c>
      <c r="Y86" s="2"/>
      <c r="Z86" s="22">
        <f t="shared" si="17"/>
        <v>0</v>
      </c>
    </row>
    <row r="87" spans="1:26" s="24" customFormat="1" hidden="1" outlineLevel="1" x14ac:dyDescent="0.25">
      <c r="A87" s="51"/>
      <c r="B87" s="11" t="str">
        <f>CONCATENATE("          ", "5018", " - ", "PURCHASES @ COST-STUDY GUIDES")</f>
        <v xml:space="preserve">          5018 - PURCHASES @ COST-STUDY GUIDES</v>
      </c>
      <c r="C87" s="11"/>
      <c r="D87" s="2"/>
      <c r="E87" s="2"/>
      <c r="F87" s="22">
        <f t="shared" si="10"/>
        <v>0</v>
      </c>
      <c r="G87" s="2"/>
      <c r="H87" s="2"/>
      <c r="I87" s="2"/>
      <c r="J87" s="22">
        <f t="shared" si="11"/>
        <v>0</v>
      </c>
      <c r="K87" s="2"/>
      <c r="L87" s="2">
        <f t="shared" si="12"/>
        <v>0</v>
      </c>
      <c r="M87" s="2"/>
      <c r="N87" s="22">
        <f t="shared" si="13"/>
        <v>0</v>
      </c>
      <c r="O87" s="11"/>
      <c r="P87" s="2">
        <v>106.34</v>
      </c>
      <c r="Q87" s="2"/>
      <c r="R87" s="22">
        <f t="shared" si="14"/>
        <v>3.9367671965989448E-5</v>
      </c>
      <c r="S87" s="2"/>
      <c r="T87" s="2"/>
      <c r="U87" s="2"/>
      <c r="V87" s="22">
        <f t="shared" si="15"/>
        <v>0</v>
      </c>
      <c r="W87" s="2"/>
      <c r="X87" s="2">
        <f t="shared" si="16"/>
        <v>106.34</v>
      </c>
      <c r="Y87" s="2"/>
      <c r="Z87" s="22">
        <f t="shared" si="17"/>
        <v>0</v>
      </c>
    </row>
    <row r="88" spans="1:26" s="24" customFormat="1" hidden="1" outlineLevel="1" x14ac:dyDescent="0.25">
      <c r="A88" s="51"/>
      <c r="B88" s="11" t="str">
        <f>CONCATENATE("          ", "5025", " - ", "PURCHASES @ COST-TEST FORMS")</f>
        <v xml:space="preserve">          5025 - PURCHASES @ COST-TEST FORMS</v>
      </c>
      <c r="C88" s="11"/>
      <c r="D88" s="2"/>
      <c r="E88" s="2"/>
      <c r="F88" s="22">
        <f t="shared" si="10"/>
        <v>0</v>
      </c>
      <c r="G88" s="2"/>
      <c r="H88" s="2"/>
      <c r="I88" s="2"/>
      <c r="J88" s="22">
        <f t="shared" si="11"/>
        <v>0</v>
      </c>
      <c r="K88" s="2"/>
      <c r="L88" s="2">
        <f t="shared" si="12"/>
        <v>0</v>
      </c>
      <c r="M88" s="2"/>
      <c r="N88" s="22">
        <f t="shared" si="13"/>
        <v>0</v>
      </c>
      <c r="O88" s="11"/>
      <c r="P88" s="2">
        <v>599.29</v>
      </c>
      <c r="Q88" s="2"/>
      <c r="R88" s="22">
        <f t="shared" si="14"/>
        <v>2.2186056171241128E-4</v>
      </c>
      <c r="S88" s="2"/>
      <c r="T88" s="2"/>
      <c r="U88" s="2"/>
      <c r="V88" s="22">
        <f t="shared" si="15"/>
        <v>0</v>
      </c>
      <c r="W88" s="2"/>
      <c r="X88" s="2">
        <f t="shared" si="16"/>
        <v>599.29</v>
      </c>
      <c r="Y88" s="2"/>
      <c r="Z88" s="22">
        <f t="shared" si="17"/>
        <v>0</v>
      </c>
    </row>
    <row r="89" spans="1:26" s="24" customFormat="1" hidden="1" outlineLevel="1" x14ac:dyDescent="0.25">
      <c r="A89" s="51"/>
      <c r="B89" s="11" t="str">
        <f>CONCATENATE("          ", "5026", " - ", "PURCHASES @ COST-WRITING INSTR")</f>
        <v xml:space="preserve">          5026 - PURCHASES @ COST-WRITING INSTR</v>
      </c>
      <c r="C89" s="11"/>
      <c r="D89" s="2">
        <v>-5.1100000000000003</v>
      </c>
      <c r="E89" s="2"/>
      <c r="F89" s="22">
        <f t="shared" si="10"/>
        <v>-2.1872028175623747E-5</v>
      </c>
      <c r="G89" s="2"/>
      <c r="H89" s="2"/>
      <c r="I89" s="2"/>
      <c r="J89" s="22">
        <f t="shared" si="11"/>
        <v>0</v>
      </c>
      <c r="K89" s="2"/>
      <c r="L89" s="2">
        <f t="shared" si="12"/>
        <v>-5.1100000000000003</v>
      </c>
      <c r="M89" s="2"/>
      <c r="N89" s="22">
        <f t="shared" si="13"/>
        <v>0</v>
      </c>
      <c r="O89" s="11"/>
      <c r="P89" s="2">
        <v>374.91</v>
      </c>
      <c r="Q89" s="2"/>
      <c r="R89" s="22">
        <f t="shared" si="14"/>
        <v>1.3879381132940666E-4</v>
      </c>
      <c r="S89" s="2"/>
      <c r="T89" s="2"/>
      <c r="U89" s="2"/>
      <c r="V89" s="22">
        <f t="shared" si="15"/>
        <v>0</v>
      </c>
      <c r="W89" s="2"/>
      <c r="X89" s="2">
        <f t="shared" si="16"/>
        <v>374.91</v>
      </c>
      <c r="Y89" s="2"/>
      <c r="Z89" s="22">
        <f t="shared" si="17"/>
        <v>0</v>
      </c>
    </row>
    <row r="90" spans="1:26" s="24" customFormat="1" hidden="1" outlineLevel="1" x14ac:dyDescent="0.25">
      <c r="A90" s="51"/>
      <c r="B90" s="11" t="str">
        <f>CONCATENATE("          ", "5027", " - ", "PURCHASES @ COST-SCHOOL SUPPLI")</f>
        <v xml:space="preserve">          5027 - PURCHASES @ COST-SCHOOL SUPPLI</v>
      </c>
      <c r="C90" s="11"/>
      <c r="D90" s="2"/>
      <c r="E90" s="2"/>
      <c r="F90" s="22">
        <f t="shared" si="10"/>
        <v>0</v>
      </c>
      <c r="G90" s="2"/>
      <c r="H90" s="2"/>
      <c r="I90" s="2"/>
      <c r="J90" s="22">
        <f t="shared" si="11"/>
        <v>0</v>
      </c>
      <c r="K90" s="2"/>
      <c r="L90" s="2">
        <f t="shared" si="12"/>
        <v>0</v>
      </c>
      <c r="M90" s="2"/>
      <c r="N90" s="22">
        <f t="shared" si="13"/>
        <v>0</v>
      </c>
      <c r="O90" s="11"/>
      <c r="P90" s="2">
        <v>19071.350000000002</v>
      </c>
      <c r="Q90" s="2"/>
      <c r="R90" s="22">
        <f t="shared" si="14"/>
        <v>7.0603220871597984E-3</v>
      </c>
      <c r="S90" s="2"/>
      <c r="T90" s="2"/>
      <c r="U90" s="2"/>
      <c r="V90" s="22">
        <f t="shared" si="15"/>
        <v>0</v>
      </c>
      <c r="W90" s="2"/>
      <c r="X90" s="2">
        <f t="shared" si="16"/>
        <v>19071.350000000002</v>
      </c>
      <c r="Y90" s="2"/>
      <c r="Z90" s="22">
        <f t="shared" si="17"/>
        <v>0</v>
      </c>
    </row>
    <row r="91" spans="1:26" s="24" customFormat="1" hidden="1" outlineLevel="1" x14ac:dyDescent="0.25">
      <c r="A91" s="51"/>
      <c r="B91" s="11" t="str">
        <f>CONCATENATE("          ", "5028", " - ", "PURCHASES @ COST-ART/TECH")</f>
        <v xml:space="preserve">          5028 - PURCHASES @ COST-ART/TECH</v>
      </c>
      <c r="C91" s="11"/>
      <c r="D91" s="2"/>
      <c r="E91" s="2"/>
      <c r="F91" s="22">
        <f t="shared" si="10"/>
        <v>0</v>
      </c>
      <c r="G91" s="2"/>
      <c r="H91" s="2"/>
      <c r="I91" s="2"/>
      <c r="J91" s="22">
        <f t="shared" si="11"/>
        <v>0</v>
      </c>
      <c r="K91" s="2"/>
      <c r="L91" s="2">
        <f t="shared" si="12"/>
        <v>0</v>
      </c>
      <c r="M91" s="2"/>
      <c r="N91" s="22">
        <f t="shared" si="13"/>
        <v>0</v>
      </c>
      <c r="O91" s="11"/>
      <c r="P91" s="2">
        <v>41358.449999999997</v>
      </c>
      <c r="Q91" s="2"/>
      <c r="R91" s="22">
        <f t="shared" si="14"/>
        <v>1.5311133088412416E-2</v>
      </c>
      <c r="S91" s="2"/>
      <c r="T91" s="2"/>
      <c r="U91" s="2"/>
      <c r="V91" s="22">
        <f t="shared" si="15"/>
        <v>0</v>
      </c>
      <c r="W91" s="2"/>
      <c r="X91" s="2">
        <f t="shared" si="16"/>
        <v>41358.449999999997</v>
      </c>
      <c r="Y91" s="2"/>
      <c r="Z91" s="22">
        <f t="shared" si="17"/>
        <v>0</v>
      </c>
    </row>
    <row r="92" spans="1:26" s="24" customFormat="1" hidden="1" outlineLevel="1" x14ac:dyDescent="0.25">
      <c r="A92" s="51"/>
      <c r="B92" s="11" t="str">
        <f>CONCATENATE("          ", "5031", " - ", "PURCHASES @ COST-FOOD")</f>
        <v xml:space="preserve">          5031 - PURCHASES @ COST-FOOD</v>
      </c>
      <c r="C92" s="11"/>
      <c r="D92" s="2">
        <v>-1260</v>
      </c>
      <c r="E92" s="2"/>
      <c r="F92" s="22">
        <f t="shared" si="10"/>
        <v>-5.3931028378250328E-3</v>
      </c>
      <c r="G92" s="2"/>
      <c r="H92" s="2"/>
      <c r="I92" s="2"/>
      <c r="J92" s="22">
        <f t="shared" si="11"/>
        <v>0</v>
      </c>
      <c r="K92" s="2"/>
      <c r="L92" s="2">
        <f t="shared" si="12"/>
        <v>-1260</v>
      </c>
      <c r="M92" s="2"/>
      <c r="N92" s="22">
        <f t="shared" si="13"/>
        <v>0</v>
      </c>
      <c r="O92" s="11"/>
      <c r="P92" s="2">
        <v>7275.1</v>
      </c>
      <c r="Q92" s="2"/>
      <c r="R92" s="22">
        <f t="shared" si="14"/>
        <v>2.6932833394749845E-3</v>
      </c>
      <c r="S92" s="2"/>
      <c r="T92" s="2"/>
      <c r="U92" s="2"/>
      <c r="V92" s="22">
        <f t="shared" si="15"/>
        <v>0</v>
      </c>
      <c r="W92" s="2"/>
      <c r="X92" s="2">
        <f t="shared" si="16"/>
        <v>7275.1</v>
      </c>
      <c r="Y92" s="2"/>
      <c r="Z92" s="22">
        <f t="shared" si="17"/>
        <v>0</v>
      </c>
    </row>
    <row r="93" spans="1:26" s="24" customFormat="1" hidden="1" outlineLevel="1" x14ac:dyDescent="0.25">
      <c r="A93" s="51"/>
      <c r="B93" s="11" t="str">
        <f>CONCATENATE("          ", "5040", " - ", "PURCHASES @ COST-LOGO CLOTHING")</f>
        <v xml:space="preserve">          5040 - PURCHASES @ COST-LOGO CLOTHING</v>
      </c>
      <c r="C93" s="11"/>
      <c r="D93" s="2">
        <v>38175.120000000003</v>
      </c>
      <c r="E93" s="2"/>
      <c r="F93" s="22">
        <f t="shared" si="10"/>
        <v>0.16339868889389775</v>
      </c>
      <c r="G93" s="2"/>
      <c r="H93" s="2"/>
      <c r="I93" s="2"/>
      <c r="J93" s="22">
        <f t="shared" si="11"/>
        <v>0</v>
      </c>
      <c r="K93" s="2"/>
      <c r="L93" s="2">
        <f t="shared" si="12"/>
        <v>38175.120000000003</v>
      </c>
      <c r="M93" s="2"/>
      <c r="N93" s="22">
        <f t="shared" si="13"/>
        <v>0</v>
      </c>
      <c r="O93" s="11"/>
      <c r="P93" s="2">
        <v>132470.39999999999</v>
      </c>
      <c r="Q93" s="2"/>
      <c r="R93" s="22">
        <f t="shared" si="14"/>
        <v>4.9041294455552081E-2</v>
      </c>
      <c r="S93" s="2"/>
      <c r="T93" s="2"/>
      <c r="U93" s="2"/>
      <c r="V93" s="22">
        <f t="shared" si="15"/>
        <v>0</v>
      </c>
      <c r="W93" s="2"/>
      <c r="X93" s="2">
        <f t="shared" si="16"/>
        <v>132470.39999999999</v>
      </c>
      <c r="Y93" s="2"/>
      <c r="Z93" s="22">
        <f t="shared" si="17"/>
        <v>0</v>
      </c>
    </row>
    <row r="94" spans="1:26" s="24" customFormat="1" hidden="1" outlineLevel="1" x14ac:dyDescent="0.25">
      <c r="A94" s="51"/>
      <c r="B94" s="11" t="str">
        <f>CONCATENATE("          ", "5041", " - ", "PURCHASES @ COST-LOGO GIFTS")</f>
        <v xml:space="preserve">          5041 - PURCHASES @ COST-LOGO GIFTS</v>
      </c>
      <c r="C94" s="11"/>
      <c r="D94" s="2">
        <v>5559.99</v>
      </c>
      <c r="E94" s="2"/>
      <c r="F94" s="22">
        <f t="shared" si="10"/>
        <v>2.379809352958635E-2</v>
      </c>
      <c r="G94" s="2"/>
      <c r="H94" s="2"/>
      <c r="I94" s="2"/>
      <c r="J94" s="22">
        <f t="shared" si="11"/>
        <v>0</v>
      </c>
      <c r="K94" s="2"/>
      <c r="L94" s="2">
        <f t="shared" si="12"/>
        <v>5559.99</v>
      </c>
      <c r="M94" s="2"/>
      <c r="N94" s="22">
        <f t="shared" si="13"/>
        <v>0</v>
      </c>
      <c r="O94" s="11"/>
      <c r="P94" s="2">
        <v>32201.759999999998</v>
      </c>
      <c r="Q94" s="2"/>
      <c r="R94" s="22">
        <f t="shared" si="14"/>
        <v>1.1921274444306192E-2</v>
      </c>
      <c r="S94" s="2"/>
      <c r="T94" s="2"/>
      <c r="U94" s="2"/>
      <c r="V94" s="22">
        <f t="shared" si="15"/>
        <v>0</v>
      </c>
      <c r="W94" s="2"/>
      <c r="X94" s="2">
        <f t="shared" si="16"/>
        <v>32201.759999999998</v>
      </c>
      <c r="Y94" s="2"/>
      <c r="Z94" s="22">
        <f t="shared" si="17"/>
        <v>0</v>
      </c>
    </row>
    <row r="95" spans="1:26" s="24" customFormat="1" hidden="1" outlineLevel="1" x14ac:dyDescent="0.25">
      <c r="A95" s="51"/>
      <c r="B95" s="11" t="str">
        <f>CONCATENATE("          ", "5042", " - ", "PURCHASES @ COST-EVERYDAY GIFT")</f>
        <v xml:space="preserve">          5042 - PURCHASES @ COST-EVERYDAY GIFT</v>
      </c>
      <c r="C95" s="11"/>
      <c r="D95" s="2">
        <v>148.6</v>
      </c>
      <c r="E95" s="2"/>
      <c r="F95" s="22">
        <f t="shared" si="10"/>
        <v>6.3604371563555546E-4</v>
      </c>
      <c r="G95" s="2"/>
      <c r="H95" s="2"/>
      <c r="I95" s="2"/>
      <c r="J95" s="22">
        <f t="shared" si="11"/>
        <v>0</v>
      </c>
      <c r="K95" s="2"/>
      <c r="L95" s="2">
        <f t="shared" si="12"/>
        <v>148.6</v>
      </c>
      <c r="M95" s="2"/>
      <c r="N95" s="22">
        <f t="shared" si="13"/>
        <v>0</v>
      </c>
      <c r="O95" s="11"/>
      <c r="P95" s="2">
        <v>11061.28</v>
      </c>
      <c r="Q95" s="2"/>
      <c r="R95" s="22">
        <f t="shared" si="14"/>
        <v>4.0949486793676864E-3</v>
      </c>
      <c r="S95" s="2"/>
      <c r="T95" s="2"/>
      <c r="U95" s="2"/>
      <c r="V95" s="22">
        <f t="shared" si="15"/>
        <v>0</v>
      </c>
      <c r="W95" s="2"/>
      <c r="X95" s="2">
        <f t="shared" si="16"/>
        <v>11061.28</v>
      </c>
      <c r="Y95" s="2"/>
      <c r="Z95" s="22">
        <f t="shared" si="17"/>
        <v>0</v>
      </c>
    </row>
    <row r="96" spans="1:26" s="24" customFormat="1" hidden="1" outlineLevel="1" x14ac:dyDescent="0.25">
      <c r="A96" s="51"/>
      <c r="B96" s="11" t="str">
        <f>CONCATENATE("          ", "5043", " - ", "PURCHASES @ COST-CARDS")</f>
        <v xml:space="preserve">          5043 - PURCHASES @ COST-CARDS</v>
      </c>
      <c r="C96" s="11"/>
      <c r="D96" s="2">
        <v>2448</v>
      </c>
      <c r="E96" s="2"/>
      <c r="F96" s="22">
        <f t="shared" si="10"/>
        <v>1.0478028370631493E-2</v>
      </c>
      <c r="G96" s="2"/>
      <c r="H96" s="2"/>
      <c r="I96" s="2"/>
      <c r="J96" s="22">
        <f t="shared" si="11"/>
        <v>0</v>
      </c>
      <c r="K96" s="2"/>
      <c r="L96" s="2">
        <f t="shared" si="12"/>
        <v>2448</v>
      </c>
      <c r="M96" s="2"/>
      <c r="N96" s="22">
        <f t="shared" si="13"/>
        <v>0</v>
      </c>
      <c r="O96" s="11"/>
      <c r="P96" s="2">
        <v>46621.23</v>
      </c>
      <c r="Q96" s="2"/>
      <c r="R96" s="22">
        <f t="shared" si="14"/>
        <v>1.725944413476534E-2</v>
      </c>
      <c r="S96" s="2"/>
      <c r="T96" s="2"/>
      <c r="U96" s="2"/>
      <c r="V96" s="22">
        <f t="shared" si="15"/>
        <v>0</v>
      </c>
      <c r="W96" s="2"/>
      <c r="X96" s="2">
        <f t="shared" si="16"/>
        <v>46621.23</v>
      </c>
      <c r="Y96" s="2"/>
      <c r="Z96" s="22">
        <f t="shared" si="17"/>
        <v>0</v>
      </c>
    </row>
    <row r="97" spans="1:26" s="24" customFormat="1" hidden="1" outlineLevel="1" x14ac:dyDescent="0.25">
      <c r="A97" s="51"/>
      <c r="B97" s="11" t="str">
        <f>CONCATENATE("          ", "5044", " - ", "PURCHASES @ COST-ACCESSORIES")</f>
        <v xml:space="preserve">          5044 - PURCHASES @ COST-ACCESSORIES</v>
      </c>
      <c r="C97" s="11"/>
      <c r="D97" s="2"/>
      <c r="E97" s="2"/>
      <c r="F97" s="22">
        <f t="shared" si="10"/>
        <v>0</v>
      </c>
      <c r="G97" s="2"/>
      <c r="H97" s="2"/>
      <c r="I97" s="2"/>
      <c r="J97" s="22">
        <f t="shared" si="11"/>
        <v>0</v>
      </c>
      <c r="K97" s="2"/>
      <c r="L97" s="2">
        <f t="shared" si="12"/>
        <v>0</v>
      </c>
      <c r="M97" s="2"/>
      <c r="N97" s="22">
        <f t="shared" si="13"/>
        <v>0</v>
      </c>
      <c r="O97" s="11"/>
      <c r="P97" s="2">
        <v>282.33</v>
      </c>
      <c r="Q97" s="2"/>
      <c r="R97" s="22">
        <f t="shared" si="14"/>
        <v>1.0452016951436712E-4</v>
      </c>
      <c r="S97" s="2"/>
      <c r="T97" s="2"/>
      <c r="U97" s="2"/>
      <c r="V97" s="22">
        <f t="shared" si="15"/>
        <v>0</v>
      </c>
      <c r="W97" s="2"/>
      <c r="X97" s="2">
        <f t="shared" si="16"/>
        <v>282.33</v>
      </c>
      <c r="Y97" s="2"/>
      <c r="Z97" s="22">
        <f t="shared" si="17"/>
        <v>0</v>
      </c>
    </row>
    <row r="98" spans="1:26" s="24" customFormat="1" hidden="1" outlineLevel="1" x14ac:dyDescent="0.25">
      <c r="A98" s="51"/>
      <c r="B98" s="11" t="str">
        <f>CONCATENATE("          ", "5045", " - ", "PURCHASES @ COST-SPECIAL ORDER")</f>
        <v xml:space="preserve">          5045 - PURCHASES @ COST-SPECIAL ORDER</v>
      </c>
      <c r="C98" s="11"/>
      <c r="D98" s="2">
        <v>10676.48</v>
      </c>
      <c r="E98" s="2"/>
      <c r="F98" s="22">
        <f t="shared" si="10"/>
        <v>4.5697900465065243E-2</v>
      </c>
      <c r="G98" s="2"/>
      <c r="H98" s="2"/>
      <c r="I98" s="2"/>
      <c r="J98" s="22">
        <f t="shared" si="11"/>
        <v>0</v>
      </c>
      <c r="K98" s="2"/>
      <c r="L98" s="2">
        <f t="shared" si="12"/>
        <v>10676.48</v>
      </c>
      <c r="M98" s="2"/>
      <c r="N98" s="22">
        <f t="shared" si="13"/>
        <v>0</v>
      </c>
      <c r="O98" s="11"/>
      <c r="P98" s="2">
        <v>87609</v>
      </c>
      <c r="Q98" s="2"/>
      <c r="R98" s="22">
        <f t="shared" si="14"/>
        <v>3.243334938187295E-2</v>
      </c>
      <c r="S98" s="2"/>
      <c r="T98" s="2"/>
      <c r="U98" s="2"/>
      <c r="V98" s="22">
        <f t="shared" si="15"/>
        <v>0</v>
      </c>
      <c r="W98" s="2"/>
      <c r="X98" s="2">
        <f t="shared" si="16"/>
        <v>87609</v>
      </c>
      <c r="Y98" s="2"/>
      <c r="Z98" s="22">
        <f t="shared" si="17"/>
        <v>0</v>
      </c>
    </row>
    <row r="99" spans="1:26" s="24" customFormat="1" hidden="1" outlineLevel="1" x14ac:dyDescent="0.25">
      <c r="A99" s="51"/>
      <c r="B99" s="11" t="str">
        <f>CONCATENATE("          ", "5053", " - ", "PURCHASES @ COST-FOOD")</f>
        <v xml:space="preserve">          5053 - PURCHASES @ COST-FOOD</v>
      </c>
      <c r="C99" s="11"/>
      <c r="D99" s="2">
        <v>290.37</v>
      </c>
      <c r="E99" s="2"/>
      <c r="F99" s="22">
        <f t="shared" si="10"/>
        <v>1.2428533896978212E-3</v>
      </c>
      <c r="G99" s="2"/>
      <c r="H99" s="2"/>
      <c r="I99" s="2"/>
      <c r="J99" s="22">
        <f t="shared" si="11"/>
        <v>0</v>
      </c>
      <c r="K99" s="2"/>
      <c r="L99" s="2">
        <f t="shared" si="12"/>
        <v>290.37</v>
      </c>
      <c r="M99" s="2"/>
      <c r="N99" s="22">
        <f t="shared" si="13"/>
        <v>0</v>
      </c>
      <c r="O99" s="11"/>
      <c r="P99" s="2">
        <v>-2565.1999999999998</v>
      </c>
      <c r="Q99" s="2"/>
      <c r="R99" s="22">
        <f t="shared" si="14"/>
        <v>-9.4965160924540275E-4</v>
      </c>
      <c r="S99" s="2"/>
      <c r="T99" s="2"/>
      <c r="U99" s="2"/>
      <c r="V99" s="22">
        <f t="shared" si="15"/>
        <v>0</v>
      </c>
      <c r="W99" s="2"/>
      <c r="X99" s="2">
        <f t="shared" si="16"/>
        <v>-2565.1999999999998</v>
      </c>
      <c r="Y99" s="2"/>
      <c r="Z99" s="22">
        <f t="shared" si="17"/>
        <v>0</v>
      </c>
    </row>
    <row r="100" spans="1:26" s="24" customFormat="1" hidden="1" outlineLevel="1" x14ac:dyDescent="0.25">
      <c r="A100" s="51"/>
      <c r="B100" s="11" t="str">
        <f>CONCATENATE("          ", "5059", " - ", "PURCHASES @ COST-FOOD")</f>
        <v xml:space="preserve">          5059 - PURCHASES @ COST-FOOD</v>
      </c>
      <c r="C100" s="11"/>
      <c r="D100" s="2"/>
      <c r="E100" s="2"/>
      <c r="F100" s="22">
        <f t="shared" si="10"/>
        <v>0</v>
      </c>
      <c r="G100" s="2"/>
      <c r="H100" s="2"/>
      <c r="I100" s="2"/>
      <c r="J100" s="22">
        <f t="shared" si="11"/>
        <v>0</v>
      </c>
      <c r="K100" s="2"/>
      <c r="L100" s="2">
        <f t="shared" si="12"/>
        <v>0</v>
      </c>
      <c r="M100" s="2"/>
      <c r="N100" s="22">
        <f t="shared" si="13"/>
        <v>0</v>
      </c>
      <c r="O100" s="11"/>
      <c r="P100" s="2">
        <v>11697.91</v>
      </c>
      <c r="Q100" s="2"/>
      <c r="R100" s="22">
        <f t="shared" si="14"/>
        <v>4.3306327211554228E-3</v>
      </c>
      <c r="S100" s="2"/>
      <c r="T100" s="2"/>
      <c r="U100" s="2"/>
      <c r="V100" s="22">
        <f t="shared" si="15"/>
        <v>0</v>
      </c>
      <c r="W100" s="2"/>
      <c r="X100" s="2">
        <f t="shared" si="16"/>
        <v>11697.91</v>
      </c>
      <c r="Y100" s="2"/>
      <c r="Z100" s="22">
        <f t="shared" si="17"/>
        <v>0</v>
      </c>
    </row>
    <row r="101" spans="1:26" s="24" customFormat="1" hidden="1" outlineLevel="1" x14ac:dyDescent="0.25">
      <c r="A101" s="51"/>
      <c r="B101" s="11" t="str">
        <f>CONCATENATE("          ", "5200", " - ", "PURCHASES OFFSET")</f>
        <v xml:space="preserve">          5200 - PURCHASES OFFSET</v>
      </c>
      <c r="C101" s="11"/>
      <c r="D101" s="2">
        <v>-172627.15</v>
      </c>
      <c r="E101" s="2"/>
      <c r="F101" s="22">
        <f t="shared" si="10"/>
        <v>-0.73888569250051395</v>
      </c>
      <c r="G101" s="2"/>
      <c r="H101" s="2"/>
      <c r="I101" s="2"/>
      <c r="J101" s="22">
        <f t="shared" si="11"/>
        <v>0</v>
      </c>
      <c r="K101" s="2"/>
      <c r="L101" s="2">
        <f t="shared" si="12"/>
        <v>-172627.15</v>
      </c>
      <c r="M101" s="2"/>
      <c r="N101" s="22">
        <f t="shared" si="13"/>
        <v>0</v>
      </c>
      <c r="O101" s="11"/>
      <c r="P101" s="2">
        <v>-1745022.43</v>
      </c>
      <c r="Q101" s="2"/>
      <c r="R101" s="22">
        <f t="shared" si="14"/>
        <v>-0.64601721457150441</v>
      </c>
      <c r="S101" s="2"/>
      <c r="T101" s="2"/>
      <c r="U101" s="2"/>
      <c r="V101" s="22">
        <f t="shared" si="15"/>
        <v>0</v>
      </c>
      <c r="W101" s="2"/>
      <c r="X101" s="2">
        <f t="shared" si="16"/>
        <v>-1745022.43</v>
      </c>
      <c r="Y101" s="2"/>
      <c r="Z101" s="22">
        <f t="shared" si="17"/>
        <v>0</v>
      </c>
    </row>
    <row r="102" spans="1:26" s="24" customFormat="1" hidden="1" outlineLevel="1" x14ac:dyDescent="0.25">
      <c r="A102" s="51"/>
      <c r="B102" s="11" t="str">
        <f>CONCATENATE("          ", "5300", " - ", "COG$ OFFSET")</f>
        <v xml:space="preserve">          5300 - COG$ OFFSET</v>
      </c>
      <c r="C102" s="11"/>
      <c r="D102" s="2">
        <v>134493</v>
      </c>
      <c r="E102" s="2"/>
      <c r="F102" s="22">
        <f t="shared" si="10"/>
        <v>0.57566236505365243</v>
      </c>
      <c r="G102" s="2"/>
      <c r="H102" s="2"/>
      <c r="I102" s="2"/>
      <c r="J102" s="22">
        <f t="shared" si="11"/>
        <v>0</v>
      </c>
      <c r="K102" s="2"/>
      <c r="L102" s="2">
        <f t="shared" si="12"/>
        <v>134493</v>
      </c>
      <c r="M102" s="2"/>
      <c r="N102" s="22">
        <f t="shared" si="13"/>
        <v>0</v>
      </c>
      <c r="O102" s="11"/>
      <c r="P102" s="2">
        <v>1391133</v>
      </c>
      <c r="Q102" s="2"/>
      <c r="R102" s="22">
        <f t="shared" si="14"/>
        <v>0.51500533764399847</v>
      </c>
      <c r="S102" s="2"/>
      <c r="T102" s="2"/>
      <c r="U102" s="2"/>
      <c r="V102" s="22">
        <f t="shared" si="15"/>
        <v>0</v>
      </c>
      <c r="W102" s="2"/>
      <c r="X102" s="2">
        <f t="shared" si="16"/>
        <v>1391133</v>
      </c>
      <c r="Y102" s="2"/>
      <c r="Z102" s="22">
        <f t="shared" si="17"/>
        <v>0</v>
      </c>
    </row>
    <row r="103" spans="1:26" s="24" customFormat="1" hidden="1" outlineLevel="1" x14ac:dyDescent="0.25">
      <c r="A103" s="51"/>
      <c r="B103" s="11" t="str">
        <f>CONCATENATE("          ", "5501", " - ", "FREIGHT-IN-NEW TEXT")</f>
        <v xml:space="preserve">          5501 - FREIGHT-IN-NEW TEXT</v>
      </c>
      <c r="C103" s="11"/>
      <c r="D103" s="2">
        <v>2414.77</v>
      </c>
      <c r="E103" s="2"/>
      <c r="F103" s="22">
        <f t="shared" si="10"/>
        <v>1.0335795983884725E-2</v>
      </c>
      <c r="G103" s="2"/>
      <c r="H103" s="2"/>
      <c r="I103" s="2"/>
      <c r="J103" s="22">
        <f t="shared" si="11"/>
        <v>0</v>
      </c>
      <c r="K103" s="2"/>
      <c r="L103" s="2">
        <f t="shared" si="12"/>
        <v>2414.77</v>
      </c>
      <c r="M103" s="2"/>
      <c r="N103" s="22">
        <f t="shared" si="13"/>
        <v>0</v>
      </c>
      <c r="O103" s="11"/>
      <c r="P103" s="2">
        <v>37463.58</v>
      </c>
      <c r="Q103" s="2"/>
      <c r="R103" s="22">
        <f t="shared" si="14"/>
        <v>1.3869230093206725E-2</v>
      </c>
      <c r="S103" s="2"/>
      <c r="T103" s="2"/>
      <c r="U103" s="2"/>
      <c r="V103" s="22">
        <f t="shared" si="15"/>
        <v>0</v>
      </c>
      <c r="W103" s="2"/>
      <c r="X103" s="2">
        <f t="shared" si="16"/>
        <v>37463.58</v>
      </c>
      <c r="Y103" s="2"/>
      <c r="Z103" s="22">
        <f t="shared" si="17"/>
        <v>0</v>
      </c>
    </row>
    <row r="104" spans="1:26" s="24" customFormat="1" hidden="1" outlineLevel="1" x14ac:dyDescent="0.25">
      <c r="A104" s="51"/>
      <c r="B104" s="11" t="str">
        <f>CONCATENATE("          ", "5502", " - ", "FREIGHT-IN-USED TEXT")</f>
        <v xml:space="preserve">          5502 - FREIGHT-IN-USED TEXT</v>
      </c>
      <c r="C104" s="11"/>
      <c r="D104" s="2">
        <v>2389.48</v>
      </c>
      <c r="E104" s="2"/>
      <c r="F104" s="22">
        <f t="shared" si="10"/>
        <v>1.0227548705496952E-2</v>
      </c>
      <c r="G104" s="2"/>
      <c r="H104" s="2"/>
      <c r="I104" s="2"/>
      <c r="J104" s="22">
        <f t="shared" si="11"/>
        <v>0</v>
      </c>
      <c r="K104" s="2"/>
      <c r="L104" s="2">
        <f t="shared" si="12"/>
        <v>2389.48</v>
      </c>
      <c r="M104" s="2"/>
      <c r="N104" s="22">
        <f t="shared" si="13"/>
        <v>0</v>
      </c>
      <c r="O104" s="11"/>
      <c r="P104" s="2">
        <v>13522.57</v>
      </c>
      <c r="Q104" s="2"/>
      <c r="R104" s="22">
        <f t="shared" si="14"/>
        <v>5.0061322164484667E-3</v>
      </c>
      <c r="S104" s="2"/>
      <c r="T104" s="2"/>
      <c r="U104" s="2"/>
      <c r="V104" s="22">
        <f t="shared" si="15"/>
        <v>0</v>
      </c>
      <c r="W104" s="2"/>
      <c r="X104" s="2">
        <f t="shared" si="16"/>
        <v>13522.57</v>
      </c>
      <c r="Y104" s="2"/>
      <c r="Z104" s="22">
        <f t="shared" si="17"/>
        <v>0</v>
      </c>
    </row>
    <row r="105" spans="1:26" s="24" customFormat="1" hidden="1" outlineLevel="1" x14ac:dyDescent="0.25">
      <c r="A105" s="51"/>
      <c r="B105" s="11" t="str">
        <f>CONCATENATE("          ", "5504", " - ", "FREIGHT-IN-DIGITAL TEXT")</f>
        <v xml:space="preserve">          5504 - FREIGHT-IN-DIGITAL TEXT</v>
      </c>
      <c r="C105" s="11"/>
      <c r="D105" s="2"/>
      <c r="E105" s="2"/>
      <c r="F105" s="22">
        <f t="shared" si="10"/>
        <v>0</v>
      </c>
      <c r="G105" s="2"/>
      <c r="H105" s="2"/>
      <c r="I105" s="2"/>
      <c r="J105" s="22">
        <f t="shared" si="11"/>
        <v>0</v>
      </c>
      <c r="K105" s="2"/>
      <c r="L105" s="2">
        <f t="shared" si="12"/>
        <v>0</v>
      </c>
      <c r="M105" s="2"/>
      <c r="N105" s="22">
        <f t="shared" si="13"/>
        <v>0</v>
      </c>
      <c r="O105" s="11"/>
      <c r="P105" s="2">
        <v>21.98</v>
      </c>
      <c r="Q105" s="2"/>
      <c r="R105" s="22">
        <f t="shared" si="14"/>
        <v>8.1371208370551822E-6</v>
      </c>
      <c r="S105" s="2"/>
      <c r="T105" s="2"/>
      <c r="U105" s="2"/>
      <c r="V105" s="22">
        <f t="shared" si="15"/>
        <v>0</v>
      </c>
      <c r="W105" s="2"/>
      <c r="X105" s="2">
        <f t="shared" si="16"/>
        <v>21.98</v>
      </c>
      <c r="Y105" s="2"/>
      <c r="Z105" s="22">
        <f t="shared" si="17"/>
        <v>0</v>
      </c>
    </row>
    <row r="106" spans="1:26" s="24" customFormat="1" hidden="1" outlineLevel="1" x14ac:dyDescent="0.25">
      <c r="A106" s="51"/>
      <c r="B106" s="11" t="str">
        <f>CONCATENATE("          ", "5513", " - ", "FREIGHT-IN-TRADE BOOKS")</f>
        <v xml:space="preserve">          5513 - FREIGHT-IN-TRADE BOOKS</v>
      </c>
      <c r="C106" s="11"/>
      <c r="D106" s="2"/>
      <c r="E106" s="2"/>
      <c r="F106" s="22">
        <f t="shared" si="10"/>
        <v>0</v>
      </c>
      <c r="G106" s="2"/>
      <c r="H106" s="2"/>
      <c r="I106" s="2"/>
      <c r="J106" s="22">
        <f t="shared" si="11"/>
        <v>0</v>
      </c>
      <c r="K106" s="2"/>
      <c r="L106" s="2">
        <f t="shared" si="12"/>
        <v>0</v>
      </c>
      <c r="M106" s="2"/>
      <c r="N106" s="22">
        <f t="shared" si="13"/>
        <v>0</v>
      </c>
      <c r="O106" s="11"/>
      <c r="P106" s="2">
        <v>26.46</v>
      </c>
      <c r="Q106" s="2"/>
      <c r="R106" s="22">
        <f t="shared" si="14"/>
        <v>9.7956422815505073E-6</v>
      </c>
      <c r="S106" s="2"/>
      <c r="T106" s="2"/>
      <c r="U106" s="2"/>
      <c r="V106" s="22">
        <f t="shared" si="15"/>
        <v>0</v>
      </c>
      <c r="W106" s="2"/>
      <c r="X106" s="2">
        <f t="shared" si="16"/>
        <v>26.46</v>
      </c>
      <c r="Y106" s="2"/>
      <c r="Z106" s="22">
        <f t="shared" si="17"/>
        <v>0</v>
      </c>
    </row>
    <row r="107" spans="1:26" s="24" customFormat="1" hidden="1" outlineLevel="1" x14ac:dyDescent="0.25">
      <c r="A107" s="51"/>
      <c r="B107" s="11" t="str">
        <f>CONCATENATE("          ", "5525", " - ", "FREIGHT-IN-TEST FORMS")</f>
        <v xml:space="preserve">          5525 - FREIGHT-IN-TEST FORMS</v>
      </c>
      <c r="C107" s="11"/>
      <c r="D107" s="2"/>
      <c r="E107" s="2"/>
      <c r="F107" s="22">
        <f t="shared" si="10"/>
        <v>0</v>
      </c>
      <c r="G107" s="2"/>
      <c r="H107" s="2"/>
      <c r="I107" s="2"/>
      <c r="J107" s="22">
        <f t="shared" si="11"/>
        <v>0</v>
      </c>
      <c r="K107" s="2"/>
      <c r="L107" s="2">
        <f t="shared" si="12"/>
        <v>0</v>
      </c>
      <c r="M107" s="2"/>
      <c r="N107" s="22">
        <f t="shared" si="13"/>
        <v>0</v>
      </c>
      <c r="O107" s="11"/>
      <c r="P107" s="2">
        <v>48.14</v>
      </c>
      <c r="Q107" s="2"/>
      <c r="R107" s="22">
        <f t="shared" si="14"/>
        <v>1.7821701414733235E-5</v>
      </c>
      <c r="S107" s="2"/>
      <c r="T107" s="2"/>
      <c r="U107" s="2"/>
      <c r="V107" s="22">
        <f t="shared" si="15"/>
        <v>0</v>
      </c>
      <c r="W107" s="2"/>
      <c r="X107" s="2">
        <f t="shared" si="16"/>
        <v>48.14</v>
      </c>
      <c r="Y107" s="2"/>
      <c r="Z107" s="22">
        <f t="shared" si="17"/>
        <v>0</v>
      </c>
    </row>
    <row r="108" spans="1:26" s="24" customFormat="1" hidden="1" outlineLevel="1" x14ac:dyDescent="0.25">
      <c r="A108" s="51"/>
      <c r="B108" s="11" t="str">
        <f>CONCATENATE("          ", "5527", " - ", "FREIGHT-IN-SCHOOL SUPPLIES")</f>
        <v xml:space="preserve">          5527 - FREIGHT-IN-SCHOOL SUPPLIES</v>
      </c>
      <c r="C108" s="11"/>
      <c r="D108" s="2">
        <v>121.5</v>
      </c>
      <c r="E108" s="2"/>
      <c r="F108" s="22">
        <f t="shared" si="10"/>
        <v>5.2004920221884244E-4</v>
      </c>
      <c r="G108" s="2"/>
      <c r="H108" s="2"/>
      <c r="I108" s="2"/>
      <c r="J108" s="22">
        <f t="shared" si="11"/>
        <v>0</v>
      </c>
      <c r="K108" s="2"/>
      <c r="L108" s="2">
        <f t="shared" si="12"/>
        <v>121.5</v>
      </c>
      <c r="M108" s="2"/>
      <c r="N108" s="22">
        <f t="shared" si="13"/>
        <v>0</v>
      </c>
      <c r="O108" s="11"/>
      <c r="P108" s="2">
        <v>177.5</v>
      </c>
      <c r="Q108" s="2"/>
      <c r="R108" s="22">
        <f t="shared" si="14"/>
        <v>6.5711508124535715E-5</v>
      </c>
      <c r="S108" s="2"/>
      <c r="T108" s="2"/>
      <c r="U108" s="2"/>
      <c r="V108" s="22">
        <f t="shared" si="15"/>
        <v>0</v>
      </c>
      <c r="W108" s="2"/>
      <c r="X108" s="2">
        <f t="shared" si="16"/>
        <v>177.5</v>
      </c>
      <c r="Y108" s="2"/>
      <c r="Z108" s="22">
        <f t="shared" si="17"/>
        <v>0</v>
      </c>
    </row>
    <row r="109" spans="1:26" s="24" customFormat="1" hidden="1" outlineLevel="1" x14ac:dyDescent="0.25">
      <c r="A109" s="51"/>
      <c r="B109" s="11" t="str">
        <f>CONCATENATE("          ", "5528", " - ", "FREIGHT-IN-ART/TECH")</f>
        <v xml:space="preserve">          5528 - FREIGHT-IN-ART/TECH</v>
      </c>
      <c r="C109" s="11"/>
      <c r="D109" s="2">
        <v>4.29</v>
      </c>
      <c r="E109" s="2"/>
      <c r="F109" s="22">
        <f t="shared" si="10"/>
        <v>1.8362231090689991E-5</v>
      </c>
      <c r="G109" s="2"/>
      <c r="H109" s="2"/>
      <c r="I109" s="2"/>
      <c r="J109" s="22">
        <f t="shared" si="11"/>
        <v>0</v>
      </c>
      <c r="K109" s="2"/>
      <c r="L109" s="2">
        <f t="shared" si="12"/>
        <v>4.29</v>
      </c>
      <c r="M109" s="2"/>
      <c r="N109" s="22">
        <f t="shared" si="13"/>
        <v>0</v>
      </c>
      <c r="O109" s="11"/>
      <c r="P109" s="2">
        <v>290.20999999999998</v>
      </c>
      <c r="Q109" s="2"/>
      <c r="R109" s="22">
        <f t="shared" si="14"/>
        <v>1.0743739026941694E-4</v>
      </c>
      <c r="S109" s="2"/>
      <c r="T109" s="2"/>
      <c r="U109" s="2"/>
      <c r="V109" s="22">
        <f t="shared" si="15"/>
        <v>0</v>
      </c>
      <c r="W109" s="2"/>
      <c r="X109" s="2">
        <f t="shared" si="16"/>
        <v>290.20999999999998</v>
      </c>
      <c r="Y109" s="2"/>
      <c r="Z109" s="22">
        <f t="shared" si="17"/>
        <v>0</v>
      </c>
    </row>
    <row r="110" spans="1:26" s="24" customFormat="1" hidden="1" outlineLevel="1" x14ac:dyDescent="0.25">
      <c r="A110" s="51"/>
      <c r="B110" s="11" t="str">
        <f>CONCATENATE("          ", "5540", " - ", "FREIGHT-IN-LOGO CLOTHING")</f>
        <v xml:space="preserve">          5540 - FREIGHT-IN-LOGO CLOTHING</v>
      </c>
      <c r="C110" s="11"/>
      <c r="D110" s="2">
        <v>907.48</v>
      </c>
      <c r="E110" s="2"/>
      <c r="F110" s="22">
        <f t="shared" si="10"/>
        <v>3.8842325105313182E-3</v>
      </c>
      <c r="G110" s="2"/>
      <c r="H110" s="2"/>
      <c r="I110" s="2"/>
      <c r="J110" s="22">
        <f t="shared" si="11"/>
        <v>0</v>
      </c>
      <c r="K110" s="2"/>
      <c r="L110" s="2">
        <f t="shared" si="12"/>
        <v>907.48</v>
      </c>
      <c r="M110" s="2"/>
      <c r="N110" s="22">
        <f t="shared" si="13"/>
        <v>0</v>
      </c>
      <c r="O110" s="11"/>
      <c r="P110" s="2">
        <v>5442.96</v>
      </c>
      <c r="Q110" s="2"/>
      <c r="R110" s="22">
        <f t="shared" si="14"/>
        <v>2.0150147056987207E-3</v>
      </c>
      <c r="S110" s="2"/>
      <c r="T110" s="2"/>
      <c r="U110" s="2"/>
      <c r="V110" s="22">
        <f t="shared" si="15"/>
        <v>0</v>
      </c>
      <c r="W110" s="2"/>
      <c r="X110" s="2">
        <f t="shared" si="16"/>
        <v>5442.96</v>
      </c>
      <c r="Y110" s="2"/>
      <c r="Z110" s="22">
        <f t="shared" si="17"/>
        <v>0</v>
      </c>
    </row>
    <row r="111" spans="1:26" s="24" customFormat="1" hidden="1" outlineLevel="1" x14ac:dyDescent="0.25">
      <c r="A111" s="51"/>
      <c r="B111" s="11" t="str">
        <f>CONCATENATE("          ", "5541", " - ", "FREIGHT-IN-LOGO GIFTS")</f>
        <v xml:space="preserve">          5541 - FREIGHT-IN-LOGO GIFTS</v>
      </c>
      <c r="C111" s="11"/>
      <c r="D111" s="2">
        <v>84.07</v>
      </c>
      <c r="E111" s="2"/>
      <c r="F111" s="22">
        <f t="shared" si="10"/>
        <v>3.598398060126591E-4</v>
      </c>
      <c r="G111" s="2"/>
      <c r="H111" s="2"/>
      <c r="I111" s="2"/>
      <c r="J111" s="22">
        <f t="shared" si="11"/>
        <v>0</v>
      </c>
      <c r="K111" s="2"/>
      <c r="L111" s="2">
        <f t="shared" si="12"/>
        <v>84.07</v>
      </c>
      <c r="M111" s="2"/>
      <c r="N111" s="22">
        <f t="shared" si="13"/>
        <v>0</v>
      </c>
      <c r="O111" s="11"/>
      <c r="P111" s="2">
        <v>1519.94</v>
      </c>
      <c r="Q111" s="2"/>
      <c r="R111" s="22">
        <f t="shared" si="14"/>
        <v>5.6269042061299606E-4</v>
      </c>
      <c r="S111" s="2"/>
      <c r="T111" s="2"/>
      <c r="U111" s="2"/>
      <c r="V111" s="22">
        <f t="shared" si="15"/>
        <v>0</v>
      </c>
      <c r="W111" s="2"/>
      <c r="X111" s="2">
        <f t="shared" si="16"/>
        <v>1519.94</v>
      </c>
      <c r="Y111" s="2"/>
      <c r="Z111" s="22">
        <f t="shared" si="17"/>
        <v>0</v>
      </c>
    </row>
    <row r="112" spans="1:26" s="24" customFormat="1" hidden="1" outlineLevel="1" x14ac:dyDescent="0.25">
      <c r="A112" s="51"/>
      <c r="B112" s="11" t="str">
        <f>CONCATENATE("          ", "5542", " - ", "FREIGHT-IN-EVERYDAY GIFTS")</f>
        <v xml:space="preserve">          5542 - FREIGHT-IN-EVERYDAY GIFTS</v>
      </c>
      <c r="C112" s="11"/>
      <c r="D112" s="2"/>
      <c r="E112" s="2"/>
      <c r="F112" s="22">
        <f t="shared" si="10"/>
        <v>0</v>
      </c>
      <c r="G112" s="2"/>
      <c r="H112" s="2"/>
      <c r="I112" s="2"/>
      <c r="J112" s="22">
        <f t="shared" si="11"/>
        <v>0</v>
      </c>
      <c r="K112" s="2"/>
      <c r="L112" s="2">
        <f t="shared" si="12"/>
        <v>0</v>
      </c>
      <c r="M112" s="2"/>
      <c r="N112" s="22">
        <f t="shared" si="13"/>
        <v>0</v>
      </c>
      <c r="O112" s="11"/>
      <c r="P112" s="2">
        <v>196.55</v>
      </c>
      <c r="Q112" s="2"/>
      <c r="R112" s="22">
        <f t="shared" si="14"/>
        <v>7.2763926320436583E-5</v>
      </c>
      <c r="S112" s="2"/>
      <c r="T112" s="2"/>
      <c r="U112" s="2"/>
      <c r="V112" s="22">
        <f t="shared" si="15"/>
        <v>0</v>
      </c>
      <c r="W112" s="2"/>
      <c r="X112" s="2">
        <f t="shared" si="16"/>
        <v>196.55</v>
      </c>
      <c r="Y112" s="2"/>
      <c r="Z112" s="22">
        <f t="shared" si="17"/>
        <v>0</v>
      </c>
    </row>
    <row r="113" spans="1:26" s="24" customFormat="1" hidden="1" outlineLevel="1" x14ac:dyDescent="0.25">
      <c r="A113" s="51"/>
      <c r="B113" s="11" t="str">
        <f>CONCATENATE("          ", "5543", " - ", "FREIGHT-IN-CARDS")</f>
        <v xml:space="preserve">          5543 - FREIGHT-IN-CARDS</v>
      </c>
      <c r="C113" s="11"/>
      <c r="D113" s="2">
        <v>605.41</v>
      </c>
      <c r="E113" s="2"/>
      <c r="F113" s="22">
        <f t="shared" si="10"/>
        <v>2.5913003087679786E-3</v>
      </c>
      <c r="G113" s="2"/>
      <c r="H113" s="2"/>
      <c r="I113" s="2"/>
      <c r="J113" s="22">
        <f t="shared" si="11"/>
        <v>0</v>
      </c>
      <c r="K113" s="2"/>
      <c r="L113" s="2">
        <f t="shared" si="12"/>
        <v>605.41</v>
      </c>
      <c r="M113" s="2"/>
      <c r="N113" s="22">
        <f t="shared" si="13"/>
        <v>0</v>
      </c>
      <c r="O113" s="11"/>
      <c r="P113" s="2">
        <v>7117.72</v>
      </c>
      <c r="Q113" s="2"/>
      <c r="R113" s="22">
        <f t="shared" si="14"/>
        <v>2.6350203696234946E-3</v>
      </c>
      <c r="S113" s="2"/>
      <c r="T113" s="2"/>
      <c r="U113" s="2"/>
      <c r="V113" s="22">
        <f t="shared" si="15"/>
        <v>0</v>
      </c>
      <c r="W113" s="2"/>
      <c r="X113" s="2">
        <f t="shared" si="16"/>
        <v>7117.72</v>
      </c>
      <c r="Y113" s="2"/>
      <c r="Z113" s="22">
        <f t="shared" si="17"/>
        <v>0</v>
      </c>
    </row>
    <row r="114" spans="1:26" s="24" customFormat="1" hidden="1" outlineLevel="1" x14ac:dyDescent="0.25">
      <c r="A114" s="51"/>
      <c r="B114" s="11" t="str">
        <f>CONCATENATE("          ", "5545", " - ", "FREIGHT-IN-SPECIAL ORDERS")</f>
        <v xml:space="preserve">          5545 - FREIGHT-IN-SPECIAL ORDERS</v>
      </c>
      <c r="C114" s="11"/>
      <c r="D114" s="2">
        <v>225.93</v>
      </c>
      <c r="E114" s="2"/>
      <c r="F114" s="22">
        <f t="shared" si="10"/>
        <v>9.6703470170619811E-4</v>
      </c>
      <c r="G114" s="2"/>
      <c r="H114" s="2"/>
      <c r="I114" s="2"/>
      <c r="J114" s="22">
        <f t="shared" si="11"/>
        <v>0</v>
      </c>
      <c r="K114" s="2"/>
      <c r="L114" s="2">
        <f t="shared" si="12"/>
        <v>225.93</v>
      </c>
      <c r="M114" s="2"/>
      <c r="N114" s="22">
        <f t="shared" si="13"/>
        <v>0</v>
      </c>
      <c r="O114" s="11"/>
      <c r="P114" s="2">
        <v>1113.79</v>
      </c>
      <c r="Q114" s="2"/>
      <c r="R114" s="22">
        <f t="shared" si="14"/>
        <v>4.1233138385367112E-4</v>
      </c>
      <c r="S114" s="2"/>
      <c r="T114" s="2"/>
      <c r="U114" s="2"/>
      <c r="V114" s="22">
        <f t="shared" si="15"/>
        <v>0</v>
      </c>
      <c r="W114" s="2"/>
      <c r="X114" s="2">
        <f t="shared" si="16"/>
        <v>1113.79</v>
      </c>
      <c r="Y114" s="2"/>
      <c r="Z114" s="22">
        <f t="shared" si="17"/>
        <v>0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10"/>
      <c r="B116" s="25" t="s">
        <v>6</v>
      </c>
      <c r="C116" s="25"/>
      <c r="D116" s="21">
        <f>D12-D78</f>
        <v>100491.96999999994</v>
      </c>
      <c r="E116" s="13"/>
      <c r="F116" s="19">
        <f>IF(D$12=0,0,D116/D$12)</f>
        <v>0.43012978459176804</v>
      </c>
      <c r="G116" s="13"/>
      <c r="H116" s="21">
        <f>H12-H78</f>
        <v>206142</v>
      </c>
      <c r="I116" s="13"/>
      <c r="J116" s="19">
        <f>IF(H$12=0,0,H116/H$12)</f>
        <v>0.52038057540699301</v>
      </c>
      <c r="K116" s="16"/>
      <c r="L116" s="21">
        <f>+D116-H116</f>
        <v>-105650.03000000006</v>
      </c>
      <c r="M116" s="16"/>
      <c r="N116" s="19">
        <f>IF(H116=0,0,L116/H116)</f>
        <v>-0.51251093906142398</v>
      </c>
      <c r="O116" s="26"/>
      <c r="P116" s="21">
        <f>P12-P78</f>
        <v>957444.98999999929</v>
      </c>
      <c r="Q116" s="13"/>
      <c r="R116" s="19">
        <f>IF(P$12=0,0,P116/P$12)</f>
        <v>0.3544515731784843</v>
      </c>
      <c r="S116" s="13"/>
      <c r="T116" s="21">
        <f>T12-T78</f>
        <v>2004741</v>
      </c>
      <c r="U116" s="13"/>
      <c r="V116" s="19">
        <f>IF(T$12=0,0,T116/T$12)</f>
        <v>0.40931492450890156</v>
      </c>
      <c r="W116" s="16"/>
      <c r="X116" s="21">
        <f>+P116-T116</f>
        <v>-1047296.0100000007</v>
      </c>
      <c r="Y116" s="16"/>
      <c r="Z116" s="19">
        <f>IF(T116=0,0,X116/T116)</f>
        <v>-0.52240963296505671</v>
      </c>
    </row>
    <row r="117" spans="1:26" x14ac:dyDescent="0.25">
      <c r="A117" s="9"/>
      <c r="B117" s="10"/>
      <c r="C117" s="9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6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x14ac:dyDescent="0.25">
      <c r="A118" s="10"/>
      <c r="B118" s="26" t="s">
        <v>9</v>
      </c>
      <c r="C118" s="10"/>
      <c r="D118" s="20">
        <f>SUM(OSRRefD22x_0)</f>
        <v>269056.45000000007</v>
      </c>
      <c r="E118" s="20"/>
      <c r="F118" s="30">
        <f t="shared" ref="F118:F129" si="18">IF(D$12=0,0,D118/D$12)</f>
        <v>1.1516262730397853</v>
      </c>
      <c r="G118" s="20"/>
      <c r="H118" s="20">
        <f>SUM(OSRRefH22x_0)</f>
        <v>394078.36911651539</v>
      </c>
      <c r="I118" s="20"/>
      <c r="J118" s="30">
        <f t="shared" ref="J118:J129" si="19">IF(H$12=0,0,H118/H$12)</f>
        <v>0.99480323503362567</v>
      </c>
      <c r="K118" s="4"/>
      <c r="L118" s="20">
        <f t="shared" ref="L118:L129" si="20">+D118-H118</f>
        <v>-125021.91911651532</v>
      </c>
      <c r="M118" s="4"/>
      <c r="N118" s="30">
        <f t="shared" ref="N118:N129" si="21">IF(H118=0,0,L118/H118)</f>
        <v>-0.31725141219195069</v>
      </c>
      <c r="O118" s="10"/>
      <c r="P118" s="20">
        <f>SUM(OSRRefP22x_0)</f>
        <v>1779436.0699999994</v>
      </c>
      <c r="Q118" s="20"/>
      <c r="R118" s="30">
        <f t="shared" ref="R118:R129" si="22">IF(P$12=0,0,P118/P$12)</f>
        <v>0.65875733955434845</v>
      </c>
      <c r="S118" s="20"/>
      <c r="T118" s="20">
        <f>SUM(OSRRefT22x_0)</f>
        <v>2530650.7615786502</v>
      </c>
      <c r="U118" s="20"/>
      <c r="V118" s="30">
        <f t="shared" ref="V118:V129" si="23">IF(T$12=0,0,T118/T$12)</f>
        <v>0.51669174493560988</v>
      </c>
      <c r="W118" s="4"/>
      <c r="X118" s="20">
        <f t="shared" ref="X118:X129" si="24">+P118-T118</f>
        <v>-751214.69157865085</v>
      </c>
      <c r="Y118" s="4"/>
      <c r="Z118" s="30">
        <f t="shared" ref="Z118:Z129" si="25">IF(T118=0,0,X118/T118)</f>
        <v>-0.29684644874112703</v>
      </c>
    </row>
    <row r="119" spans="1:26" s="28" customFormat="1" outlineLevel="1" collapsed="1" x14ac:dyDescent="0.25">
      <c r="A119" s="27"/>
      <c r="B119" s="14" t="str">
        <f>CONCATENATE("     ","*Benefits                                         ")</f>
        <v xml:space="preserve">     *Benefits                                         </v>
      </c>
      <c r="C119" s="14"/>
      <c r="D119" s="1">
        <f>SUM(OSRRefD22_0x_0)</f>
        <v>45950.22</v>
      </c>
      <c r="E119" s="1"/>
      <c r="F119" s="5">
        <f t="shared" si="18"/>
        <v>0.19667798561959093</v>
      </c>
      <c r="G119" s="1"/>
      <c r="H119" s="1">
        <f>SUM(OSRRefH22_0x_0)</f>
        <v>48127.13133436154</v>
      </c>
      <c r="I119" s="1"/>
      <c r="J119" s="5">
        <f t="shared" si="19"/>
        <v>0.12149112891338487</v>
      </c>
      <c r="K119" s="1"/>
      <c r="L119" s="1">
        <f t="shared" si="20"/>
        <v>-2176.911334361539</v>
      </c>
      <c r="M119" s="1"/>
      <c r="N119" s="5">
        <f t="shared" si="21"/>
        <v>-4.5232517999826846E-2</v>
      </c>
      <c r="O119" s="14"/>
      <c r="P119" s="1">
        <f>SUM(OSRRefP22_0x_0)</f>
        <v>302889.86</v>
      </c>
      <c r="Q119" s="1"/>
      <c r="R119" s="5">
        <f t="shared" si="22"/>
        <v>0.11213154645763089</v>
      </c>
      <c r="S119" s="1"/>
      <c r="T119" s="1">
        <f>SUM(OSRRefT22_0x_0)</f>
        <v>315546.09399465</v>
      </c>
      <c r="U119" s="1"/>
      <c r="V119" s="5">
        <f t="shared" si="23"/>
        <v>6.4426140654827185E-2</v>
      </c>
      <c r="W119" s="1"/>
      <c r="X119" s="1">
        <f t="shared" si="24"/>
        <v>-12656.233994650014</v>
      </c>
      <c r="Y119" s="1"/>
      <c r="Z119" s="5">
        <f t="shared" si="25"/>
        <v>-4.0108986406482333E-2</v>
      </c>
    </row>
    <row r="120" spans="1:26" s="24" customFormat="1" hidden="1" outlineLevel="2" x14ac:dyDescent="0.25">
      <c r="A120" s="29"/>
      <c r="B120" s="11" t="str">
        <f>CONCATENATE("          ", "6111", " - ", "F.I.C.A.")</f>
        <v xml:space="preserve">          6111 - F.I.C.A.</v>
      </c>
      <c r="C120" s="11"/>
      <c r="D120" s="7">
        <v>7317.04</v>
      </c>
      <c r="E120" s="2"/>
      <c r="F120" s="6">
        <f t="shared" si="18"/>
        <v>3.1318689832126413E-2</v>
      </c>
      <c r="G120" s="2"/>
      <c r="H120" s="7">
        <v>7264.7332278230779</v>
      </c>
      <c r="I120" s="2"/>
      <c r="J120" s="6">
        <f t="shared" si="19"/>
        <v>1.8338941396090439E-2</v>
      </c>
      <c r="K120" s="2"/>
      <c r="L120" s="7">
        <f t="shared" si="20"/>
        <v>52.306772176922095</v>
      </c>
      <c r="M120" s="2"/>
      <c r="N120" s="6">
        <f t="shared" si="21"/>
        <v>7.2000953836258265E-3</v>
      </c>
      <c r="O120" s="11"/>
      <c r="P120" s="7">
        <v>59426.919999999991</v>
      </c>
      <c r="Q120" s="2"/>
      <c r="R120" s="6">
        <f t="shared" si="22"/>
        <v>2.2000183303640185E-2</v>
      </c>
      <c r="S120" s="2"/>
      <c r="T120" s="7">
        <v>57732.139287149999</v>
      </c>
      <c r="U120" s="2"/>
      <c r="V120" s="6">
        <f t="shared" si="23"/>
        <v>1.1787371153708729E-2</v>
      </c>
      <c r="W120" s="2"/>
      <c r="X120" s="7">
        <f t="shared" si="24"/>
        <v>1694.7807128499917</v>
      </c>
      <c r="Y120" s="2"/>
      <c r="Z120" s="6">
        <f t="shared" si="25"/>
        <v>2.9355931267684991E-2</v>
      </c>
    </row>
    <row r="121" spans="1:26" s="24" customFormat="1" hidden="1" outlineLevel="2" x14ac:dyDescent="0.25">
      <c r="A121" s="29"/>
      <c r="B121" s="11" t="str">
        <f>CONCATENATE("          ", "6112", " - ", "COMPENSATION INSURANCE")</f>
        <v xml:space="preserve">          6112 - COMPENSATION INSURANCE</v>
      </c>
      <c r="C121" s="11"/>
      <c r="D121" s="7">
        <v>2948.75</v>
      </c>
      <c r="E121" s="2"/>
      <c r="F121" s="6">
        <f t="shared" si="18"/>
        <v>1.2621358724632195E-2</v>
      </c>
      <c r="G121" s="2"/>
      <c r="H121" s="7">
        <v>3061.3989980769238</v>
      </c>
      <c r="I121" s="2"/>
      <c r="J121" s="6">
        <f t="shared" si="19"/>
        <v>7.7281319292995193E-3</v>
      </c>
      <c r="K121" s="2"/>
      <c r="L121" s="7">
        <f t="shared" si="20"/>
        <v>-112.64899807692382</v>
      </c>
      <c r="M121" s="2"/>
      <c r="N121" s="6">
        <f t="shared" si="21"/>
        <v>-3.679657507815428E-2</v>
      </c>
      <c r="O121" s="11"/>
      <c r="P121" s="7">
        <v>16516.080000000002</v>
      </c>
      <c r="Q121" s="2"/>
      <c r="R121" s="6">
        <f t="shared" si="22"/>
        <v>6.1143466203125735E-3</v>
      </c>
      <c r="S121" s="2"/>
      <c r="T121" s="7">
        <v>20800.740012499995</v>
      </c>
      <c r="U121" s="2"/>
      <c r="V121" s="6">
        <f t="shared" si="23"/>
        <v>4.2469592470776637E-3</v>
      </c>
      <c r="W121" s="2"/>
      <c r="X121" s="7">
        <f t="shared" si="24"/>
        <v>-4284.6600124999932</v>
      </c>
      <c r="Y121" s="2"/>
      <c r="Z121" s="6">
        <f t="shared" si="25"/>
        <v>-0.20598594136195011</v>
      </c>
    </row>
    <row r="122" spans="1:26" s="24" customFormat="1" hidden="1" outlineLevel="2" x14ac:dyDescent="0.25">
      <c r="A122" s="29"/>
      <c r="B122" s="11" t="str">
        <f>CONCATENATE("          ", "6113", " - ", "GROUP INSURANCE")</f>
        <v xml:space="preserve">          6113 - GROUP INSURANCE</v>
      </c>
      <c r="C122" s="11"/>
      <c r="D122" s="7">
        <v>17637.66</v>
      </c>
      <c r="E122" s="2"/>
      <c r="F122" s="6">
        <f t="shared" si="18"/>
        <v>7.549342396713736E-2</v>
      </c>
      <c r="G122" s="2"/>
      <c r="H122" s="7">
        <v>21247.5</v>
      </c>
      <c r="I122" s="2"/>
      <c r="J122" s="6">
        <f t="shared" si="19"/>
        <v>5.3636746883022793E-2</v>
      </c>
      <c r="K122" s="2"/>
      <c r="L122" s="7">
        <f t="shared" si="20"/>
        <v>-3609.84</v>
      </c>
      <c r="M122" s="2"/>
      <c r="N122" s="6">
        <f t="shared" si="21"/>
        <v>-0.16989481115425345</v>
      </c>
      <c r="O122" s="11"/>
      <c r="P122" s="7">
        <v>106465.42</v>
      </c>
      <c r="Q122" s="2"/>
      <c r="R122" s="6">
        <f t="shared" si="22"/>
        <v>3.9414103162321724E-2</v>
      </c>
      <c r="S122" s="2"/>
      <c r="T122" s="7">
        <v>129044.99999999997</v>
      </c>
      <c r="U122" s="2"/>
      <c r="V122" s="6">
        <f t="shared" si="23"/>
        <v>2.6347565313051009E-2</v>
      </c>
      <c r="W122" s="2"/>
      <c r="X122" s="7">
        <f t="shared" si="24"/>
        <v>-22579.579999999973</v>
      </c>
      <c r="Y122" s="2"/>
      <c r="Z122" s="6">
        <f t="shared" si="25"/>
        <v>-0.17497446627145552</v>
      </c>
    </row>
    <row r="123" spans="1:26" s="24" customFormat="1" hidden="1" outlineLevel="2" x14ac:dyDescent="0.25">
      <c r="A123" s="29"/>
      <c r="B123" s="11" t="str">
        <f>CONCATENATE("          ", "6114", " - ", "STATE UNEMPLOYMENT INSURANCE")</f>
        <v xml:space="preserve">          6114 - STATE UNEMPLOYMENT INSURANCE</v>
      </c>
      <c r="C123" s="11"/>
      <c r="D123" s="7"/>
      <c r="E123" s="2"/>
      <c r="F123" s="6">
        <f t="shared" si="18"/>
        <v>0</v>
      </c>
      <c r="G123" s="2"/>
      <c r="H123" s="7">
        <v>434.54327000000001</v>
      </c>
      <c r="I123" s="2"/>
      <c r="J123" s="6">
        <f t="shared" si="19"/>
        <v>1.0969519888321465E-3</v>
      </c>
      <c r="K123" s="2"/>
      <c r="L123" s="7">
        <f t="shared" si="20"/>
        <v>-434.54327000000001</v>
      </c>
      <c r="M123" s="2"/>
      <c r="N123" s="6">
        <f t="shared" si="21"/>
        <v>-1</v>
      </c>
      <c r="O123" s="11"/>
      <c r="P123" s="7">
        <v>2080.42</v>
      </c>
      <c r="Q123" s="2"/>
      <c r="R123" s="6">
        <f t="shared" si="22"/>
        <v>7.7018329990110755E-4</v>
      </c>
      <c r="S123" s="2"/>
      <c r="T123" s="7">
        <v>2944.4722449999999</v>
      </c>
      <c r="U123" s="2"/>
      <c r="V123" s="6">
        <f t="shared" si="23"/>
        <v>6.0118311277154051E-4</v>
      </c>
      <c r="W123" s="2"/>
      <c r="X123" s="7">
        <f t="shared" si="24"/>
        <v>-864.05224499999986</v>
      </c>
      <c r="Y123" s="2"/>
      <c r="Z123" s="6">
        <f t="shared" si="25"/>
        <v>-0.29344893519279885</v>
      </c>
    </row>
    <row r="124" spans="1:26" s="24" customFormat="1" hidden="1" outlineLevel="2" x14ac:dyDescent="0.25">
      <c r="A124" s="29"/>
      <c r="B124" s="11" t="str">
        <f>CONCATENATE("          ", "6115", " - ", "P.E.R.S.")</f>
        <v xml:space="preserve">          6115 - P.E.R.S.</v>
      </c>
      <c r="C124" s="11"/>
      <c r="D124" s="7">
        <v>6456.79</v>
      </c>
      <c r="E124" s="2"/>
      <c r="F124" s="6">
        <f t="shared" si="18"/>
        <v>2.7636613073206581E-2</v>
      </c>
      <c r="G124" s="2"/>
      <c r="H124" s="7">
        <v>5529.1917153846161</v>
      </c>
      <c r="I124" s="2"/>
      <c r="J124" s="6">
        <f t="shared" si="19"/>
        <v>1.3957776515156665E-2</v>
      </c>
      <c r="K124" s="2"/>
      <c r="L124" s="7">
        <f t="shared" si="20"/>
        <v>927.59828461538382</v>
      </c>
      <c r="M124" s="2"/>
      <c r="N124" s="6">
        <f t="shared" si="21"/>
        <v>0.16776381293388723</v>
      </c>
      <c r="O124" s="11"/>
      <c r="P124" s="7">
        <v>45543.539999999994</v>
      </c>
      <c r="Q124" s="2"/>
      <c r="R124" s="6">
        <f t="shared" si="22"/>
        <v>1.686047717594432E-2</v>
      </c>
      <c r="S124" s="2"/>
      <c r="T124" s="7">
        <v>35939.746149999999</v>
      </c>
      <c r="U124" s="2"/>
      <c r="V124" s="6">
        <f t="shared" si="23"/>
        <v>7.337942648080892E-3</v>
      </c>
      <c r="W124" s="2"/>
      <c r="X124" s="7">
        <f t="shared" si="24"/>
        <v>9603.7938499999946</v>
      </c>
      <c r="Y124" s="2"/>
      <c r="Z124" s="6">
        <f t="shared" si="25"/>
        <v>0.26721930115802989</v>
      </c>
    </row>
    <row r="125" spans="1:26" s="24" customFormat="1" hidden="1" outlineLevel="2" x14ac:dyDescent="0.25">
      <c r="A125" s="29"/>
      <c r="B125" s="11" t="str">
        <f>CONCATENATE("          ", "6116", " - ", "EDUCATIONAL BENEFITS")</f>
        <v xml:space="preserve">          6116 - EDUCATIONAL BENEFITS</v>
      </c>
      <c r="C125" s="11"/>
      <c r="D125" s="7"/>
      <c r="E125" s="2"/>
      <c r="F125" s="6">
        <f t="shared" si="18"/>
        <v>0</v>
      </c>
      <c r="G125" s="2"/>
      <c r="H125" s="7">
        <v>0</v>
      </c>
      <c r="I125" s="2"/>
      <c r="J125" s="6">
        <f t="shared" si="19"/>
        <v>0</v>
      </c>
      <c r="K125" s="2"/>
      <c r="L125" s="7">
        <f t="shared" si="20"/>
        <v>0</v>
      </c>
      <c r="M125" s="2"/>
      <c r="N125" s="6">
        <f t="shared" si="21"/>
        <v>0</v>
      </c>
      <c r="O125" s="11"/>
      <c r="P125" s="7">
        <v>0</v>
      </c>
      <c r="Q125" s="2"/>
      <c r="R125" s="6">
        <f t="shared" si="22"/>
        <v>0</v>
      </c>
      <c r="S125" s="2"/>
      <c r="T125" s="7">
        <v>0</v>
      </c>
      <c r="U125" s="2"/>
      <c r="V125" s="6">
        <f t="shared" si="23"/>
        <v>0</v>
      </c>
      <c r="W125" s="2"/>
      <c r="X125" s="7">
        <f t="shared" si="24"/>
        <v>0</v>
      </c>
      <c r="Y125" s="2"/>
      <c r="Z125" s="6">
        <f t="shared" si="25"/>
        <v>0</v>
      </c>
    </row>
    <row r="126" spans="1:26" s="24" customFormat="1" hidden="1" outlineLevel="2" x14ac:dyDescent="0.25">
      <c r="A126" s="29"/>
      <c r="B126" s="11" t="str">
        <f>CONCATENATE("          ", "6117", " - ", "RETIREMENT STAFF HOURLY")</f>
        <v xml:space="preserve">          6117 - RETIREMENT STAFF HOURLY</v>
      </c>
      <c r="C126" s="11"/>
      <c r="D126" s="7">
        <v>440.47</v>
      </c>
      <c r="E126" s="2"/>
      <c r="F126" s="6">
        <f t="shared" si="18"/>
        <v>1.8853174658545972E-3</v>
      </c>
      <c r="G126" s="2"/>
      <c r="H126" s="7"/>
      <c r="I126" s="2"/>
      <c r="J126" s="6">
        <f t="shared" si="19"/>
        <v>0</v>
      </c>
      <c r="K126" s="2"/>
      <c r="L126" s="7">
        <f t="shared" si="20"/>
        <v>440.47</v>
      </c>
      <c r="M126" s="2"/>
      <c r="N126" s="6">
        <f t="shared" si="21"/>
        <v>0</v>
      </c>
      <c r="O126" s="11"/>
      <c r="P126" s="7">
        <v>1734.12</v>
      </c>
      <c r="Q126" s="2"/>
      <c r="R126" s="6">
        <f t="shared" si="22"/>
        <v>6.4198107306433726E-4</v>
      </c>
      <c r="S126" s="2"/>
      <c r="T126" s="7"/>
      <c r="U126" s="2"/>
      <c r="V126" s="6">
        <f t="shared" si="23"/>
        <v>0</v>
      </c>
      <c r="W126" s="2"/>
      <c r="X126" s="7">
        <f t="shared" si="24"/>
        <v>1734.12</v>
      </c>
      <c r="Y126" s="2"/>
      <c r="Z126" s="6">
        <f t="shared" si="25"/>
        <v>0</v>
      </c>
    </row>
    <row r="127" spans="1:26" s="24" customFormat="1" hidden="1" outlineLevel="2" x14ac:dyDescent="0.25">
      <c r="A127" s="29"/>
      <c r="B127" s="11" t="str">
        <f>CONCATENATE("          ", "6118", " - ", "VACATION")</f>
        <v xml:space="preserve">          6118 - VACATION</v>
      </c>
      <c r="C127" s="11"/>
      <c r="D127" s="7">
        <v>5850.94</v>
      </c>
      <c r="E127" s="2"/>
      <c r="F127" s="6">
        <f t="shared" si="18"/>
        <v>2.504342945868571E-2</v>
      </c>
      <c r="G127" s="2"/>
      <c r="H127" s="7">
        <v>4320.7234200000012</v>
      </c>
      <c r="I127" s="2"/>
      <c r="J127" s="6">
        <f t="shared" si="19"/>
        <v>1.0907144296038999E-2</v>
      </c>
      <c r="K127" s="2"/>
      <c r="L127" s="7">
        <f t="shared" si="20"/>
        <v>1530.2165799999984</v>
      </c>
      <c r="M127" s="2"/>
      <c r="N127" s="6">
        <f t="shared" si="21"/>
        <v>0.35415749430219212</v>
      </c>
      <c r="O127" s="11"/>
      <c r="P127" s="7">
        <v>35672.25</v>
      </c>
      <c r="Q127" s="2"/>
      <c r="R127" s="6">
        <f t="shared" si="22"/>
        <v>1.320606955321391E-2</v>
      </c>
      <c r="S127" s="2"/>
      <c r="T127" s="7">
        <v>28084.702229999995</v>
      </c>
      <c r="U127" s="2"/>
      <c r="V127" s="6">
        <f t="shared" si="23"/>
        <v>5.7341510814251954E-3</v>
      </c>
      <c r="W127" s="2"/>
      <c r="X127" s="7">
        <f t="shared" si="24"/>
        <v>7587.5477700000047</v>
      </c>
      <c r="Y127" s="2"/>
      <c r="Z127" s="6">
        <f t="shared" si="25"/>
        <v>0.27016657352681522</v>
      </c>
    </row>
    <row r="128" spans="1:26" s="24" customFormat="1" hidden="1" outlineLevel="2" x14ac:dyDescent="0.25">
      <c r="A128" s="29"/>
      <c r="B128" s="11" t="str">
        <f>CONCATENATE("          ", "6119", " - ", "SICK LEAVE")</f>
        <v xml:space="preserve">          6119 - SICK LEAVE</v>
      </c>
      <c r="C128" s="11"/>
      <c r="D128" s="7">
        <v>4031.99</v>
      </c>
      <c r="E128" s="2"/>
      <c r="F128" s="6">
        <f t="shared" si="18"/>
        <v>1.7257886278636628E-2</v>
      </c>
      <c r="G128" s="2"/>
      <c r="H128" s="7">
        <v>4469.0407030769193</v>
      </c>
      <c r="I128" s="2"/>
      <c r="J128" s="6">
        <f t="shared" si="19"/>
        <v>1.1281553359259346E-2</v>
      </c>
      <c r="K128" s="2"/>
      <c r="L128" s="7">
        <f t="shared" si="20"/>
        <v>-437.05070307691949</v>
      </c>
      <c r="M128" s="2"/>
      <c r="N128" s="6">
        <f t="shared" si="21"/>
        <v>-9.7795194117612658E-2</v>
      </c>
      <c r="O128" s="11"/>
      <c r="P128" s="7">
        <v>25828.289999999997</v>
      </c>
      <c r="Q128" s="2"/>
      <c r="R128" s="6">
        <f t="shared" si="22"/>
        <v>9.5617796517062769E-3</v>
      </c>
      <c r="S128" s="2"/>
      <c r="T128" s="7">
        <v>30199.294069999978</v>
      </c>
      <c r="U128" s="2"/>
      <c r="V128" s="6">
        <f t="shared" si="23"/>
        <v>6.1658946330145192E-3</v>
      </c>
      <c r="W128" s="2"/>
      <c r="X128" s="7">
        <f t="shared" si="24"/>
        <v>-4371.0040699999809</v>
      </c>
      <c r="Y128" s="2"/>
      <c r="Z128" s="6">
        <f t="shared" si="25"/>
        <v>-0.14473861739510469</v>
      </c>
    </row>
    <row r="129" spans="1:26" s="24" customFormat="1" hidden="1" outlineLevel="2" x14ac:dyDescent="0.25">
      <c r="A129" s="29"/>
      <c r="B129" s="11" t="str">
        <f>CONCATENATE("          ", "6156", " - ", "EMPLOYEE MEALS")</f>
        <v xml:space="preserve">          6156 - EMPLOYEE MEALS</v>
      </c>
      <c r="C129" s="11"/>
      <c r="D129" s="7">
        <v>1266.58</v>
      </c>
      <c r="E129" s="2"/>
      <c r="F129" s="6">
        <f t="shared" si="18"/>
        <v>5.4212668193114521E-3</v>
      </c>
      <c r="G129" s="2"/>
      <c r="H129" s="7">
        <v>1800</v>
      </c>
      <c r="I129" s="2"/>
      <c r="J129" s="6">
        <f t="shared" si="19"/>
        <v>4.543882545684952E-3</v>
      </c>
      <c r="K129" s="2"/>
      <c r="L129" s="7">
        <f t="shared" si="20"/>
        <v>-533.42000000000007</v>
      </c>
      <c r="M129" s="2"/>
      <c r="N129" s="6">
        <f t="shared" si="21"/>
        <v>-0.29634444444444447</v>
      </c>
      <c r="O129" s="11"/>
      <c r="P129" s="7">
        <v>9622.82</v>
      </c>
      <c r="Q129" s="2"/>
      <c r="R129" s="6">
        <f t="shared" si="22"/>
        <v>3.5624226175264488E-3</v>
      </c>
      <c r="S129" s="2"/>
      <c r="T129" s="7">
        <v>10800</v>
      </c>
      <c r="U129" s="2"/>
      <c r="V129" s="6">
        <f t="shared" si="23"/>
        <v>2.205073465697632E-3</v>
      </c>
      <c r="W129" s="2"/>
      <c r="X129" s="7">
        <f t="shared" si="24"/>
        <v>-1177.1800000000003</v>
      </c>
      <c r="Y129" s="2"/>
      <c r="Z129" s="6">
        <f t="shared" si="25"/>
        <v>-0.10899814814814818</v>
      </c>
    </row>
    <row r="130" spans="1:26" s="28" customFormat="1" outlineLevel="1" collapsed="1" x14ac:dyDescent="0.25">
      <c r="A130" s="27"/>
      <c r="B130" s="14" t="str">
        <f>CONCATENATE("     ","*Payroll                                          ")</f>
        <v xml:space="preserve">     *Payroll                                          </v>
      </c>
      <c r="C130" s="14"/>
      <c r="D130" s="1">
        <f>SUM(OSRRefD22_1x_0)</f>
        <v>119812.64000000001</v>
      </c>
      <c r="E130" s="1"/>
      <c r="F130" s="5">
        <f t="shared" ref="F130:F140" si="26">IF(D$12=0,0,D130/D$12)</f>
        <v>0.51282689586611829</v>
      </c>
      <c r="G130" s="1"/>
      <c r="H130" s="1">
        <f>SUM(OSRRefH22_1x_0)</f>
        <v>154781.23778215388</v>
      </c>
      <c r="I130" s="1"/>
      <c r="J130" s="5">
        <f t="shared" ref="J130:J140" si="27">IF(H$12=0,0,H130/H$12)</f>
        <v>0.39072653597657853</v>
      </c>
      <c r="K130" s="1"/>
      <c r="L130" s="1">
        <f t="shared" ref="L130:L140" si="28">+D130-H130</f>
        <v>-34968.597782153869</v>
      </c>
      <c r="M130" s="1"/>
      <c r="N130" s="5">
        <f t="shared" ref="N130:N140" si="29">IF(H130=0,0,L130/H130)</f>
        <v>-0.22592271701154282</v>
      </c>
      <c r="O130" s="14"/>
      <c r="P130" s="1">
        <f>SUM(OSRRefP22_1x_0)</f>
        <v>772182.87999999989</v>
      </c>
      <c r="Q130" s="1"/>
      <c r="R130" s="5">
        <f t="shared" ref="R130:R140" si="30">IF(P$12=0,0,P130/P$12)</f>
        <v>0.28586648784646407</v>
      </c>
      <c r="S130" s="1"/>
      <c r="T130" s="1">
        <f>SUM(OSRRefT22_1x_0)</f>
        <v>1054464.6675840002</v>
      </c>
      <c r="U130" s="1"/>
      <c r="V130" s="5">
        <f t="shared" ref="V130:V140" si="31">IF(T$12=0,0,T130/T$12)</f>
        <v>0.21529370916714377</v>
      </c>
      <c r="W130" s="1"/>
      <c r="X130" s="1">
        <f t="shared" ref="X130:X140" si="32">+P130-T130</f>
        <v>-282281.78758400027</v>
      </c>
      <c r="Y130" s="1"/>
      <c r="Z130" s="5">
        <f t="shared" ref="Z130:Z140" si="33">IF(T130=0,0,X130/T130)</f>
        <v>-0.26770151363228423</v>
      </c>
    </row>
    <row r="131" spans="1:26" s="24" customFormat="1" hidden="1" outlineLevel="2" x14ac:dyDescent="0.25">
      <c r="A131" s="29"/>
      <c r="B131" s="11" t="str">
        <f>CONCATENATE("          ", "6001", " - ", "ADMINISTRATIVE SALARIES")</f>
        <v xml:space="preserve">          6001 - ADMINISTRATIVE SALARIES</v>
      </c>
      <c r="C131" s="11"/>
      <c r="D131" s="7">
        <v>3745.16</v>
      </c>
      <c r="E131" s="2"/>
      <c r="F131" s="6">
        <f t="shared" si="26"/>
        <v>1.6030184939768887E-2</v>
      </c>
      <c r="G131" s="2"/>
      <c r="H131" s="7">
        <v>13047.392307692309</v>
      </c>
      <c r="I131" s="2"/>
      <c r="J131" s="6">
        <f t="shared" si="27"/>
        <v>3.293656565201511E-2</v>
      </c>
      <c r="K131" s="2"/>
      <c r="L131" s="7">
        <f t="shared" si="28"/>
        <v>-9302.2323076923094</v>
      </c>
      <c r="M131" s="2"/>
      <c r="N131" s="6">
        <f t="shared" si="29"/>
        <v>-0.71295720158640608</v>
      </c>
      <c r="O131" s="11"/>
      <c r="P131" s="7">
        <v>24883.11</v>
      </c>
      <c r="Q131" s="2"/>
      <c r="R131" s="6">
        <f t="shared" si="30"/>
        <v>9.2118686474857228E-3</v>
      </c>
      <c r="S131" s="2"/>
      <c r="T131" s="7">
        <v>84808.050000000017</v>
      </c>
      <c r="U131" s="2"/>
      <c r="V131" s="6">
        <f t="shared" si="31"/>
        <v>1.7315553771533158E-2</v>
      </c>
      <c r="W131" s="2"/>
      <c r="X131" s="7">
        <f t="shared" si="32"/>
        <v>-59924.940000000017</v>
      </c>
      <c r="Y131" s="2"/>
      <c r="Z131" s="6">
        <f t="shared" si="33"/>
        <v>-0.70659495177639398</v>
      </c>
    </row>
    <row r="132" spans="1:26" s="24" customFormat="1" hidden="1" outlineLevel="2" x14ac:dyDescent="0.25">
      <c r="A132" s="29"/>
      <c r="B132" s="11" t="str">
        <f>CONCATENATE("          ", "6002", " - ", "STAFF SALARIES")</f>
        <v xml:space="preserve">          6002 - STAFF SALARIES</v>
      </c>
      <c r="C132" s="11"/>
      <c r="D132" s="7">
        <v>60554.25</v>
      </c>
      <c r="E132" s="2"/>
      <c r="F132" s="6">
        <f t="shared" si="26"/>
        <v>0.25918674406140196</v>
      </c>
      <c r="G132" s="2"/>
      <c r="H132" s="7">
        <v>44951.275394461554</v>
      </c>
      <c r="I132" s="2"/>
      <c r="J132" s="6">
        <f t="shared" si="27"/>
        <v>0.11347406426176185</v>
      </c>
      <c r="K132" s="2"/>
      <c r="L132" s="7">
        <f t="shared" si="28"/>
        <v>15602.974605538446</v>
      </c>
      <c r="M132" s="2"/>
      <c r="N132" s="6">
        <f t="shared" si="29"/>
        <v>0.34710860745590522</v>
      </c>
      <c r="O132" s="11"/>
      <c r="P132" s="7">
        <v>375340.61000000004</v>
      </c>
      <c r="Q132" s="2"/>
      <c r="R132" s="6">
        <f t="shared" si="30"/>
        <v>0.13895322559708839</v>
      </c>
      <c r="S132" s="2"/>
      <c r="T132" s="7">
        <v>292183.29006400018</v>
      </c>
      <c r="U132" s="2"/>
      <c r="V132" s="6">
        <f t="shared" si="31"/>
        <v>5.9656075929663092E-2</v>
      </c>
      <c r="W132" s="2"/>
      <c r="X132" s="7">
        <f t="shared" si="32"/>
        <v>83157.319935999869</v>
      </c>
      <c r="Y132" s="2"/>
      <c r="Z132" s="6">
        <f t="shared" si="33"/>
        <v>0.28460669300350816</v>
      </c>
    </row>
    <row r="133" spans="1:26" s="24" customFormat="1" hidden="1" outlineLevel="2" x14ac:dyDescent="0.25">
      <c r="A133" s="29"/>
      <c r="B133" s="11" t="str">
        <f>CONCATENATE("          ", "6003", " - ", "STAFF HOURLY-9 MONTH")</f>
        <v xml:space="preserve">          6003 - STAFF HOURLY-9 MONTH</v>
      </c>
      <c r="C133" s="11"/>
      <c r="D133" s="7"/>
      <c r="E133" s="2"/>
      <c r="F133" s="6">
        <f t="shared" si="26"/>
        <v>0</v>
      </c>
      <c r="G133" s="2"/>
      <c r="H133" s="7">
        <v>0</v>
      </c>
      <c r="I133" s="2"/>
      <c r="J133" s="6">
        <f t="shared" si="27"/>
        <v>0</v>
      </c>
      <c r="K133" s="2"/>
      <c r="L133" s="7">
        <f t="shared" si="28"/>
        <v>0</v>
      </c>
      <c r="M133" s="2"/>
      <c r="N133" s="6">
        <f t="shared" si="29"/>
        <v>0</v>
      </c>
      <c r="O133" s="11"/>
      <c r="P133" s="7"/>
      <c r="Q133" s="2"/>
      <c r="R133" s="6">
        <f t="shared" si="30"/>
        <v>0</v>
      </c>
      <c r="S133" s="2"/>
      <c r="T133" s="7">
        <v>0</v>
      </c>
      <c r="U133" s="2"/>
      <c r="V133" s="6">
        <f t="shared" si="31"/>
        <v>0</v>
      </c>
      <c r="W133" s="2"/>
      <c r="X133" s="7">
        <f t="shared" si="32"/>
        <v>0</v>
      </c>
      <c r="Y133" s="2"/>
      <c r="Z133" s="6">
        <f t="shared" si="33"/>
        <v>0</v>
      </c>
    </row>
    <row r="134" spans="1:26" s="24" customFormat="1" hidden="1" outlineLevel="2" x14ac:dyDescent="0.25">
      <c r="A134" s="29"/>
      <c r="B134" s="11" t="str">
        <f>CONCATENATE("          ", "6004", " - ", "STAFF HOURLY")</f>
        <v xml:space="preserve">          6004 - STAFF HOURLY</v>
      </c>
      <c r="C134" s="11"/>
      <c r="D134" s="7">
        <v>15520.769999999999</v>
      </c>
      <c r="E134" s="2"/>
      <c r="F134" s="6">
        <f t="shared" si="26"/>
        <v>6.6432625977960014E-2</v>
      </c>
      <c r="G134" s="2"/>
      <c r="H134" s="7">
        <v>27029.03008</v>
      </c>
      <c r="I134" s="2"/>
      <c r="J134" s="6">
        <f t="shared" si="27"/>
        <v>6.8231521115169752E-2</v>
      </c>
      <c r="K134" s="2"/>
      <c r="L134" s="7">
        <f t="shared" si="28"/>
        <v>-11508.260080000002</v>
      </c>
      <c r="M134" s="2"/>
      <c r="N134" s="6">
        <f t="shared" si="29"/>
        <v>-0.42577406758356018</v>
      </c>
      <c r="O134" s="11"/>
      <c r="P134" s="7">
        <v>91036.909999999989</v>
      </c>
      <c r="Q134" s="2"/>
      <c r="R134" s="6">
        <f t="shared" si="30"/>
        <v>3.3702381132944367E-2</v>
      </c>
      <c r="S134" s="2"/>
      <c r="T134" s="7">
        <v>176429.90552</v>
      </c>
      <c r="U134" s="2"/>
      <c r="V134" s="6">
        <f t="shared" si="31"/>
        <v>3.6022305853490019E-2</v>
      </c>
      <c r="W134" s="2"/>
      <c r="X134" s="7">
        <f t="shared" si="32"/>
        <v>-85392.995520000011</v>
      </c>
      <c r="Y134" s="2"/>
      <c r="Z134" s="6">
        <f t="shared" si="33"/>
        <v>-0.48400522161091281</v>
      </c>
    </row>
    <row r="135" spans="1:26" s="24" customFormat="1" hidden="1" outlineLevel="2" x14ac:dyDescent="0.25">
      <c r="A135" s="29"/>
      <c r="B135" s="11" t="str">
        <f>CONCATENATE("          ", "6005", " - ", "TEMPORARY WAGES-HOURLY")</f>
        <v xml:space="preserve">          6005 - TEMPORARY WAGES-HOURLY</v>
      </c>
      <c r="C135" s="11"/>
      <c r="D135" s="7">
        <v>9577.32</v>
      </c>
      <c r="E135" s="2"/>
      <c r="F135" s="6">
        <f t="shared" si="26"/>
        <v>4.0993231484728922E-2</v>
      </c>
      <c r="G135" s="2"/>
      <c r="H135" s="7">
        <v>6855.22</v>
      </c>
      <c r="I135" s="2"/>
      <c r="J135" s="6">
        <f t="shared" si="27"/>
        <v>1.7305174724905777E-2</v>
      </c>
      <c r="K135" s="2"/>
      <c r="L135" s="7">
        <f t="shared" si="28"/>
        <v>2722.0999999999995</v>
      </c>
      <c r="M135" s="2"/>
      <c r="N135" s="6">
        <f t="shared" si="29"/>
        <v>0.39708426571284355</v>
      </c>
      <c r="O135" s="11"/>
      <c r="P135" s="7">
        <v>99775.41</v>
      </c>
      <c r="Q135" s="2"/>
      <c r="R135" s="6">
        <f t="shared" si="30"/>
        <v>3.6937423463909193E-2</v>
      </c>
      <c r="S135" s="2"/>
      <c r="T135" s="7">
        <v>39337.322</v>
      </c>
      <c r="U135" s="2"/>
      <c r="V135" s="6">
        <f t="shared" si="31"/>
        <v>8.0316374957225666E-3</v>
      </c>
      <c r="W135" s="2"/>
      <c r="X135" s="7">
        <f t="shared" si="32"/>
        <v>60438.088000000003</v>
      </c>
      <c r="Y135" s="2"/>
      <c r="Z135" s="6">
        <f t="shared" si="33"/>
        <v>1.5364057573619272</v>
      </c>
    </row>
    <row r="136" spans="1:26" s="24" customFormat="1" hidden="1" outlineLevel="2" x14ac:dyDescent="0.25">
      <c r="A136" s="29"/>
      <c r="B136" s="11" t="str">
        <f>CONCATENATE("          ", "6006", " - ", "TEMPORARY PART TIME")</f>
        <v xml:space="preserve">          6006 - TEMPORARY PART TIME</v>
      </c>
      <c r="C136" s="11"/>
      <c r="D136" s="7">
        <v>1432.35</v>
      </c>
      <c r="E136" s="2"/>
      <c r="F136" s="6">
        <f t="shared" si="26"/>
        <v>6.1308022617132425E-3</v>
      </c>
      <c r="G136" s="2"/>
      <c r="H136" s="7">
        <v>0</v>
      </c>
      <c r="I136" s="2"/>
      <c r="J136" s="6">
        <f t="shared" si="27"/>
        <v>0</v>
      </c>
      <c r="K136" s="2"/>
      <c r="L136" s="7">
        <f t="shared" si="28"/>
        <v>1432.35</v>
      </c>
      <c r="M136" s="2"/>
      <c r="N136" s="6">
        <f t="shared" si="29"/>
        <v>0</v>
      </c>
      <c r="O136" s="11"/>
      <c r="P136" s="7">
        <v>9987.9599999999991</v>
      </c>
      <c r="Q136" s="2"/>
      <c r="R136" s="6">
        <f t="shared" si="30"/>
        <v>3.697599519366409E-3</v>
      </c>
      <c r="S136" s="2"/>
      <c r="T136" s="7">
        <v>0</v>
      </c>
      <c r="U136" s="2"/>
      <c r="V136" s="6">
        <f t="shared" si="31"/>
        <v>0</v>
      </c>
      <c r="W136" s="2"/>
      <c r="X136" s="7">
        <f t="shared" si="32"/>
        <v>9987.9599999999991</v>
      </c>
      <c r="Y136" s="2"/>
      <c r="Z136" s="6">
        <f t="shared" si="33"/>
        <v>0</v>
      </c>
    </row>
    <row r="137" spans="1:26" s="24" customFormat="1" hidden="1" outlineLevel="2" x14ac:dyDescent="0.25">
      <c r="A137" s="29"/>
      <c r="B137" s="11" t="str">
        <f>CONCATENATE("          ", "6007", " - ", "STUDENT HOURLY")</f>
        <v xml:space="preserve">          6007 - STUDENT HOURLY</v>
      </c>
      <c r="C137" s="11"/>
      <c r="D137" s="7">
        <v>27899.63</v>
      </c>
      <c r="E137" s="2"/>
      <c r="F137" s="6">
        <f t="shared" si="26"/>
        <v>0.11941712200576859</v>
      </c>
      <c r="G137" s="2"/>
      <c r="H137" s="7">
        <v>275</v>
      </c>
      <c r="I137" s="2"/>
      <c r="J137" s="6">
        <f t="shared" si="27"/>
        <v>6.9420427781297881E-4</v>
      </c>
      <c r="K137" s="2"/>
      <c r="L137" s="7">
        <f t="shared" si="28"/>
        <v>27624.63</v>
      </c>
      <c r="M137" s="2"/>
      <c r="N137" s="6">
        <f t="shared" si="29"/>
        <v>100.45320000000001</v>
      </c>
      <c r="O137" s="11"/>
      <c r="P137" s="7">
        <v>166228.43</v>
      </c>
      <c r="Q137" s="2"/>
      <c r="R137" s="6">
        <f t="shared" si="30"/>
        <v>6.1538708892810226E-2</v>
      </c>
      <c r="S137" s="2"/>
      <c r="T137" s="7">
        <v>137776.6</v>
      </c>
      <c r="U137" s="2"/>
      <c r="V137" s="6">
        <f t="shared" si="31"/>
        <v>2.813032637537374E-2</v>
      </c>
      <c r="W137" s="2"/>
      <c r="X137" s="7">
        <f t="shared" si="32"/>
        <v>28451.829999999987</v>
      </c>
      <c r="Y137" s="2"/>
      <c r="Z137" s="6">
        <f t="shared" si="33"/>
        <v>0.20650698304356463</v>
      </c>
    </row>
    <row r="138" spans="1:26" s="24" customFormat="1" hidden="1" outlineLevel="2" x14ac:dyDescent="0.25">
      <c r="A138" s="29"/>
      <c r="B138" s="11" t="str">
        <f>CONCATENATE("          ", "6008", " - ", "STUDENT HOURLY-FICA EXEMPT")</f>
        <v xml:space="preserve">          6008 - STUDENT HOURLY-FICA EXEMPT</v>
      </c>
      <c r="C138" s="11"/>
      <c r="D138" s="7">
        <v>1083.1600000000001</v>
      </c>
      <c r="E138" s="2"/>
      <c r="F138" s="6">
        <f t="shared" si="26"/>
        <v>4.636185134776637E-3</v>
      </c>
      <c r="G138" s="2"/>
      <c r="H138" s="7">
        <v>62623.320000000007</v>
      </c>
      <c r="I138" s="2"/>
      <c r="J138" s="6">
        <f t="shared" si="27"/>
        <v>0.15808500594491301</v>
      </c>
      <c r="K138" s="2"/>
      <c r="L138" s="7">
        <f t="shared" si="28"/>
        <v>-61540.160000000003</v>
      </c>
      <c r="M138" s="2"/>
      <c r="N138" s="6">
        <f t="shared" si="29"/>
        <v>-0.98270356793603397</v>
      </c>
      <c r="O138" s="11"/>
      <c r="P138" s="7">
        <v>4930.45</v>
      </c>
      <c r="Q138" s="2"/>
      <c r="R138" s="6">
        <f t="shared" si="30"/>
        <v>1.8252805928598145E-3</v>
      </c>
      <c r="S138" s="2"/>
      <c r="T138" s="7">
        <v>323929.5</v>
      </c>
      <c r="U138" s="2"/>
      <c r="V138" s="6">
        <f t="shared" si="31"/>
        <v>6.6137809741361214E-2</v>
      </c>
      <c r="W138" s="2"/>
      <c r="X138" s="7">
        <f t="shared" si="32"/>
        <v>-318999.05</v>
      </c>
      <c r="Y138" s="2"/>
      <c r="Z138" s="6">
        <f t="shared" si="33"/>
        <v>-0.98477924980589904</v>
      </c>
    </row>
    <row r="139" spans="1:26" s="24" customFormat="1" hidden="1" outlineLevel="2" x14ac:dyDescent="0.25">
      <c r="A139" s="29"/>
      <c r="B139" s="11" t="str">
        <f>CONCATENATE("          ", "6009", " - ", "TEMPORARY-SEASONAL")</f>
        <v xml:space="preserve">          6009 - TEMPORARY-SEASONAL</v>
      </c>
      <c r="C139" s="11"/>
      <c r="D139" s="7"/>
      <c r="E139" s="2"/>
      <c r="F139" s="6">
        <f t="shared" si="26"/>
        <v>0</v>
      </c>
      <c r="G139" s="2"/>
      <c r="H139" s="7">
        <v>0</v>
      </c>
      <c r="I139" s="2"/>
      <c r="J139" s="6">
        <f t="shared" si="27"/>
        <v>0</v>
      </c>
      <c r="K139" s="2"/>
      <c r="L139" s="7">
        <f t="shared" si="28"/>
        <v>0</v>
      </c>
      <c r="M139" s="2"/>
      <c r="N139" s="6">
        <f t="shared" si="29"/>
        <v>0</v>
      </c>
      <c r="O139" s="11"/>
      <c r="P139" s="7"/>
      <c r="Q139" s="2"/>
      <c r="R139" s="6">
        <f t="shared" si="30"/>
        <v>0</v>
      </c>
      <c r="S139" s="2"/>
      <c r="T139" s="7">
        <v>0</v>
      </c>
      <c r="U139" s="2"/>
      <c r="V139" s="6">
        <f t="shared" si="31"/>
        <v>0</v>
      </c>
      <c r="W139" s="2"/>
      <c r="X139" s="7">
        <f t="shared" si="32"/>
        <v>0</v>
      </c>
      <c r="Y139" s="2"/>
      <c r="Z139" s="6">
        <f t="shared" si="33"/>
        <v>0</v>
      </c>
    </row>
    <row r="140" spans="1:26" s="24" customFormat="1" hidden="1" outlineLevel="2" x14ac:dyDescent="0.25">
      <c r="A140" s="29"/>
      <c r="B140" s="11" t="str">
        <f>CONCATENATE("          ", "6010", " - ", "GRATUITY")</f>
        <v xml:space="preserve">          6010 - GRATUITY</v>
      </c>
      <c r="C140" s="11"/>
      <c r="D140" s="7"/>
      <c r="E140" s="2"/>
      <c r="F140" s="6">
        <f t="shared" si="26"/>
        <v>0</v>
      </c>
      <c r="G140" s="2"/>
      <c r="H140" s="7">
        <v>0</v>
      </c>
      <c r="I140" s="2"/>
      <c r="J140" s="6">
        <f t="shared" si="27"/>
        <v>0</v>
      </c>
      <c r="K140" s="2"/>
      <c r="L140" s="7">
        <f t="shared" si="28"/>
        <v>0</v>
      </c>
      <c r="M140" s="2"/>
      <c r="N140" s="6">
        <f t="shared" si="29"/>
        <v>0</v>
      </c>
      <c r="O140" s="11"/>
      <c r="P140" s="7"/>
      <c r="Q140" s="2"/>
      <c r="R140" s="6">
        <f t="shared" si="30"/>
        <v>0</v>
      </c>
      <c r="S140" s="2"/>
      <c r="T140" s="7">
        <v>0</v>
      </c>
      <c r="U140" s="2"/>
      <c r="V140" s="6">
        <f t="shared" si="31"/>
        <v>0</v>
      </c>
      <c r="W140" s="2"/>
      <c r="X140" s="7">
        <f t="shared" si="32"/>
        <v>0</v>
      </c>
      <c r="Y140" s="2"/>
      <c r="Z140" s="6">
        <f t="shared" si="33"/>
        <v>0</v>
      </c>
    </row>
    <row r="141" spans="1:26" s="28" customFormat="1" outlineLevel="1" collapsed="1" x14ac:dyDescent="0.25">
      <c r="A141" s="27"/>
      <c r="B141" s="14" t="str">
        <f>CONCATENATE("     ","Advertising/Promo                                 ")</f>
        <v xml:space="preserve">     Advertising/Promo                                 </v>
      </c>
      <c r="C141" s="14"/>
      <c r="D141" s="1">
        <f>SUM(OSRRefD22_2x_0)</f>
        <v>343.98</v>
      </c>
      <c r="E141" s="1"/>
      <c r="F141" s="5">
        <f t="shared" ref="F141:F145" si="34">IF(D$12=0,0,D141/D$12)</f>
        <v>1.472317074726234E-3</v>
      </c>
      <c r="G141" s="1"/>
      <c r="H141" s="1">
        <f>SUM(OSRRefH22_2x_0)</f>
        <v>1557</v>
      </c>
      <c r="I141" s="1"/>
      <c r="J141" s="5">
        <f t="shared" ref="J141:J145" si="35">IF(H$12=0,0,H141/H$12)</f>
        <v>3.9304584020174839E-3</v>
      </c>
      <c r="K141" s="1"/>
      <c r="L141" s="1">
        <f t="shared" ref="L141:L145" si="36">+D141-H141</f>
        <v>-1213.02</v>
      </c>
      <c r="M141" s="1"/>
      <c r="N141" s="5">
        <f t="shared" ref="N141:N145" si="37">IF(H141=0,0,L141/H141)</f>
        <v>-0.77907514450867055</v>
      </c>
      <c r="O141" s="14"/>
      <c r="P141" s="1">
        <f>SUM(OSRRefP22_2x_0)</f>
        <v>14702.51</v>
      </c>
      <c r="Q141" s="1"/>
      <c r="R141" s="5">
        <f t="shared" ref="R141:R145" si="38">IF(P$12=0,0,P141/P$12)</f>
        <v>5.4429527060060141E-3</v>
      </c>
      <c r="S141" s="1"/>
      <c r="T141" s="1">
        <f>SUM(OSRRefT22_2x_0)</f>
        <v>8748</v>
      </c>
      <c r="U141" s="1"/>
      <c r="V141" s="5">
        <f t="shared" ref="V141:V145" si="39">IF(T$12=0,0,T141/T$12)</f>
        <v>1.7861095072150821E-3</v>
      </c>
      <c r="W141" s="1"/>
      <c r="X141" s="1">
        <f t="shared" ref="X141:X145" si="40">+P141-T141</f>
        <v>5954.51</v>
      </c>
      <c r="Y141" s="1"/>
      <c r="Z141" s="5">
        <f t="shared" ref="Z141:Z145" si="41">IF(T141=0,0,X141/T141)</f>
        <v>0.68067101051668955</v>
      </c>
    </row>
    <row r="142" spans="1:26" s="24" customFormat="1" hidden="1" outlineLevel="2" x14ac:dyDescent="0.25">
      <c r="A142" s="29"/>
      <c r="B142" s="11" t="str">
        <f>CONCATENATE("          ", "6362", " - ", "ADVERTISING EXPENSE")</f>
        <v xml:space="preserve">          6362 - ADVERTISING EXPENSE</v>
      </c>
      <c r="C142" s="11"/>
      <c r="D142" s="7">
        <v>343.98</v>
      </c>
      <c r="E142" s="2"/>
      <c r="F142" s="6">
        <f t="shared" si="34"/>
        <v>1.472317074726234E-3</v>
      </c>
      <c r="G142" s="2"/>
      <c r="H142" s="7">
        <v>1557</v>
      </c>
      <c r="I142" s="2"/>
      <c r="J142" s="6">
        <f t="shared" si="35"/>
        <v>3.9304584020174839E-3</v>
      </c>
      <c r="K142" s="2"/>
      <c r="L142" s="7">
        <f t="shared" si="36"/>
        <v>-1213.02</v>
      </c>
      <c r="M142" s="2"/>
      <c r="N142" s="6">
        <f t="shared" si="37"/>
        <v>-0.77907514450867055</v>
      </c>
      <c r="O142" s="11"/>
      <c r="P142" s="7">
        <v>14702.51</v>
      </c>
      <c r="Q142" s="2"/>
      <c r="R142" s="6">
        <f t="shared" si="38"/>
        <v>5.4429527060060141E-3</v>
      </c>
      <c r="S142" s="2"/>
      <c r="T142" s="7">
        <v>8748</v>
      </c>
      <c r="U142" s="2"/>
      <c r="V142" s="6">
        <f t="shared" si="39"/>
        <v>1.7861095072150821E-3</v>
      </c>
      <c r="W142" s="2"/>
      <c r="X142" s="7">
        <f t="shared" si="40"/>
        <v>5954.51</v>
      </c>
      <c r="Y142" s="2"/>
      <c r="Z142" s="6">
        <f t="shared" si="41"/>
        <v>0.68067101051668955</v>
      </c>
    </row>
    <row r="143" spans="1:26" s="28" customFormat="1" outlineLevel="1" collapsed="1" x14ac:dyDescent="0.25">
      <c r="A143" s="27"/>
      <c r="B143" s="14" t="str">
        <f>CONCATENATE("     ","Bad Debts/Over/Short                              ")</f>
        <v xml:space="preserve">     Bad Debts/Over/Short                              </v>
      </c>
      <c r="C143" s="14"/>
      <c r="D143" s="1">
        <f>SUM(OSRRefD22_3x_0)</f>
        <v>-5.34</v>
      </c>
      <c r="E143" s="1"/>
      <c r="F143" s="5">
        <f t="shared" si="34"/>
        <v>-2.2856483455544186E-5</v>
      </c>
      <c r="G143" s="1"/>
      <c r="H143" s="1">
        <f>SUM(OSRRefH22_3x_0)</f>
        <v>118</v>
      </c>
      <c r="I143" s="1"/>
      <c r="J143" s="5">
        <f t="shared" si="35"/>
        <v>2.9787674466156909E-4</v>
      </c>
      <c r="K143" s="1"/>
      <c r="L143" s="1">
        <f t="shared" si="36"/>
        <v>-123.34</v>
      </c>
      <c r="M143" s="1"/>
      <c r="N143" s="5">
        <f t="shared" si="37"/>
        <v>-1.0452542372881357</v>
      </c>
      <c r="O143" s="14"/>
      <c r="P143" s="1">
        <f>SUM(OSRRefP22_3x_0)</f>
        <v>49.27</v>
      </c>
      <c r="Q143" s="1"/>
      <c r="R143" s="5">
        <f t="shared" si="38"/>
        <v>1.8240033832652813E-5</v>
      </c>
      <c r="S143" s="1"/>
      <c r="T143" s="1">
        <f>SUM(OSRRefT22_3x_0)</f>
        <v>714</v>
      </c>
      <c r="U143" s="1"/>
      <c r="V143" s="5">
        <f t="shared" si="39"/>
        <v>1.4577985689889902E-4</v>
      </c>
      <c r="W143" s="1"/>
      <c r="X143" s="1">
        <f t="shared" si="40"/>
        <v>-664.73</v>
      </c>
      <c r="Y143" s="1"/>
      <c r="Z143" s="5">
        <f t="shared" si="41"/>
        <v>-0.93099439775910364</v>
      </c>
    </row>
    <row r="144" spans="1:26" s="24" customFormat="1" hidden="1" outlineLevel="2" x14ac:dyDescent="0.25">
      <c r="A144" s="29"/>
      <c r="B144" s="11" t="str">
        <f>CONCATENATE("          ", "6272", " - ", "CASH (OVER/SHORT)")</f>
        <v xml:space="preserve">          6272 - CASH (OVER/SHORT)</v>
      </c>
      <c r="C144" s="11"/>
      <c r="D144" s="7">
        <v>-5.34</v>
      </c>
      <c r="E144" s="2"/>
      <c r="F144" s="6">
        <f t="shared" si="34"/>
        <v>-2.2856483455544186E-5</v>
      </c>
      <c r="G144" s="2"/>
      <c r="H144" s="7">
        <v>68</v>
      </c>
      <c r="I144" s="2"/>
      <c r="J144" s="6">
        <f t="shared" si="35"/>
        <v>1.7165778505920932E-4</v>
      </c>
      <c r="K144" s="2"/>
      <c r="L144" s="7">
        <f t="shared" si="36"/>
        <v>-73.34</v>
      </c>
      <c r="M144" s="2"/>
      <c r="N144" s="6">
        <f t="shared" si="37"/>
        <v>-1.078529411764706</v>
      </c>
      <c r="O144" s="11"/>
      <c r="P144" s="7">
        <v>49.27</v>
      </c>
      <c r="Q144" s="2"/>
      <c r="R144" s="6">
        <f t="shared" si="38"/>
        <v>1.8240033832652813E-5</v>
      </c>
      <c r="S144" s="2"/>
      <c r="T144" s="7">
        <v>414</v>
      </c>
      <c r="U144" s="2"/>
      <c r="V144" s="6">
        <f t="shared" si="39"/>
        <v>8.4527816185075904E-5</v>
      </c>
      <c r="W144" s="2"/>
      <c r="X144" s="7">
        <f t="shared" si="40"/>
        <v>-364.73</v>
      </c>
      <c r="Y144" s="2"/>
      <c r="Z144" s="6">
        <f t="shared" si="41"/>
        <v>-0.88099033816425121</v>
      </c>
    </row>
    <row r="145" spans="1:26" s="24" customFormat="1" hidden="1" outlineLevel="2" x14ac:dyDescent="0.25">
      <c r="A145" s="29"/>
      <c r="B145" s="11" t="str">
        <f>CONCATENATE("          ", "6342", " - ", "BAD DEBT")</f>
        <v xml:space="preserve">          6342 - BAD DEBT</v>
      </c>
      <c r="C145" s="11"/>
      <c r="D145" s="7"/>
      <c r="E145" s="2"/>
      <c r="F145" s="6">
        <f t="shared" si="34"/>
        <v>0</v>
      </c>
      <c r="G145" s="2"/>
      <c r="H145" s="7">
        <v>50</v>
      </c>
      <c r="I145" s="2"/>
      <c r="J145" s="6">
        <f t="shared" si="35"/>
        <v>1.262189596023598E-4</v>
      </c>
      <c r="K145" s="2"/>
      <c r="L145" s="7">
        <f t="shared" si="36"/>
        <v>-50</v>
      </c>
      <c r="M145" s="2"/>
      <c r="N145" s="6">
        <f t="shared" si="37"/>
        <v>-1</v>
      </c>
      <c r="O145" s="11"/>
      <c r="P145" s="7"/>
      <c r="Q145" s="2"/>
      <c r="R145" s="6">
        <f t="shared" si="38"/>
        <v>0</v>
      </c>
      <c r="S145" s="2"/>
      <c r="T145" s="7">
        <v>300</v>
      </c>
      <c r="U145" s="2"/>
      <c r="V145" s="6">
        <f t="shared" si="39"/>
        <v>6.1252040713823117E-5</v>
      </c>
      <c r="W145" s="2"/>
      <c r="X145" s="7">
        <f t="shared" si="40"/>
        <v>-300</v>
      </c>
      <c r="Y145" s="2"/>
      <c r="Z145" s="6">
        <f t="shared" si="41"/>
        <v>-1</v>
      </c>
    </row>
    <row r="146" spans="1:26" s="28" customFormat="1" outlineLevel="1" collapsed="1" x14ac:dyDescent="0.25">
      <c r="A146" s="27"/>
      <c r="B146" s="14" t="str">
        <f>CONCATENATE("     ","Bank/card Fees                                    ")</f>
        <v xml:space="preserve">     Bank/card Fees                                    </v>
      </c>
      <c r="C146" s="14"/>
      <c r="D146" s="1">
        <f>SUM(OSRRefD22_4x_0)</f>
        <v>5488.4</v>
      </c>
      <c r="E146" s="1"/>
      <c r="F146" s="5">
        <f t="shared" ref="F146:F150" si="42">IF(D$12=0,0,D146/D$12)</f>
        <v>2.3491671123110243E-2</v>
      </c>
      <c r="G146" s="1"/>
      <c r="H146" s="1">
        <f>SUM(OSRRefH22_4x_0)</f>
        <v>34248</v>
      </c>
      <c r="I146" s="1"/>
      <c r="J146" s="5">
        <f t="shared" ref="J146:J150" si="43">IF(H$12=0,0,H146/H$12)</f>
        <v>8.6454938569232365E-2</v>
      </c>
      <c r="K146" s="1"/>
      <c r="L146" s="1">
        <f t="shared" ref="L146:L150" si="44">+D146-H146</f>
        <v>-28759.599999999999</v>
      </c>
      <c r="M146" s="1"/>
      <c r="N146" s="5">
        <f t="shared" ref="N146:N150" si="45">IF(H146=0,0,L146/H146)</f>
        <v>-0.83974538659191778</v>
      </c>
      <c r="O146" s="14"/>
      <c r="P146" s="1">
        <f>SUM(OSRRefP22_4x_0)</f>
        <v>47710.11</v>
      </c>
      <c r="Q146" s="1"/>
      <c r="R146" s="5">
        <f t="shared" ref="R146:R150" si="46">IF(P$12=0,0,P146/P$12)</f>
        <v>1.7662553695140804E-2</v>
      </c>
      <c r="S146" s="1"/>
      <c r="T146" s="1">
        <f>SUM(OSRRefT22_4x_0)</f>
        <v>141690</v>
      </c>
      <c r="U146" s="1"/>
      <c r="V146" s="5">
        <f t="shared" ref="V146:V150" si="47">IF(T$12=0,0,T146/T$12)</f>
        <v>2.8929338829138656E-2</v>
      </c>
      <c r="W146" s="1"/>
      <c r="X146" s="1">
        <f t="shared" ref="X146:X150" si="48">+P146-T146</f>
        <v>-93979.89</v>
      </c>
      <c r="Y146" s="1"/>
      <c r="Z146" s="5">
        <f t="shared" ref="Z146:Z150" si="49">IF(T146=0,0,X146/T146)</f>
        <v>-0.66327821300021172</v>
      </c>
    </row>
    <row r="147" spans="1:26" s="24" customFormat="1" hidden="1" outlineLevel="2" x14ac:dyDescent="0.25">
      <c r="A147" s="29"/>
      <c r="B147" s="11" t="str">
        <f>CONCATENATE("          ", "6381", " - ", "BANK/CREDIT CARD FEES")</f>
        <v xml:space="preserve">          6381 - BANK/CREDIT CARD FEES</v>
      </c>
      <c r="C147" s="11"/>
      <c r="D147" s="7">
        <v>5488.4</v>
      </c>
      <c r="E147" s="2"/>
      <c r="F147" s="6">
        <f t="shared" si="42"/>
        <v>2.3491671123110243E-2</v>
      </c>
      <c r="G147" s="2"/>
      <c r="H147" s="7">
        <v>34248</v>
      </c>
      <c r="I147" s="2"/>
      <c r="J147" s="6">
        <f t="shared" si="43"/>
        <v>8.6454938569232365E-2</v>
      </c>
      <c r="K147" s="2"/>
      <c r="L147" s="7">
        <f t="shared" si="44"/>
        <v>-28759.599999999999</v>
      </c>
      <c r="M147" s="2"/>
      <c r="N147" s="6">
        <f t="shared" si="45"/>
        <v>-0.83974538659191778</v>
      </c>
      <c r="O147" s="11"/>
      <c r="P147" s="7">
        <v>47710.11</v>
      </c>
      <c r="Q147" s="2"/>
      <c r="R147" s="6">
        <f t="shared" si="46"/>
        <v>1.7662553695140804E-2</v>
      </c>
      <c r="S147" s="2"/>
      <c r="T147" s="7">
        <v>141690</v>
      </c>
      <c r="U147" s="2"/>
      <c r="V147" s="6">
        <f t="shared" si="47"/>
        <v>2.8929338829138656E-2</v>
      </c>
      <c r="W147" s="2"/>
      <c r="X147" s="7">
        <f t="shared" si="48"/>
        <v>-93979.89</v>
      </c>
      <c r="Y147" s="2"/>
      <c r="Z147" s="6">
        <f t="shared" si="49"/>
        <v>-0.66327821300021172</v>
      </c>
    </row>
    <row r="148" spans="1:26" s="28" customFormat="1" outlineLevel="1" collapsed="1" x14ac:dyDescent="0.25">
      <c r="A148" s="27"/>
      <c r="B148" s="14" t="str">
        <f>CONCATENATE("     ","Depreciation                                      ")</f>
        <v xml:space="preserve">     Depreciation                                      </v>
      </c>
      <c r="C148" s="14"/>
      <c r="D148" s="1">
        <f>SUM(OSRRefD22_5x_0)</f>
        <v>39887.94</v>
      </c>
      <c r="E148" s="1"/>
      <c r="F148" s="5">
        <f t="shared" si="42"/>
        <v>0.17072997016586877</v>
      </c>
      <c r="G148" s="1"/>
      <c r="H148" s="1">
        <f>SUM(OSRRefH22_5x_0)</f>
        <v>38857</v>
      </c>
      <c r="I148" s="1"/>
      <c r="J148" s="5">
        <f t="shared" si="43"/>
        <v>9.808980226537789E-2</v>
      </c>
      <c r="K148" s="1"/>
      <c r="L148" s="1">
        <f t="shared" si="44"/>
        <v>1030.9400000000023</v>
      </c>
      <c r="M148" s="1"/>
      <c r="N148" s="5">
        <f t="shared" si="45"/>
        <v>2.6531641660447341E-2</v>
      </c>
      <c r="O148" s="14"/>
      <c r="P148" s="1">
        <f>SUM(OSRRefP22_5x_0)</f>
        <v>239804.41</v>
      </c>
      <c r="Q148" s="1"/>
      <c r="R148" s="5">
        <f t="shared" si="46"/>
        <v>8.8776954569095734E-2</v>
      </c>
      <c r="S148" s="1"/>
      <c r="T148" s="1">
        <f>SUM(OSRRefT22_5x_0)</f>
        <v>234598</v>
      </c>
      <c r="U148" s="1"/>
      <c r="V148" s="5">
        <f t="shared" si="47"/>
        <v>4.7898687491271581E-2</v>
      </c>
      <c r="W148" s="1"/>
      <c r="X148" s="1">
        <f t="shared" si="48"/>
        <v>5206.4100000000035</v>
      </c>
      <c r="Y148" s="1"/>
      <c r="Z148" s="5">
        <f t="shared" si="49"/>
        <v>2.2192900195227596E-2</v>
      </c>
    </row>
    <row r="149" spans="1:26" s="24" customFormat="1" hidden="1" outlineLevel="2" x14ac:dyDescent="0.25">
      <c r="A149" s="29"/>
      <c r="B149" s="11" t="str">
        <f>CONCATENATE("          ", "6321", " - ", "BUILDING DEPRECIATION")</f>
        <v xml:space="preserve">          6321 - BUILDING DEPRECIATION</v>
      </c>
      <c r="C149" s="11"/>
      <c r="D149" s="7">
        <v>21477.030000000002</v>
      </c>
      <c r="E149" s="2"/>
      <c r="F149" s="6">
        <f t="shared" si="42"/>
        <v>9.1926850350042361E-2</v>
      </c>
      <c r="G149" s="2"/>
      <c r="H149" s="7"/>
      <c r="I149" s="2"/>
      <c r="J149" s="6">
        <f t="shared" si="43"/>
        <v>0</v>
      </c>
      <c r="K149" s="2"/>
      <c r="L149" s="7">
        <f t="shared" si="44"/>
        <v>21477.030000000002</v>
      </c>
      <c r="M149" s="2"/>
      <c r="N149" s="6">
        <f t="shared" si="45"/>
        <v>0</v>
      </c>
      <c r="O149" s="11"/>
      <c r="P149" s="7">
        <v>128862.18000000001</v>
      </c>
      <c r="Q149" s="2"/>
      <c r="R149" s="6">
        <f t="shared" si="46"/>
        <v>4.7705510918396525E-2</v>
      </c>
      <c r="S149" s="2"/>
      <c r="T149" s="7"/>
      <c r="U149" s="2"/>
      <c r="V149" s="6">
        <f t="shared" si="47"/>
        <v>0</v>
      </c>
      <c r="W149" s="2"/>
      <c r="X149" s="7">
        <f t="shared" si="48"/>
        <v>128862.18000000001</v>
      </c>
      <c r="Y149" s="2"/>
      <c r="Z149" s="6">
        <f t="shared" si="49"/>
        <v>0</v>
      </c>
    </row>
    <row r="150" spans="1:26" s="24" customFormat="1" hidden="1" outlineLevel="2" x14ac:dyDescent="0.25">
      <c r="A150" s="29"/>
      <c r="B150" s="11" t="str">
        <f>CONCATENATE("          ", "6322", " - ", "EQUIPMENT DEPRECIATION EXPENSE")</f>
        <v xml:space="preserve">          6322 - EQUIPMENT DEPRECIATION EXPENSE</v>
      </c>
      <c r="C150" s="11"/>
      <c r="D150" s="7">
        <v>18410.91</v>
      </c>
      <c r="E150" s="2"/>
      <c r="F150" s="6">
        <f t="shared" si="42"/>
        <v>7.8803119815826411E-2</v>
      </c>
      <c r="G150" s="2"/>
      <c r="H150" s="7">
        <v>38857</v>
      </c>
      <c r="I150" s="2"/>
      <c r="J150" s="6">
        <f t="shared" si="43"/>
        <v>9.808980226537789E-2</v>
      </c>
      <c r="K150" s="2"/>
      <c r="L150" s="7">
        <f t="shared" si="44"/>
        <v>-20446.09</v>
      </c>
      <c r="M150" s="2"/>
      <c r="N150" s="6">
        <f t="shared" si="45"/>
        <v>-0.52618807422086111</v>
      </c>
      <c r="O150" s="11"/>
      <c r="P150" s="7">
        <v>110942.23</v>
      </c>
      <c r="Q150" s="2"/>
      <c r="R150" s="6">
        <f t="shared" si="46"/>
        <v>4.1071443650699209E-2</v>
      </c>
      <c r="S150" s="2"/>
      <c r="T150" s="7">
        <v>234598</v>
      </c>
      <c r="U150" s="2"/>
      <c r="V150" s="6">
        <f t="shared" si="47"/>
        <v>4.7898687491271581E-2</v>
      </c>
      <c r="W150" s="2"/>
      <c r="X150" s="7">
        <f t="shared" si="48"/>
        <v>-123655.77</v>
      </c>
      <c r="Y150" s="2"/>
      <c r="Z150" s="6">
        <f t="shared" si="49"/>
        <v>-0.52709643730978095</v>
      </c>
    </row>
    <row r="151" spans="1:26" s="28" customFormat="1" outlineLevel="1" collapsed="1" x14ac:dyDescent="0.25">
      <c r="A151" s="27"/>
      <c r="B151" s="14" t="str">
        <f>CONCATENATE("     ","Discounts and Markdowns                           ")</f>
        <v xml:space="preserve">     Discounts and Markdowns                           </v>
      </c>
      <c r="C151" s="14"/>
      <c r="D151" s="1">
        <f>SUM(OSRRefD22_6x_0)</f>
        <v>0</v>
      </c>
      <c r="E151" s="1"/>
      <c r="F151" s="5">
        <f t="shared" ref="F151:F153" si="50">IF(D$12=0,0,D151/D$12)</f>
        <v>0</v>
      </c>
      <c r="G151" s="1"/>
      <c r="H151" s="1">
        <f>SUM(OSRRefH22_6x_0)</f>
        <v>24697</v>
      </c>
      <c r="I151" s="1"/>
      <c r="J151" s="5">
        <f t="shared" ref="J151:J153" si="51">IF(H$12=0,0,H151/H$12)</f>
        <v>6.2344592905989593E-2</v>
      </c>
      <c r="K151" s="1"/>
      <c r="L151" s="1">
        <f t="shared" ref="L151:L153" si="52">+D151-H151</f>
        <v>-24697</v>
      </c>
      <c r="M151" s="1"/>
      <c r="N151" s="5">
        <f t="shared" ref="N151:N153" si="53">IF(H151=0,0,L151/H151)</f>
        <v>-1</v>
      </c>
      <c r="O151" s="14"/>
      <c r="P151" s="1">
        <f>SUM(OSRRefP22_6x_0)</f>
        <v>0</v>
      </c>
      <c r="Q151" s="1"/>
      <c r="R151" s="5">
        <f t="shared" ref="R151:R153" si="54">IF(P$12=0,0,P151/P$12)</f>
        <v>0</v>
      </c>
      <c r="S151" s="1"/>
      <c r="T151" s="1">
        <f>SUM(OSRRefT22_6x_0)</f>
        <v>159823</v>
      </c>
      <c r="U151" s="1"/>
      <c r="V151" s="5">
        <f t="shared" ref="V151:V153" si="55">IF(T$12=0,0,T151/T$12)</f>
        <v>3.2631616343351176E-2</v>
      </c>
      <c r="W151" s="1"/>
      <c r="X151" s="1">
        <f t="shared" ref="X151:X153" si="56">+P151-T151</f>
        <v>-159823</v>
      </c>
      <c r="Y151" s="1"/>
      <c r="Z151" s="5">
        <f t="shared" ref="Z151:Z153" si="57">IF(T151=0,0,X151/T151)</f>
        <v>-1</v>
      </c>
    </row>
    <row r="152" spans="1:26" s="24" customFormat="1" hidden="1" outlineLevel="2" x14ac:dyDescent="0.25">
      <c r="A152" s="29"/>
      <c r="B152" s="11" t="str">
        <f>CONCATENATE("          ", "6382", " - ", "DISCOUNTS/MARK DOWNS")</f>
        <v xml:space="preserve">          6382 - DISCOUNTS/MARK DOWNS</v>
      </c>
      <c r="C152" s="11"/>
      <c r="D152" s="7"/>
      <c r="E152" s="2"/>
      <c r="F152" s="6">
        <f t="shared" si="50"/>
        <v>0</v>
      </c>
      <c r="G152" s="2"/>
      <c r="H152" s="7">
        <v>24697</v>
      </c>
      <c r="I152" s="2"/>
      <c r="J152" s="6">
        <f t="shared" si="51"/>
        <v>6.2344592905989593E-2</v>
      </c>
      <c r="K152" s="2"/>
      <c r="L152" s="7">
        <f t="shared" si="52"/>
        <v>-24697</v>
      </c>
      <c r="M152" s="2"/>
      <c r="N152" s="6">
        <f t="shared" si="53"/>
        <v>-1</v>
      </c>
      <c r="O152" s="11"/>
      <c r="P152" s="7">
        <v>0</v>
      </c>
      <c r="Q152" s="2"/>
      <c r="R152" s="6">
        <f t="shared" si="54"/>
        <v>0</v>
      </c>
      <c r="S152" s="2"/>
      <c r="T152" s="7">
        <v>159823</v>
      </c>
      <c r="U152" s="2"/>
      <c r="V152" s="6">
        <f t="shared" si="55"/>
        <v>3.2631616343351176E-2</v>
      </c>
      <c r="W152" s="2"/>
      <c r="X152" s="7">
        <f t="shared" si="56"/>
        <v>-159823</v>
      </c>
      <c r="Y152" s="2"/>
      <c r="Z152" s="6">
        <f t="shared" si="57"/>
        <v>-1</v>
      </c>
    </row>
    <row r="153" spans="1:26" s="24" customFormat="1" hidden="1" outlineLevel="2" x14ac:dyDescent="0.25">
      <c r="A153" s="29"/>
      <c r="B153" s="11" t="str">
        <f>CONCATENATE("          ", "9175", " - ", "EARNED DISCOUNTS")</f>
        <v xml:space="preserve">          9175 - EARNED DISCOUNTS</v>
      </c>
      <c r="C153" s="11"/>
      <c r="D153" s="7"/>
      <c r="E153" s="2"/>
      <c r="F153" s="6">
        <f t="shared" si="50"/>
        <v>0</v>
      </c>
      <c r="G153" s="2"/>
      <c r="H153" s="7"/>
      <c r="I153" s="2"/>
      <c r="J153" s="6">
        <f t="shared" si="51"/>
        <v>0</v>
      </c>
      <c r="K153" s="2"/>
      <c r="L153" s="7">
        <f t="shared" si="52"/>
        <v>0</v>
      </c>
      <c r="M153" s="2"/>
      <c r="N153" s="6">
        <f t="shared" si="53"/>
        <v>0</v>
      </c>
      <c r="O153" s="11"/>
      <c r="P153" s="7">
        <v>0</v>
      </c>
      <c r="Q153" s="2"/>
      <c r="R153" s="6">
        <f t="shared" si="54"/>
        <v>0</v>
      </c>
      <c r="S153" s="2"/>
      <c r="T153" s="7"/>
      <c r="U153" s="2"/>
      <c r="V153" s="6">
        <f t="shared" si="55"/>
        <v>0</v>
      </c>
      <c r="W153" s="2"/>
      <c r="X153" s="7">
        <f t="shared" si="56"/>
        <v>0</v>
      </c>
      <c r="Y153" s="2"/>
      <c r="Z153" s="6">
        <f t="shared" si="57"/>
        <v>0</v>
      </c>
    </row>
    <row r="154" spans="1:26" s="28" customFormat="1" outlineLevel="1" collapsed="1" x14ac:dyDescent="0.25">
      <c r="A154" s="27"/>
      <c r="B154" s="14" t="str">
        <f>CONCATENATE("     ","Donations                                         ")</f>
        <v xml:space="preserve">     Donations                                         </v>
      </c>
      <c r="C154" s="14"/>
      <c r="D154" s="1">
        <f>SUM(OSRRefD22_7x_0)</f>
        <v>0</v>
      </c>
      <c r="E154" s="1"/>
      <c r="F154" s="5">
        <f t="shared" ref="F154:F156" si="58">IF(D$12=0,0,D154/D$12)</f>
        <v>0</v>
      </c>
      <c r="G154" s="1"/>
      <c r="H154" s="1">
        <f>SUM(OSRRefH22_7x_0)</f>
        <v>1000</v>
      </c>
      <c r="I154" s="1"/>
      <c r="J154" s="5">
        <f t="shared" ref="J154:J156" si="59">IF(H$12=0,0,H154/H$12)</f>
        <v>2.5243791920471956E-3</v>
      </c>
      <c r="K154" s="1"/>
      <c r="L154" s="1">
        <f t="shared" ref="L154:L156" si="60">+D154-H154</f>
        <v>-1000</v>
      </c>
      <c r="M154" s="1"/>
      <c r="N154" s="5">
        <f t="shared" ref="N154:N156" si="61">IF(H154=0,0,L154/H154)</f>
        <v>-1</v>
      </c>
      <c r="O154" s="14"/>
      <c r="P154" s="1">
        <f>SUM(OSRRefP22_7x_0)</f>
        <v>0</v>
      </c>
      <c r="Q154" s="1"/>
      <c r="R154" s="5">
        <f t="shared" ref="R154:R156" si="62">IF(P$12=0,0,P154/P$12)</f>
        <v>0</v>
      </c>
      <c r="S154" s="1"/>
      <c r="T154" s="1">
        <f>SUM(OSRRefT22_7x_0)</f>
        <v>6000</v>
      </c>
      <c r="U154" s="1"/>
      <c r="V154" s="5">
        <f t="shared" ref="V154:V156" si="63">IF(T$12=0,0,T154/T$12)</f>
        <v>1.2250408142764624E-3</v>
      </c>
      <c r="W154" s="1"/>
      <c r="X154" s="1">
        <f t="shared" ref="X154:X156" si="64">+P154-T154</f>
        <v>-6000</v>
      </c>
      <c r="Y154" s="1"/>
      <c r="Z154" s="5">
        <f t="shared" ref="Z154:Z156" si="65">IF(T154=0,0,X154/T154)</f>
        <v>-1</v>
      </c>
    </row>
    <row r="155" spans="1:26" s="24" customFormat="1" hidden="1" outlineLevel="2" x14ac:dyDescent="0.25">
      <c r="A155" s="29"/>
      <c r="B155" s="11" t="str">
        <f>CONCATENATE("          ", "6395", " - ", "DONATION-OFF CAMPUS")</f>
        <v xml:space="preserve">          6395 - DONATION-OFF CAMPUS</v>
      </c>
      <c r="C155" s="11"/>
      <c r="D155" s="7"/>
      <c r="E155" s="2"/>
      <c r="F155" s="6">
        <f t="shared" si="58"/>
        <v>0</v>
      </c>
      <c r="G155" s="2"/>
      <c r="H155" s="7"/>
      <c r="I155" s="2"/>
      <c r="J155" s="6">
        <f t="shared" si="59"/>
        <v>0</v>
      </c>
      <c r="K155" s="2"/>
      <c r="L155" s="7">
        <f t="shared" si="60"/>
        <v>0</v>
      </c>
      <c r="M155" s="2"/>
      <c r="N155" s="6">
        <f t="shared" si="61"/>
        <v>0</v>
      </c>
      <c r="O155" s="11"/>
      <c r="P155" s="7"/>
      <c r="Q155" s="2"/>
      <c r="R155" s="6">
        <f t="shared" si="62"/>
        <v>0</v>
      </c>
      <c r="S155" s="2"/>
      <c r="T155" s="7">
        <v>0</v>
      </c>
      <c r="U155" s="2"/>
      <c r="V155" s="6">
        <f t="shared" si="63"/>
        <v>0</v>
      </c>
      <c r="W155" s="2"/>
      <c r="X155" s="7">
        <f t="shared" si="64"/>
        <v>0</v>
      </c>
      <c r="Y155" s="2"/>
      <c r="Z155" s="6">
        <f t="shared" si="65"/>
        <v>0</v>
      </c>
    </row>
    <row r="156" spans="1:26" s="24" customFormat="1" hidden="1" outlineLevel="2" x14ac:dyDescent="0.25">
      <c r="A156" s="29"/>
      <c r="B156" s="11" t="str">
        <f>CONCATENATE("          ", "6399", " - ", "DONATION-ON CAMPUS")</f>
        <v xml:space="preserve">          6399 - DONATION-ON CAMPUS</v>
      </c>
      <c r="C156" s="11"/>
      <c r="D156" s="7"/>
      <c r="E156" s="2"/>
      <c r="F156" s="6">
        <f t="shared" si="58"/>
        <v>0</v>
      </c>
      <c r="G156" s="2"/>
      <c r="H156" s="7">
        <v>1000</v>
      </c>
      <c r="I156" s="2"/>
      <c r="J156" s="6">
        <f t="shared" si="59"/>
        <v>2.5243791920471956E-3</v>
      </c>
      <c r="K156" s="2"/>
      <c r="L156" s="7">
        <f t="shared" si="60"/>
        <v>-1000</v>
      </c>
      <c r="M156" s="2"/>
      <c r="N156" s="6">
        <f t="shared" si="61"/>
        <v>-1</v>
      </c>
      <c r="O156" s="11"/>
      <c r="P156" s="7"/>
      <c r="Q156" s="2"/>
      <c r="R156" s="6">
        <f t="shared" si="62"/>
        <v>0</v>
      </c>
      <c r="S156" s="2"/>
      <c r="T156" s="7">
        <v>6000</v>
      </c>
      <c r="U156" s="2"/>
      <c r="V156" s="6">
        <f t="shared" si="63"/>
        <v>1.2250408142764624E-3</v>
      </c>
      <c r="W156" s="2"/>
      <c r="X156" s="7">
        <f t="shared" si="64"/>
        <v>-6000</v>
      </c>
      <c r="Y156" s="2"/>
      <c r="Z156" s="6">
        <f t="shared" si="65"/>
        <v>-1</v>
      </c>
    </row>
    <row r="157" spans="1:26" s="28" customFormat="1" outlineLevel="1" collapsed="1" x14ac:dyDescent="0.25">
      <c r="A157" s="27"/>
      <c r="B157" s="14" t="str">
        <f>CONCATENATE("     ","Employees' Appreciation                           ")</f>
        <v xml:space="preserve">     Employees' Appreciation                           </v>
      </c>
      <c r="C157" s="14"/>
      <c r="D157" s="1">
        <f>SUM(OSRRefD22_8x_0)</f>
        <v>0</v>
      </c>
      <c r="E157" s="1"/>
      <c r="F157" s="5">
        <f t="shared" ref="F157:F163" si="66">IF(D$12=0,0,D157/D$12)</f>
        <v>0</v>
      </c>
      <c r="G157" s="1"/>
      <c r="H157" s="1">
        <f>SUM(OSRRefH22_8x_0)</f>
        <v>450</v>
      </c>
      <c r="I157" s="1"/>
      <c r="J157" s="5">
        <f t="shared" ref="J157:J163" si="67">IF(H$12=0,0,H157/H$12)</f>
        <v>1.135970636421238E-3</v>
      </c>
      <c r="K157" s="1"/>
      <c r="L157" s="1">
        <f t="shared" ref="L157:L163" si="68">+D157-H157</f>
        <v>-450</v>
      </c>
      <c r="M157" s="1"/>
      <c r="N157" s="5">
        <f t="shared" ref="N157:N163" si="69">IF(H157=0,0,L157/H157)</f>
        <v>-1</v>
      </c>
      <c r="O157" s="14"/>
      <c r="P157" s="1">
        <f>SUM(OSRRefP22_8x_0)</f>
        <v>107.7</v>
      </c>
      <c r="Q157" s="1"/>
      <c r="R157" s="5">
        <f t="shared" ref="R157:R163" si="70">IF(P$12=0,0,P157/P$12)</f>
        <v>3.9871151690211246E-5</v>
      </c>
      <c r="S157" s="1"/>
      <c r="T157" s="1">
        <f>SUM(OSRRefT22_8x_0)</f>
        <v>2500</v>
      </c>
      <c r="U157" s="1"/>
      <c r="V157" s="5">
        <f t="shared" ref="V157:V163" si="71">IF(T$12=0,0,T157/T$12)</f>
        <v>5.1043367261519262E-4</v>
      </c>
      <c r="W157" s="1"/>
      <c r="X157" s="1">
        <f t="shared" ref="X157:X163" si="72">+P157-T157</f>
        <v>-2392.3000000000002</v>
      </c>
      <c r="Y157" s="1"/>
      <c r="Z157" s="5">
        <f t="shared" ref="Z157:Z163" si="73">IF(T157=0,0,X157/T157)</f>
        <v>-0.9569200000000001</v>
      </c>
    </row>
    <row r="158" spans="1:26" s="24" customFormat="1" hidden="1" outlineLevel="2" x14ac:dyDescent="0.25">
      <c r="A158" s="29"/>
      <c r="B158" s="11" t="str">
        <f>CONCATENATE("          ", "6277", " - ", "EMPLOYEE APPRECIATION")</f>
        <v xml:space="preserve">          6277 - EMPLOYEE APPRECIATION</v>
      </c>
      <c r="C158" s="11"/>
      <c r="D158" s="7"/>
      <c r="E158" s="2"/>
      <c r="F158" s="6">
        <f t="shared" si="66"/>
        <v>0</v>
      </c>
      <c r="G158" s="2"/>
      <c r="H158" s="7">
        <v>450</v>
      </c>
      <c r="I158" s="2"/>
      <c r="J158" s="6">
        <f t="shared" si="67"/>
        <v>1.135970636421238E-3</v>
      </c>
      <c r="K158" s="2"/>
      <c r="L158" s="7">
        <f t="shared" si="68"/>
        <v>-450</v>
      </c>
      <c r="M158" s="2"/>
      <c r="N158" s="6">
        <f t="shared" si="69"/>
        <v>-1</v>
      </c>
      <c r="O158" s="11"/>
      <c r="P158" s="7">
        <v>107.7</v>
      </c>
      <c r="Q158" s="2"/>
      <c r="R158" s="6">
        <f t="shared" si="70"/>
        <v>3.9871151690211246E-5</v>
      </c>
      <c r="S158" s="2"/>
      <c r="T158" s="7">
        <v>2500</v>
      </c>
      <c r="U158" s="2"/>
      <c r="V158" s="6">
        <f t="shared" si="71"/>
        <v>5.1043367261519262E-4</v>
      </c>
      <c r="W158" s="2"/>
      <c r="X158" s="7">
        <f t="shared" si="72"/>
        <v>-2392.3000000000002</v>
      </c>
      <c r="Y158" s="2"/>
      <c r="Z158" s="6">
        <f t="shared" si="73"/>
        <v>-0.9569200000000001</v>
      </c>
    </row>
    <row r="159" spans="1:26" s="28" customFormat="1" outlineLevel="1" collapsed="1" x14ac:dyDescent="0.25">
      <c r="A159" s="27"/>
      <c r="B159" s="14" t="str">
        <f>CONCATENATE("     ","Equipment Rental                                  ")</f>
        <v xml:space="preserve">     Equipment Rental                                  </v>
      </c>
      <c r="C159" s="14"/>
      <c r="D159" s="1">
        <f>SUM(OSRRefD22_9x_0)</f>
        <v>1385.05</v>
      </c>
      <c r="E159" s="1"/>
      <c r="F159" s="5">
        <f t="shared" si="66"/>
        <v>5.9283468932774296E-3</v>
      </c>
      <c r="G159" s="1"/>
      <c r="H159" s="1">
        <f>SUM(OSRRefH22_9x_0)</f>
        <v>3152</v>
      </c>
      <c r="I159" s="1"/>
      <c r="J159" s="5">
        <f t="shared" si="67"/>
        <v>7.9568432133327611E-3</v>
      </c>
      <c r="K159" s="1"/>
      <c r="L159" s="1">
        <f t="shared" si="68"/>
        <v>-1766.95</v>
      </c>
      <c r="M159" s="1"/>
      <c r="N159" s="5">
        <f t="shared" si="69"/>
        <v>-0.56058058375634523</v>
      </c>
      <c r="O159" s="14"/>
      <c r="P159" s="1">
        <f>SUM(OSRRefP22_9x_0)</f>
        <v>9064.89</v>
      </c>
      <c r="Q159" s="1"/>
      <c r="R159" s="5">
        <f t="shared" si="70"/>
        <v>3.3558737627212534E-3</v>
      </c>
      <c r="S159" s="1"/>
      <c r="T159" s="1">
        <f>SUM(OSRRefT22_9x_0)</f>
        <v>18474</v>
      </c>
      <c r="U159" s="1"/>
      <c r="V159" s="5">
        <f t="shared" si="71"/>
        <v>3.7719006671572274E-3</v>
      </c>
      <c r="W159" s="1"/>
      <c r="X159" s="1">
        <f t="shared" si="72"/>
        <v>-9409.11</v>
      </c>
      <c r="Y159" s="1"/>
      <c r="Z159" s="5">
        <f t="shared" si="73"/>
        <v>-0.50931633647288088</v>
      </c>
    </row>
    <row r="160" spans="1:26" s="24" customFormat="1" hidden="1" outlineLevel="2" x14ac:dyDescent="0.25">
      <c r="A160" s="29"/>
      <c r="B160" s="11" t="str">
        <f>CONCATENATE("          ", "6351", " - ", "EQUIPMENT RENTAL")</f>
        <v xml:space="preserve">          6351 - EQUIPMENT RENTAL</v>
      </c>
      <c r="C160" s="11"/>
      <c r="D160" s="7">
        <v>1385.05</v>
      </c>
      <c r="E160" s="2"/>
      <c r="F160" s="6">
        <f t="shared" si="66"/>
        <v>5.9283468932774296E-3</v>
      </c>
      <c r="G160" s="2"/>
      <c r="H160" s="7">
        <v>3152</v>
      </c>
      <c r="I160" s="2"/>
      <c r="J160" s="6">
        <f t="shared" si="67"/>
        <v>7.9568432133327611E-3</v>
      </c>
      <c r="K160" s="2"/>
      <c r="L160" s="7">
        <f t="shared" si="68"/>
        <v>-1766.95</v>
      </c>
      <c r="M160" s="2"/>
      <c r="N160" s="6">
        <f t="shared" si="69"/>
        <v>-0.56058058375634523</v>
      </c>
      <c r="O160" s="11"/>
      <c r="P160" s="7">
        <v>9064.89</v>
      </c>
      <c r="Q160" s="2"/>
      <c r="R160" s="6">
        <f t="shared" si="70"/>
        <v>3.3558737627212534E-3</v>
      </c>
      <c r="S160" s="2"/>
      <c r="T160" s="7">
        <v>18474</v>
      </c>
      <c r="U160" s="2"/>
      <c r="V160" s="6">
        <f t="shared" si="71"/>
        <v>3.7719006671572274E-3</v>
      </c>
      <c r="W160" s="2"/>
      <c r="X160" s="7">
        <f t="shared" si="72"/>
        <v>-9409.11</v>
      </c>
      <c r="Y160" s="2"/>
      <c r="Z160" s="6">
        <f t="shared" si="73"/>
        <v>-0.50931633647288088</v>
      </c>
    </row>
    <row r="161" spans="1:26" s="28" customFormat="1" outlineLevel="1" collapsed="1" x14ac:dyDescent="0.25">
      <c r="A161" s="27"/>
      <c r="B161" s="14" t="str">
        <f>CONCATENATE("     ","Freight out/Postage                               ")</f>
        <v xml:space="preserve">     Freight out/Postage                               </v>
      </c>
      <c r="C161" s="14"/>
      <c r="D161" s="1">
        <f>SUM(OSRRefD22_10x_0)</f>
        <v>4309.8500000000004</v>
      </c>
      <c r="E161" s="1"/>
      <c r="F161" s="5">
        <f t="shared" si="66"/>
        <v>1.8447193861587476E-2</v>
      </c>
      <c r="G161" s="1"/>
      <c r="H161" s="1">
        <f>SUM(OSRRefH22_10x_0)</f>
        <v>8578</v>
      </c>
      <c r="I161" s="1"/>
      <c r="J161" s="5">
        <f t="shared" si="67"/>
        <v>2.1654124709380846E-2</v>
      </c>
      <c r="K161" s="1"/>
      <c r="L161" s="1">
        <f t="shared" si="68"/>
        <v>-4268.1499999999996</v>
      </c>
      <c r="M161" s="1"/>
      <c r="N161" s="5">
        <f t="shared" si="69"/>
        <v>-0.49756936348799252</v>
      </c>
      <c r="O161" s="14"/>
      <c r="P161" s="1">
        <f>SUM(OSRRefP22_10x_0)</f>
        <v>-14939.599999999991</v>
      </c>
      <c r="Q161" s="1"/>
      <c r="R161" s="5">
        <f t="shared" si="70"/>
        <v>-5.5307247705764116E-3</v>
      </c>
      <c r="S161" s="1"/>
      <c r="T161" s="1">
        <f>SUM(OSRRefT22_10x_0)</f>
        <v>52075</v>
      </c>
      <c r="U161" s="1"/>
      <c r="V161" s="5">
        <f t="shared" si="71"/>
        <v>1.0632333400574463E-2</v>
      </c>
      <c r="W161" s="1"/>
      <c r="X161" s="1">
        <f t="shared" si="72"/>
        <v>-67014.599999999991</v>
      </c>
      <c r="Y161" s="1"/>
      <c r="Z161" s="5">
        <f t="shared" si="73"/>
        <v>-1.2868862217954871</v>
      </c>
    </row>
    <row r="162" spans="1:26" s="24" customFormat="1" hidden="1" outlineLevel="2" x14ac:dyDescent="0.25">
      <c r="A162" s="29"/>
      <c r="B162" s="11" t="str">
        <f>CONCATENATE("          ", "6305", " - ", "FREIGHT OUT")</f>
        <v xml:space="preserve">          6305 - FREIGHT OUT</v>
      </c>
      <c r="C162" s="11"/>
      <c r="D162" s="7">
        <v>13716.42</v>
      </c>
      <c r="E162" s="2"/>
      <c r="F162" s="6">
        <f t="shared" si="66"/>
        <v>5.8709574306984154E-2</v>
      </c>
      <c r="G162" s="2"/>
      <c r="H162" s="7">
        <v>5058</v>
      </c>
      <c r="I162" s="2"/>
      <c r="J162" s="6">
        <f t="shared" si="67"/>
        <v>1.2768309953374716E-2</v>
      </c>
      <c r="K162" s="2"/>
      <c r="L162" s="7">
        <f t="shared" si="68"/>
        <v>8658.42</v>
      </c>
      <c r="M162" s="2"/>
      <c r="N162" s="6">
        <f t="shared" si="69"/>
        <v>1.7118268090154212</v>
      </c>
      <c r="O162" s="11"/>
      <c r="P162" s="7">
        <v>116882.77</v>
      </c>
      <c r="Q162" s="2"/>
      <c r="R162" s="6">
        <f t="shared" si="70"/>
        <v>4.3270665298440786E-2</v>
      </c>
      <c r="S162" s="2"/>
      <c r="T162" s="7">
        <v>32705</v>
      </c>
      <c r="U162" s="2"/>
      <c r="V162" s="6">
        <f t="shared" si="71"/>
        <v>6.6774933051519502E-3</v>
      </c>
      <c r="W162" s="2"/>
      <c r="X162" s="7">
        <f t="shared" si="72"/>
        <v>84177.77</v>
      </c>
      <c r="Y162" s="2"/>
      <c r="Z162" s="6">
        <f t="shared" si="73"/>
        <v>2.5738501758140959</v>
      </c>
    </row>
    <row r="163" spans="1:26" s="24" customFormat="1" hidden="1" outlineLevel="2" x14ac:dyDescent="0.25">
      <c r="A163" s="29"/>
      <c r="B163" s="11" t="str">
        <f>CONCATENATE("          ", "6307", " - ", "POSTAGE")</f>
        <v xml:space="preserve">          6307 - POSTAGE</v>
      </c>
      <c r="C163" s="11"/>
      <c r="D163" s="7">
        <v>-9406.57</v>
      </c>
      <c r="E163" s="2"/>
      <c r="F163" s="6">
        <f t="shared" si="66"/>
        <v>-4.0262380445396678E-2</v>
      </c>
      <c r="G163" s="2"/>
      <c r="H163" s="7">
        <v>3520</v>
      </c>
      <c r="I163" s="2"/>
      <c r="J163" s="6">
        <f t="shared" si="67"/>
        <v>8.8858147560061298E-3</v>
      </c>
      <c r="K163" s="2"/>
      <c r="L163" s="7">
        <f t="shared" si="68"/>
        <v>-12926.57</v>
      </c>
      <c r="M163" s="2"/>
      <c r="N163" s="6">
        <f t="shared" si="69"/>
        <v>-3.6723210227272727</v>
      </c>
      <c r="O163" s="11"/>
      <c r="P163" s="7">
        <v>-131822.37</v>
      </c>
      <c r="Q163" s="2"/>
      <c r="R163" s="6">
        <f t="shared" si="70"/>
        <v>-4.8801390069017195E-2</v>
      </c>
      <c r="S163" s="2"/>
      <c r="T163" s="7">
        <v>19370</v>
      </c>
      <c r="U163" s="2"/>
      <c r="V163" s="6">
        <f t="shared" si="71"/>
        <v>3.9548400954225122E-3</v>
      </c>
      <c r="W163" s="2"/>
      <c r="X163" s="7">
        <f t="shared" si="72"/>
        <v>-151192.37</v>
      </c>
      <c r="Y163" s="2"/>
      <c r="Z163" s="6">
        <f t="shared" si="73"/>
        <v>-7.8054914816726892</v>
      </c>
    </row>
    <row r="164" spans="1:26" s="28" customFormat="1" outlineLevel="1" collapsed="1" x14ac:dyDescent="0.25">
      <c r="A164" s="27"/>
      <c r="B164" s="14" t="str">
        <f>CONCATENATE("     ","General                                           ")</f>
        <v xml:space="preserve">     General                                           </v>
      </c>
      <c r="C164" s="14"/>
      <c r="D164" s="1">
        <f>SUM(OSRRefD22_11x_0)</f>
        <v>3030.85</v>
      </c>
      <c r="E164" s="1"/>
      <c r="F164" s="5">
        <f t="shared" ref="F164:F167" si="74">IF(D$12=0,0,D164/D$12)</f>
        <v>1.2972766457160317E-2</v>
      </c>
      <c r="G164" s="1"/>
      <c r="H164" s="1">
        <f>SUM(OSRRefH22_11x_0)</f>
        <v>700</v>
      </c>
      <c r="I164" s="1"/>
      <c r="J164" s="5">
        <f t="shared" ref="J164:J167" si="75">IF(H$12=0,0,H164/H$12)</f>
        <v>1.767065434433037E-3</v>
      </c>
      <c r="K164" s="1"/>
      <c r="L164" s="1">
        <f t="shared" ref="L164:L167" si="76">+D164-H164</f>
        <v>2330.85</v>
      </c>
      <c r="M164" s="1"/>
      <c r="N164" s="5">
        <f t="shared" ref="N164:N167" si="77">IF(H164=0,0,L164/H164)</f>
        <v>3.3297857142857143</v>
      </c>
      <c r="O164" s="14"/>
      <c r="P164" s="1">
        <f>SUM(OSRRefP22_11x_0)</f>
        <v>5500.85</v>
      </c>
      <c r="Q164" s="1"/>
      <c r="R164" s="5">
        <f t="shared" ref="R164:R167" si="78">IF(P$12=0,0,P164/P$12)</f>
        <v>2.0364459124893085E-3</v>
      </c>
      <c r="S164" s="1"/>
      <c r="T164" s="1">
        <f>SUM(OSRRefT22_11x_0)</f>
        <v>10225</v>
      </c>
      <c r="U164" s="1"/>
      <c r="V164" s="5">
        <f t="shared" ref="V164:V167" si="79">IF(T$12=0,0,T164/T$12)</f>
        <v>2.0876737209961378E-3</v>
      </c>
      <c r="W164" s="1"/>
      <c r="X164" s="1">
        <f t="shared" ref="X164:X167" si="80">+P164-T164</f>
        <v>-4724.1499999999996</v>
      </c>
      <c r="Y164" s="1"/>
      <c r="Z164" s="5">
        <f t="shared" ref="Z164:Z167" si="81">IF(T164=0,0,X164/T164)</f>
        <v>-0.46201955990220045</v>
      </c>
    </row>
    <row r="165" spans="1:26" s="24" customFormat="1" hidden="1" outlineLevel="2" x14ac:dyDescent="0.25">
      <c r="A165" s="29"/>
      <c r="B165" s="11" t="str">
        <f>CONCATENATE("          ", "6269", " - ", "ENTERTAINMENT")</f>
        <v xml:space="preserve">          6269 - ENTERTAINMENT</v>
      </c>
      <c r="C165" s="11"/>
      <c r="D165" s="7"/>
      <c r="E165" s="2"/>
      <c r="F165" s="6">
        <f t="shared" si="74"/>
        <v>0</v>
      </c>
      <c r="G165" s="2"/>
      <c r="H165" s="7">
        <v>0</v>
      </c>
      <c r="I165" s="2"/>
      <c r="J165" s="6">
        <f t="shared" si="75"/>
        <v>0</v>
      </c>
      <c r="K165" s="2"/>
      <c r="L165" s="7">
        <f t="shared" si="76"/>
        <v>0</v>
      </c>
      <c r="M165" s="2"/>
      <c r="N165" s="6">
        <f t="shared" si="77"/>
        <v>0</v>
      </c>
      <c r="O165" s="11"/>
      <c r="P165" s="7"/>
      <c r="Q165" s="2"/>
      <c r="R165" s="6">
        <f t="shared" si="78"/>
        <v>0</v>
      </c>
      <c r="S165" s="2"/>
      <c r="T165" s="7">
        <v>1375</v>
      </c>
      <c r="U165" s="2"/>
      <c r="V165" s="6">
        <f t="shared" si="79"/>
        <v>2.8073851993835593E-4</v>
      </c>
      <c r="W165" s="2"/>
      <c r="X165" s="7">
        <f t="shared" si="80"/>
        <v>-1375</v>
      </c>
      <c r="Y165" s="2"/>
      <c r="Z165" s="6">
        <f t="shared" si="81"/>
        <v>-1</v>
      </c>
    </row>
    <row r="166" spans="1:26" s="24" customFormat="1" hidden="1" outlineLevel="2" x14ac:dyDescent="0.25">
      <c r="A166" s="29"/>
      <c r="B166" s="11" t="str">
        <f>CONCATENATE("          ", "6276", " - ", "PROPERTY TAX")</f>
        <v xml:space="preserve">          6276 - PROPERTY TAX</v>
      </c>
      <c r="C166" s="11"/>
      <c r="D166" s="7"/>
      <c r="E166" s="2"/>
      <c r="F166" s="6">
        <f t="shared" si="74"/>
        <v>0</v>
      </c>
      <c r="G166" s="2"/>
      <c r="H166" s="7"/>
      <c r="I166" s="2"/>
      <c r="J166" s="6">
        <f t="shared" si="75"/>
        <v>0</v>
      </c>
      <c r="K166" s="2"/>
      <c r="L166" s="7">
        <f t="shared" si="76"/>
        <v>0</v>
      </c>
      <c r="M166" s="2"/>
      <c r="N166" s="6">
        <f t="shared" si="77"/>
        <v>0</v>
      </c>
      <c r="O166" s="11"/>
      <c r="P166" s="7"/>
      <c r="Q166" s="2"/>
      <c r="R166" s="6">
        <f t="shared" si="78"/>
        <v>0</v>
      </c>
      <c r="S166" s="2"/>
      <c r="T166" s="7">
        <v>150</v>
      </c>
      <c r="U166" s="2"/>
      <c r="V166" s="6">
        <f t="shared" si="79"/>
        <v>3.0626020356911558E-5</v>
      </c>
      <c r="W166" s="2"/>
      <c r="X166" s="7">
        <f t="shared" si="80"/>
        <v>-150</v>
      </c>
      <c r="Y166" s="2"/>
      <c r="Z166" s="6">
        <f t="shared" si="81"/>
        <v>-1</v>
      </c>
    </row>
    <row r="167" spans="1:26" s="24" customFormat="1" hidden="1" outlineLevel="2" x14ac:dyDescent="0.25">
      <c r="A167" s="29"/>
      <c r="B167" s="11" t="str">
        <f>CONCATENATE("          ", "6279", " - ", "GENERAL EXPENSE")</f>
        <v xml:space="preserve">          6279 - GENERAL EXPENSE</v>
      </c>
      <c r="C167" s="11"/>
      <c r="D167" s="7">
        <v>3030.85</v>
      </c>
      <c r="E167" s="2"/>
      <c r="F167" s="6">
        <f t="shared" si="74"/>
        <v>1.2972766457160317E-2</v>
      </c>
      <c r="G167" s="2"/>
      <c r="H167" s="7">
        <v>700</v>
      </c>
      <c r="I167" s="2"/>
      <c r="J167" s="6">
        <f t="shared" si="75"/>
        <v>1.767065434433037E-3</v>
      </c>
      <c r="K167" s="2"/>
      <c r="L167" s="7">
        <f t="shared" si="76"/>
        <v>2330.85</v>
      </c>
      <c r="M167" s="2"/>
      <c r="N167" s="6">
        <f t="shared" si="77"/>
        <v>3.3297857142857143</v>
      </c>
      <c r="O167" s="11"/>
      <c r="P167" s="7">
        <v>5500.85</v>
      </c>
      <c r="Q167" s="2"/>
      <c r="R167" s="6">
        <f t="shared" si="78"/>
        <v>2.0364459124893085E-3</v>
      </c>
      <c r="S167" s="2"/>
      <c r="T167" s="7">
        <v>8700</v>
      </c>
      <c r="U167" s="2"/>
      <c r="V167" s="6">
        <f t="shared" si="79"/>
        <v>1.7763091807008703E-3</v>
      </c>
      <c r="W167" s="2"/>
      <c r="X167" s="7">
        <f t="shared" si="80"/>
        <v>-3199.1499999999996</v>
      </c>
      <c r="Y167" s="2"/>
      <c r="Z167" s="6">
        <f t="shared" si="81"/>
        <v>-0.36771839080459767</v>
      </c>
    </row>
    <row r="168" spans="1:26" s="28" customFormat="1" outlineLevel="1" collapsed="1" x14ac:dyDescent="0.25">
      <c r="A168" s="27"/>
      <c r="B168" s="14" t="str">
        <f>CONCATENATE("     ","Insurance                                         ")</f>
        <v xml:space="preserve">     Insurance                                         </v>
      </c>
      <c r="C168" s="14"/>
      <c r="D168" s="1">
        <f>SUM(OSRRefD22_12x_0)</f>
        <v>4288.28</v>
      </c>
      <c r="E168" s="1"/>
      <c r="F168" s="5">
        <f t="shared" ref="F168:F182" si="82">IF(D$12=0,0,D168/D$12)</f>
        <v>1.8354869077292325E-2</v>
      </c>
      <c r="G168" s="1"/>
      <c r="H168" s="1">
        <f>SUM(OSRRefH22_12x_0)</f>
        <v>4716</v>
      </c>
      <c r="I168" s="1"/>
      <c r="J168" s="5">
        <f t="shared" ref="J168:J182" si="83">IF(H$12=0,0,H168/H$12)</f>
        <v>1.1904972269694575E-2</v>
      </c>
      <c r="K168" s="1"/>
      <c r="L168" s="1">
        <f t="shared" ref="L168:L182" si="84">+D168-H168</f>
        <v>-427.72000000000025</v>
      </c>
      <c r="M168" s="1"/>
      <c r="N168" s="5">
        <f t="shared" ref="N168:N182" si="85">IF(H168=0,0,L168/H168)</f>
        <v>-9.0695504664970367E-2</v>
      </c>
      <c r="O168" s="14"/>
      <c r="P168" s="1">
        <f>SUM(OSRRefP22_12x_0)</f>
        <v>25729.68</v>
      </c>
      <c r="Q168" s="1"/>
      <c r="R168" s="5">
        <f t="shared" ref="R168:R182" si="86">IF(P$12=0,0,P168/P$12)</f>
        <v>9.5252736696434023E-3</v>
      </c>
      <c r="S168" s="1"/>
      <c r="T168" s="1">
        <f>SUM(OSRRefT22_12x_0)</f>
        <v>28296</v>
      </c>
      <c r="U168" s="1"/>
      <c r="V168" s="5">
        <f t="shared" ref="V168:V182" si="87">IF(T$12=0,0,T168/T$12)</f>
        <v>5.7772924801277959E-3</v>
      </c>
      <c r="W168" s="1"/>
      <c r="X168" s="1">
        <f t="shared" ref="X168:X182" si="88">+P168-T168</f>
        <v>-2566.3199999999997</v>
      </c>
      <c r="Y168" s="1"/>
      <c r="Z168" s="5">
        <f t="shared" ref="Z168:Z182" si="89">IF(T168=0,0,X168/T168)</f>
        <v>-9.0695504664970297E-2</v>
      </c>
    </row>
    <row r="169" spans="1:26" s="24" customFormat="1" hidden="1" outlineLevel="2" x14ac:dyDescent="0.25">
      <c r="A169" s="29"/>
      <c r="B169" s="11" t="str">
        <f>CONCATENATE("          ", "6314", " - ", "LIABILITY INSURANCE")</f>
        <v xml:space="preserve">          6314 - LIABILITY INSURANCE</v>
      </c>
      <c r="C169" s="11"/>
      <c r="D169" s="7">
        <v>4288.28</v>
      </c>
      <c r="E169" s="2"/>
      <c r="F169" s="6">
        <f t="shared" si="82"/>
        <v>1.8354869077292325E-2</v>
      </c>
      <c r="G169" s="2"/>
      <c r="H169" s="7">
        <v>4716</v>
      </c>
      <c r="I169" s="2"/>
      <c r="J169" s="6">
        <f t="shared" si="83"/>
        <v>1.1904972269694575E-2</v>
      </c>
      <c r="K169" s="2"/>
      <c r="L169" s="7">
        <f t="shared" si="84"/>
        <v>-427.72000000000025</v>
      </c>
      <c r="M169" s="2"/>
      <c r="N169" s="6">
        <f t="shared" si="85"/>
        <v>-9.0695504664970367E-2</v>
      </c>
      <c r="O169" s="11"/>
      <c r="P169" s="7">
        <v>25729.68</v>
      </c>
      <c r="Q169" s="2"/>
      <c r="R169" s="6">
        <f t="shared" si="86"/>
        <v>9.5252736696434023E-3</v>
      </c>
      <c r="S169" s="2"/>
      <c r="T169" s="7">
        <v>28296</v>
      </c>
      <c r="U169" s="2"/>
      <c r="V169" s="6">
        <f t="shared" si="87"/>
        <v>5.7772924801277959E-3</v>
      </c>
      <c r="W169" s="2"/>
      <c r="X169" s="7">
        <f t="shared" si="88"/>
        <v>-2566.3199999999997</v>
      </c>
      <c r="Y169" s="2"/>
      <c r="Z169" s="6">
        <f t="shared" si="89"/>
        <v>-9.0695504664970297E-2</v>
      </c>
    </row>
    <row r="170" spans="1:26" s="28" customFormat="1" outlineLevel="1" collapsed="1" x14ac:dyDescent="0.25">
      <c r="A170" s="27"/>
      <c r="B170" s="14" t="str">
        <f>CONCATENATE("     ","Interest                                          ")</f>
        <v xml:space="preserve">     Interest                                          </v>
      </c>
      <c r="C170" s="14"/>
      <c r="D170" s="1">
        <f>SUM(OSRRefD22_13x_0)</f>
        <v>4044</v>
      </c>
      <c r="E170" s="1"/>
      <c r="F170" s="5">
        <f t="shared" si="82"/>
        <v>1.7309291965209868E-2</v>
      </c>
      <c r="G170" s="1"/>
      <c r="H170" s="1">
        <f>SUM(OSRRefH22_13x_0)</f>
        <v>4044</v>
      </c>
      <c r="I170" s="1"/>
      <c r="J170" s="5">
        <f t="shared" si="83"/>
        <v>1.0208589452638859E-2</v>
      </c>
      <c r="K170" s="1"/>
      <c r="L170" s="1">
        <f t="shared" si="84"/>
        <v>0</v>
      </c>
      <c r="M170" s="1"/>
      <c r="N170" s="5">
        <f t="shared" si="85"/>
        <v>0</v>
      </c>
      <c r="O170" s="14"/>
      <c r="P170" s="1">
        <f>SUM(OSRRefP22_13x_0)</f>
        <v>24001.85</v>
      </c>
      <c r="Q170" s="1"/>
      <c r="R170" s="5">
        <f t="shared" si="86"/>
        <v>8.8856211903035904E-3</v>
      </c>
      <c r="S170" s="1"/>
      <c r="T170" s="1">
        <f>SUM(OSRRefT22_13x_0)</f>
        <v>24264</v>
      </c>
      <c r="U170" s="1"/>
      <c r="V170" s="5">
        <f t="shared" si="87"/>
        <v>4.9540650529340136E-3</v>
      </c>
      <c r="W170" s="1"/>
      <c r="X170" s="1">
        <f t="shared" si="88"/>
        <v>-262.15000000000146</v>
      </c>
      <c r="Y170" s="1"/>
      <c r="Z170" s="5">
        <f t="shared" si="89"/>
        <v>-1.0804071876030392E-2</v>
      </c>
    </row>
    <row r="171" spans="1:26" s="24" customFormat="1" hidden="1" outlineLevel="2" x14ac:dyDescent="0.25">
      <c r="A171" s="29"/>
      <c r="B171" s="11" t="str">
        <f>CONCATENATE("          ", "6401", " - ", "INTEREST EXPENSE")</f>
        <v xml:space="preserve">          6401 - INTEREST EXPENSE</v>
      </c>
      <c r="C171" s="11"/>
      <c r="D171" s="7">
        <v>4044</v>
      </c>
      <c r="E171" s="2"/>
      <c r="F171" s="6">
        <f t="shared" si="82"/>
        <v>1.7309291965209868E-2</v>
      </c>
      <c r="G171" s="2"/>
      <c r="H171" s="7">
        <v>4044</v>
      </c>
      <c r="I171" s="2"/>
      <c r="J171" s="6">
        <f t="shared" si="83"/>
        <v>1.0208589452638859E-2</v>
      </c>
      <c r="K171" s="2"/>
      <c r="L171" s="7">
        <f t="shared" si="84"/>
        <v>0</v>
      </c>
      <c r="M171" s="2"/>
      <c r="N171" s="6">
        <f t="shared" si="85"/>
        <v>0</v>
      </c>
      <c r="O171" s="11"/>
      <c r="P171" s="7">
        <v>24001.85</v>
      </c>
      <c r="Q171" s="2"/>
      <c r="R171" s="6">
        <f t="shared" si="86"/>
        <v>8.8856211903035904E-3</v>
      </c>
      <c r="S171" s="2"/>
      <c r="T171" s="7">
        <v>24264</v>
      </c>
      <c r="U171" s="2"/>
      <c r="V171" s="6">
        <f t="shared" si="87"/>
        <v>4.9540650529340136E-3</v>
      </c>
      <c r="W171" s="2"/>
      <c r="X171" s="7">
        <f t="shared" si="88"/>
        <v>-262.15000000000146</v>
      </c>
      <c r="Y171" s="2"/>
      <c r="Z171" s="6">
        <f t="shared" si="89"/>
        <v>-1.0804071876030392E-2</v>
      </c>
    </row>
    <row r="172" spans="1:26" s="28" customFormat="1" outlineLevel="1" collapsed="1" x14ac:dyDescent="0.25">
      <c r="A172" s="27"/>
      <c r="B172" s="14" t="str">
        <f>CONCATENATE("     ","Inventory Adjustment                              ")</f>
        <v xml:space="preserve">     Inventory Adjustment                              </v>
      </c>
      <c r="C172" s="14"/>
      <c r="D172" s="1">
        <f>SUM(OSRRefD22_14x_0)</f>
        <v>7100</v>
      </c>
      <c r="E172" s="1"/>
      <c r="F172" s="5">
        <f t="shared" si="82"/>
        <v>3.0389706467109312E-2</v>
      </c>
      <c r="G172" s="1"/>
      <c r="H172" s="1">
        <f>SUM(OSRRefH22_14x_0)</f>
        <v>8100</v>
      </c>
      <c r="I172" s="1"/>
      <c r="J172" s="5">
        <f t="shared" si="83"/>
        <v>2.0447471455582285E-2</v>
      </c>
      <c r="K172" s="1"/>
      <c r="L172" s="1">
        <f t="shared" si="84"/>
        <v>-1000</v>
      </c>
      <c r="M172" s="1"/>
      <c r="N172" s="5">
        <f t="shared" si="85"/>
        <v>-0.12345679012345678</v>
      </c>
      <c r="O172" s="14"/>
      <c r="P172" s="1">
        <f>SUM(OSRRefP22_14x_0)</f>
        <v>17600</v>
      </c>
      <c r="Q172" s="1"/>
      <c r="R172" s="5">
        <f t="shared" si="86"/>
        <v>6.5156199605173439E-3</v>
      </c>
      <c r="S172" s="1"/>
      <c r="T172" s="1">
        <f>SUM(OSRRefT22_14x_0)</f>
        <v>23600</v>
      </c>
      <c r="U172" s="1"/>
      <c r="V172" s="5">
        <f t="shared" si="87"/>
        <v>4.8184938694874188E-3</v>
      </c>
      <c r="W172" s="1"/>
      <c r="X172" s="1">
        <f t="shared" si="88"/>
        <v>-6000</v>
      </c>
      <c r="Y172" s="1"/>
      <c r="Z172" s="5">
        <f t="shared" si="89"/>
        <v>-0.25423728813559321</v>
      </c>
    </row>
    <row r="173" spans="1:26" s="24" customFormat="1" hidden="1" outlineLevel="2" x14ac:dyDescent="0.25">
      <c r="A173" s="29"/>
      <c r="B173" s="11" t="str">
        <f>CONCATENATE("          ", "6408", " - ", "INVENTORY ADJUSTMENT")</f>
        <v xml:space="preserve">          6408 - INVENTORY ADJUSTMENT</v>
      </c>
      <c r="C173" s="11"/>
      <c r="D173" s="7">
        <v>7100</v>
      </c>
      <c r="E173" s="2"/>
      <c r="F173" s="6">
        <f t="shared" si="82"/>
        <v>3.0389706467109312E-2</v>
      </c>
      <c r="G173" s="2"/>
      <c r="H173" s="7">
        <v>8100</v>
      </c>
      <c r="I173" s="2"/>
      <c r="J173" s="6">
        <f t="shared" si="83"/>
        <v>2.0447471455582285E-2</v>
      </c>
      <c r="K173" s="2"/>
      <c r="L173" s="7">
        <f t="shared" si="84"/>
        <v>-1000</v>
      </c>
      <c r="M173" s="2"/>
      <c r="N173" s="6">
        <f t="shared" si="85"/>
        <v>-0.12345679012345678</v>
      </c>
      <c r="O173" s="11"/>
      <c r="P173" s="7">
        <v>17600</v>
      </c>
      <c r="Q173" s="2"/>
      <c r="R173" s="6">
        <f t="shared" si="86"/>
        <v>6.5156199605173439E-3</v>
      </c>
      <c r="S173" s="2"/>
      <c r="T173" s="7">
        <v>23600</v>
      </c>
      <c r="U173" s="2"/>
      <c r="V173" s="6">
        <f t="shared" si="87"/>
        <v>4.8184938694874188E-3</v>
      </c>
      <c r="W173" s="2"/>
      <c r="X173" s="7">
        <f t="shared" si="88"/>
        <v>-6000</v>
      </c>
      <c r="Y173" s="2"/>
      <c r="Z173" s="6">
        <f t="shared" si="89"/>
        <v>-0.25423728813559321</v>
      </c>
    </row>
    <row r="174" spans="1:26" s="28" customFormat="1" outlineLevel="1" collapsed="1" x14ac:dyDescent="0.25">
      <c r="A174" s="27"/>
      <c r="B174" s="14" t="str">
        <f>CONCATENATE("     ","Professional Services                             ")</f>
        <v xml:space="preserve">     Professional Services                             </v>
      </c>
      <c r="C174" s="14"/>
      <c r="D174" s="1">
        <f>SUM(OSRRefD22_15x_0)</f>
        <v>0</v>
      </c>
      <c r="E174" s="1"/>
      <c r="F174" s="5">
        <f t="shared" si="82"/>
        <v>0</v>
      </c>
      <c r="G174" s="1"/>
      <c r="H174" s="1">
        <f>SUM(OSRRefH22_15x_0)</f>
        <v>0</v>
      </c>
      <c r="I174" s="1"/>
      <c r="J174" s="5">
        <f t="shared" si="83"/>
        <v>0</v>
      </c>
      <c r="K174" s="1"/>
      <c r="L174" s="1">
        <f t="shared" si="84"/>
        <v>0</v>
      </c>
      <c r="M174" s="1"/>
      <c r="N174" s="5">
        <f t="shared" si="85"/>
        <v>0</v>
      </c>
      <c r="O174" s="14"/>
      <c r="P174" s="1">
        <f>SUM(OSRRefP22_15x_0)</f>
        <v>0</v>
      </c>
      <c r="Q174" s="1"/>
      <c r="R174" s="5">
        <f t="shared" si="86"/>
        <v>0</v>
      </c>
      <c r="S174" s="1"/>
      <c r="T174" s="1">
        <f>SUM(OSRRefT22_15x_0)</f>
        <v>6800</v>
      </c>
      <c r="U174" s="1"/>
      <c r="V174" s="5">
        <f t="shared" si="87"/>
        <v>1.3883795895133239E-3</v>
      </c>
      <c r="W174" s="1"/>
      <c r="X174" s="1">
        <f t="shared" si="88"/>
        <v>-6800</v>
      </c>
      <c r="Y174" s="1"/>
      <c r="Z174" s="5">
        <f t="shared" si="89"/>
        <v>-1</v>
      </c>
    </row>
    <row r="175" spans="1:26" s="24" customFormat="1" hidden="1" outlineLevel="2" x14ac:dyDescent="0.25">
      <c r="A175" s="29"/>
      <c r="B175" s="11" t="str">
        <f>CONCATENATE("          ", "6336", " - ", "PROFESSIONAL SERVICES")</f>
        <v xml:space="preserve">          6336 - PROFESSIONAL SERVICES</v>
      </c>
      <c r="C175" s="11"/>
      <c r="D175" s="7"/>
      <c r="E175" s="2"/>
      <c r="F175" s="6">
        <f t="shared" si="82"/>
        <v>0</v>
      </c>
      <c r="G175" s="2"/>
      <c r="H175" s="7">
        <v>0</v>
      </c>
      <c r="I175" s="2"/>
      <c r="J175" s="6">
        <f t="shared" si="83"/>
        <v>0</v>
      </c>
      <c r="K175" s="2"/>
      <c r="L175" s="7">
        <f t="shared" si="84"/>
        <v>0</v>
      </c>
      <c r="M175" s="2"/>
      <c r="N175" s="6">
        <f t="shared" si="85"/>
        <v>0</v>
      </c>
      <c r="O175" s="11"/>
      <c r="P175" s="7"/>
      <c r="Q175" s="2"/>
      <c r="R175" s="6">
        <f t="shared" si="86"/>
        <v>0</v>
      </c>
      <c r="S175" s="2"/>
      <c r="T175" s="7">
        <v>6800</v>
      </c>
      <c r="U175" s="2"/>
      <c r="V175" s="6">
        <f t="shared" si="87"/>
        <v>1.3883795895133239E-3</v>
      </c>
      <c r="W175" s="2"/>
      <c r="X175" s="7">
        <f t="shared" si="88"/>
        <v>-6800</v>
      </c>
      <c r="Y175" s="2"/>
      <c r="Z175" s="6">
        <f t="shared" si="89"/>
        <v>-1</v>
      </c>
    </row>
    <row r="176" spans="1:26" s="28" customFormat="1" outlineLevel="1" collapsed="1" x14ac:dyDescent="0.25">
      <c r="A176" s="27"/>
      <c r="B176" s="14" t="str">
        <f>CONCATENATE("     ","Rent                                              ")</f>
        <v xml:space="preserve">     Rent                                              </v>
      </c>
      <c r="C176" s="14"/>
      <c r="D176" s="1">
        <f>SUM(OSRRefD22_16x_0)</f>
        <v>6100</v>
      </c>
      <c r="E176" s="1"/>
      <c r="F176" s="5">
        <f t="shared" si="82"/>
        <v>2.6109466119629127E-2</v>
      </c>
      <c r="G176" s="1"/>
      <c r="H176" s="1">
        <f>SUM(OSRRefH22_16x_0)</f>
        <v>6100</v>
      </c>
      <c r="I176" s="1"/>
      <c r="J176" s="5">
        <f t="shared" si="83"/>
        <v>1.5398713071487895E-2</v>
      </c>
      <c r="K176" s="1"/>
      <c r="L176" s="1">
        <f t="shared" si="84"/>
        <v>0</v>
      </c>
      <c r="M176" s="1"/>
      <c r="N176" s="5">
        <f t="shared" si="85"/>
        <v>0</v>
      </c>
      <c r="O176" s="14"/>
      <c r="P176" s="1">
        <f>SUM(OSRRefP22_16x_0)</f>
        <v>36600</v>
      </c>
      <c r="Q176" s="1"/>
      <c r="R176" s="5">
        <f t="shared" si="86"/>
        <v>1.3549527872439475E-2</v>
      </c>
      <c r="S176" s="1"/>
      <c r="T176" s="1">
        <f>SUM(OSRRefT22_16x_0)</f>
        <v>36601</v>
      </c>
      <c r="U176" s="1"/>
      <c r="V176" s="5">
        <f t="shared" si="87"/>
        <v>7.4729531405554658E-3</v>
      </c>
      <c r="W176" s="1"/>
      <c r="X176" s="1">
        <f t="shared" si="88"/>
        <v>-1</v>
      </c>
      <c r="Y176" s="1"/>
      <c r="Z176" s="5">
        <f t="shared" si="89"/>
        <v>-2.7321657878200048E-5</v>
      </c>
    </row>
    <row r="177" spans="1:26" s="24" customFormat="1" hidden="1" outlineLevel="2" x14ac:dyDescent="0.25">
      <c r="A177" s="29"/>
      <c r="B177" s="11" t="str">
        <f>CONCATENATE("          ", "6273", " - ", "RENT")</f>
        <v xml:space="preserve">          6273 - RENT</v>
      </c>
      <c r="C177" s="11"/>
      <c r="D177" s="7">
        <v>6100</v>
      </c>
      <c r="E177" s="2"/>
      <c r="F177" s="6">
        <f t="shared" si="82"/>
        <v>2.6109466119629127E-2</v>
      </c>
      <c r="G177" s="2"/>
      <c r="H177" s="7">
        <v>6100</v>
      </c>
      <c r="I177" s="2"/>
      <c r="J177" s="6">
        <f t="shared" si="83"/>
        <v>1.5398713071487895E-2</v>
      </c>
      <c r="K177" s="2"/>
      <c r="L177" s="7">
        <f t="shared" si="84"/>
        <v>0</v>
      </c>
      <c r="M177" s="2"/>
      <c r="N177" s="6">
        <f t="shared" si="85"/>
        <v>0</v>
      </c>
      <c r="O177" s="11"/>
      <c r="P177" s="7">
        <v>36600</v>
      </c>
      <c r="Q177" s="2"/>
      <c r="R177" s="6">
        <f t="shared" si="86"/>
        <v>1.3549527872439475E-2</v>
      </c>
      <c r="S177" s="2"/>
      <c r="T177" s="7">
        <v>36601</v>
      </c>
      <c r="U177" s="2"/>
      <c r="V177" s="6">
        <f t="shared" si="87"/>
        <v>7.4729531405554658E-3</v>
      </c>
      <c r="W177" s="2"/>
      <c r="X177" s="7">
        <f t="shared" si="88"/>
        <v>-1</v>
      </c>
      <c r="Y177" s="2"/>
      <c r="Z177" s="6">
        <f t="shared" si="89"/>
        <v>-2.7321657878200048E-5</v>
      </c>
    </row>
    <row r="178" spans="1:26" s="28" customFormat="1" outlineLevel="1" collapsed="1" x14ac:dyDescent="0.25">
      <c r="A178" s="27"/>
      <c r="B178" s="14" t="str">
        <f>CONCATENATE("     ","Repair and Maintenance                            ")</f>
        <v xml:space="preserve">     Repair and Maintenance                            </v>
      </c>
      <c r="C178" s="14"/>
      <c r="D178" s="1">
        <f>SUM(OSRRefD22_17x_0)</f>
        <v>8252.6200000000008</v>
      </c>
      <c r="E178" s="1"/>
      <c r="F178" s="5">
        <f t="shared" si="82"/>
        <v>3.5323197096421927E-2</v>
      </c>
      <c r="G178" s="1"/>
      <c r="H178" s="1">
        <f>SUM(OSRRefH22_17x_0)</f>
        <v>14968</v>
      </c>
      <c r="I178" s="1"/>
      <c r="J178" s="5">
        <f t="shared" si="83"/>
        <v>3.7784907746562429E-2</v>
      </c>
      <c r="K178" s="1"/>
      <c r="L178" s="1">
        <f t="shared" si="84"/>
        <v>-6715.3799999999992</v>
      </c>
      <c r="M178" s="1"/>
      <c r="N178" s="5">
        <f t="shared" si="85"/>
        <v>-0.4486491181186531</v>
      </c>
      <c r="O178" s="14"/>
      <c r="P178" s="1">
        <f>SUM(OSRRefP22_17x_0)</f>
        <v>111422.17</v>
      </c>
      <c r="Q178" s="1"/>
      <c r="R178" s="5">
        <f t="shared" si="86"/>
        <v>4.1249120164554356E-2</v>
      </c>
      <c r="S178" s="1"/>
      <c r="T178" s="1">
        <f>SUM(OSRRefT22_17x_0)</f>
        <v>131000</v>
      </c>
      <c r="U178" s="1"/>
      <c r="V178" s="5">
        <f t="shared" si="87"/>
        <v>2.6746724445036094E-2</v>
      </c>
      <c r="W178" s="1"/>
      <c r="X178" s="1">
        <f t="shared" si="88"/>
        <v>-19577.830000000002</v>
      </c>
      <c r="Y178" s="1"/>
      <c r="Z178" s="5">
        <f t="shared" si="89"/>
        <v>-0.14944908396946566</v>
      </c>
    </row>
    <row r="179" spans="1:26" s="24" customFormat="1" hidden="1" outlineLevel="2" x14ac:dyDescent="0.25">
      <c r="A179" s="29"/>
      <c r="B179" s="11" t="str">
        <f>CONCATENATE("          ", "6371", " - ", "COMPUTER SOFTWARE MAINTENANCE")</f>
        <v xml:space="preserve">          6371 - COMPUTER SOFTWARE MAINTENANCE</v>
      </c>
      <c r="C179" s="11"/>
      <c r="D179" s="7"/>
      <c r="E179" s="2"/>
      <c r="F179" s="6">
        <f t="shared" si="82"/>
        <v>0</v>
      </c>
      <c r="G179" s="2"/>
      <c r="H179" s="7"/>
      <c r="I179" s="2"/>
      <c r="J179" s="6">
        <f t="shared" si="83"/>
        <v>0</v>
      </c>
      <c r="K179" s="2"/>
      <c r="L179" s="7">
        <f t="shared" si="84"/>
        <v>0</v>
      </c>
      <c r="M179" s="2"/>
      <c r="N179" s="6">
        <f t="shared" si="85"/>
        <v>0</v>
      </c>
      <c r="O179" s="11"/>
      <c r="P179" s="7">
        <v>58436.47</v>
      </c>
      <c r="Q179" s="2"/>
      <c r="R179" s="6">
        <f t="shared" si="86"/>
        <v>2.163351308830528E-2</v>
      </c>
      <c r="S179" s="2"/>
      <c r="T179" s="7">
        <v>45043</v>
      </c>
      <c r="U179" s="2"/>
      <c r="V179" s="6">
        <f t="shared" si="87"/>
        <v>9.1965855662424489E-3</v>
      </c>
      <c r="W179" s="2"/>
      <c r="X179" s="7">
        <f t="shared" si="88"/>
        <v>13393.470000000001</v>
      </c>
      <c r="Y179" s="2"/>
      <c r="Z179" s="6">
        <f t="shared" si="89"/>
        <v>0.2973485336234265</v>
      </c>
    </row>
    <row r="180" spans="1:26" s="24" customFormat="1" hidden="1" outlineLevel="2" x14ac:dyDescent="0.25">
      <c r="A180" s="29"/>
      <c r="B180" s="11" t="str">
        <f>CONCATENATE("          ", "6372", " - ", "COMPUTER HARDWARE MAINTENANCE")</f>
        <v xml:space="preserve">          6372 - COMPUTER HARDWARE MAINTENANCE</v>
      </c>
      <c r="C180" s="11"/>
      <c r="D180" s="7"/>
      <c r="E180" s="2"/>
      <c r="F180" s="6">
        <f t="shared" si="82"/>
        <v>0</v>
      </c>
      <c r="G180" s="2"/>
      <c r="H180" s="7"/>
      <c r="I180" s="2"/>
      <c r="J180" s="6">
        <f t="shared" si="83"/>
        <v>0</v>
      </c>
      <c r="K180" s="2"/>
      <c r="L180" s="7">
        <f t="shared" si="84"/>
        <v>0</v>
      </c>
      <c r="M180" s="2"/>
      <c r="N180" s="6">
        <f t="shared" si="85"/>
        <v>0</v>
      </c>
      <c r="O180" s="11"/>
      <c r="P180" s="7">
        <v>0</v>
      </c>
      <c r="Q180" s="2"/>
      <c r="R180" s="6">
        <f t="shared" si="86"/>
        <v>0</v>
      </c>
      <c r="S180" s="2"/>
      <c r="T180" s="7">
        <v>437</v>
      </c>
      <c r="U180" s="2"/>
      <c r="V180" s="6">
        <f t="shared" si="87"/>
        <v>8.9223805973135667E-5</v>
      </c>
      <c r="W180" s="2"/>
      <c r="X180" s="7">
        <f t="shared" si="88"/>
        <v>-437</v>
      </c>
      <c r="Y180" s="2"/>
      <c r="Z180" s="6">
        <f t="shared" si="89"/>
        <v>-1</v>
      </c>
    </row>
    <row r="181" spans="1:26" s="24" customFormat="1" hidden="1" outlineLevel="2" x14ac:dyDescent="0.25">
      <c r="A181" s="29"/>
      <c r="B181" s="11" t="str">
        <f>CONCATENATE("          ", "6373", " - ", "MAINTENANCE CONTRACTS")</f>
        <v xml:space="preserve">          6373 - MAINTENANCE CONTRACTS</v>
      </c>
      <c r="C181" s="11"/>
      <c r="D181" s="7">
        <v>8207.6200000000008</v>
      </c>
      <c r="E181" s="2"/>
      <c r="F181" s="6">
        <f t="shared" si="82"/>
        <v>3.5130586280785317E-2</v>
      </c>
      <c r="G181" s="2"/>
      <c r="H181" s="7">
        <v>6147</v>
      </c>
      <c r="I181" s="2"/>
      <c r="J181" s="6">
        <f t="shared" si="83"/>
        <v>1.5517358893514112E-2</v>
      </c>
      <c r="K181" s="2"/>
      <c r="L181" s="7">
        <f t="shared" si="84"/>
        <v>2060.6200000000008</v>
      </c>
      <c r="M181" s="2"/>
      <c r="N181" s="6">
        <f t="shared" si="85"/>
        <v>0.3352236863510657</v>
      </c>
      <c r="O181" s="11"/>
      <c r="P181" s="7">
        <v>39888.780000000006</v>
      </c>
      <c r="Q181" s="2"/>
      <c r="R181" s="6">
        <f t="shared" si="86"/>
        <v>1.476705290731165E-2</v>
      </c>
      <c r="S181" s="2"/>
      <c r="T181" s="7">
        <v>33150</v>
      </c>
      <c r="U181" s="2"/>
      <c r="V181" s="6">
        <f t="shared" si="87"/>
        <v>6.7683504988774543E-3</v>
      </c>
      <c r="W181" s="2"/>
      <c r="X181" s="7">
        <f t="shared" si="88"/>
        <v>6738.7800000000061</v>
      </c>
      <c r="Y181" s="2"/>
      <c r="Z181" s="6">
        <f t="shared" si="89"/>
        <v>0.2032814479638011</v>
      </c>
    </row>
    <row r="182" spans="1:26" s="24" customFormat="1" hidden="1" outlineLevel="2" x14ac:dyDescent="0.25">
      <c r="A182" s="29"/>
      <c r="B182" s="11" t="str">
        <f>CONCATENATE("          ", "6375", " - ", "OUTSIDE REPAIRS &amp; MAINTENANCE")</f>
        <v xml:space="preserve">          6375 - OUTSIDE REPAIRS &amp; MAINTENANCE</v>
      </c>
      <c r="C182" s="11"/>
      <c r="D182" s="7">
        <v>45</v>
      </c>
      <c r="E182" s="2"/>
      <c r="F182" s="6">
        <f t="shared" si="82"/>
        <v>1.9261081563660832E-4</v>
      </c>
      <c r="G182" s="2"/>
      <c r="H182" s="7">
        <v>8821</v>
      </c>
      <c r="I182" s="2"/>
      <c r="J182" s="6">
        <f t="shared" si="83"/>
        <v>2.2267548853048314E-2</v>
      </c>
      <c r="K182" s="2"/>
      <c r="L182" s="7">
        <f t="shared" si="84"/>
        <v>-8776</v>
      </c>
      <c r="M182" s="2"/>
      <c r="N182" s="6">
        <f t="shared" si="85"/>
        <v>-0.99489853758077318</v>
      </c>
      <c r="O182" s="11"/>
      <c r="P182" s="7">
        <v>13096.92</v>
      </c>
      <c r="Q182" s="2"/>
      <c r="R182" s="6">
        <f t="shared" si="86"/>
        <v>4.8485541689374323E-3</v>
      </c>
      <c r="S182" s="2"/>
      <c r="T182" s="7">
        <v>52370</v>
      </c>
      <c r="U182" s="2"/>
      <c r="V182" s="6">
        <f t="shared" si="87"/>
        <v>1.0692564573943054E-2</v>
      </c>
      <c r="W182" s="2"/>
      <c r="X182" s="7">
        <f t="shared" si="88"/>
        <v>-39273.08</v>
      </c>
      <c r="Y182" s="2"/>
      <c r="Z182" s="6">
        <f t="shared" si="89"/>
        <v>-0.74991560053465733</v>
      </c>
    </row>
    <row r="183" spans="1:26" s="28" customFormat="1" outlineLevel="1" collapsed="1" x14ac:dyDescent="0.25">
      <c r="A183" s="27"/>
      <c r="B183" s="14" t="str">
        <f>CONCATENATE("     ","Royalty &amp; Commissions                             ")</f>
        <v xml:space="preserve">     Royalty &amp; Commissions                             </v>
      </c>
      <c r="C183" s="14"/>
      <c r="D183" s="1">
        <f>SUM(OSRRefD22_18x_0)</f>
        <v>5.97</v>
      </c>
      <c r="E183" s="1"/>
      <c r="F183" s="5">
        <f t="shared" ref="F183:F187" si="90">IF(D$12=0,0,D183/D$12)</f>
        <v>2.55530348744567E-5</v>
      </c>
      <c r="G183" s="1"/>
      <c r="H183" s="1">
        <f>SUM(OSRRefH22_18x_0)</f>
        <v>7604</v>
      </c>
      <c r="I183" s="1"/>
      <c r="J183" s="5">
        <f t="shared" ref="J183:J187" si="91">IF(H$12=0,0,H183/H$12)</f>
        <v>1.9195379376326878E-2</v>
      </c>
      <c r="K183" s="1"/>
      <c r="L183" s="1">
        <f t="shared" ref="L183:L187" si="92">+D183-H183</f>
        <v>-7598.03</v>
      </c>
      <c r="M183" s="1"/>
      <c r="N183" s="5">
        <f t="shared" ref="N183:N187" si="93">IF(H183=0,0,L183/H183)</f>
        <v>-0.99921488690163074</v>
      </c>
      <c r="O183" s="14"/>
      <c r="P183" s="1">
        <f>SUM(OSRRefP22_18x_0)</f>
        <v>28761.760000000002</v>
      </c>
      <c r="Q183" s="1"/>
      <c r="R183" s="5">
        <f t="shared" ref="R183:R187" si="94">IF(P$12=0,0,P183/P$12)</f>
        <v>1.0647766906568712E-2</v>
      </c>
      <c r="S183" s="1"/>
      <c r="T183" s="1">
        <f>SUM(OSRRefT22_18x_0)</f>
        <v>45134</v>
      </c>
      <c r="U183" s="1"/>
      <c r="V183" s="5">
        <f t="shared" ref="V183:V187" si="95">IF(T$12=0,0,T183/T$12)</f>
        <v>9.2151653519256423E-3</v>
      </c>
      <c r="W183" s="1"/>
      <c r="X183" s="1">
        <f t="shared" ref="X183:X187" si="96">+P183-T183</f>
        <v>-16372.239999999998</v>
      </c>
      <c r="Y183" s="1"/>
      <c r="Z183" s="5">
        <f t="shared" ref="Z183:Z187" si="97">IF(T183=0,0,X183/T183)</f>
        <v>-0.36274737448486721</v>
      </c>
    </row>
    <row r="184" spans="1:26" s="24" customFormat="1" hidden="1" outlineLevel="2" x14ac:dyDescent="0.25">
      <c r="A184" s="29"/>
      <c r="B184" s="11" t="str">
        <f>CONCATENATE("          ", "6252", " - ", "ROYALTY DUE CSTV")</f>
        <v xml:space="preserve">          6252 - ROYALTY DUE CSTV</v>
      </c>
      <c r="C184" s="11"/>
      <c r="D184" s="7"/>
      <c r="E184" s="2"/>
      <c r="F184" s="6">
        <f t="shared" si="90"/>
        <v>0</v>
      </c>
      <c r="G184" s="2"/>
      <c r="H184" s="7">
        <v>1085</v>
      </c>
      <c r="I184" s="2"/>
      <c r="J184" s="6">
        <f t="shared" si="91"/>
        <v>2.7389514233712073E-3</v>
      </c>
      <c r="K184" s="2"/>
      <c r="L184" s="7">
        <f t="shared" si="92"/>
        <v>-1085</v>
      </c>
      <c r="M184" s="2"/>
      <c r="N184" s="6">
        <f t="shared" si="93"/>
        <v>-1</v>
      </c>
      <c r="O184" s="11"/>
      <c r="P184" s="7"/>
      <c r="Q184" s="2"/>
      <c r="R184" s="6">
        <f t="shared" si="94"/>
        <v>0</v>
      </c>
      <c r="S184" s="2"/>
      <c r="T184" s="7">
        <v>6510</v>
      </c>
      <c r="U184" s="2"/>
      <c r="V184" s="6">
        <f t="shared" si="95"/>
        <v>1.3291692834899616E-3</v>
      </c>
      <c r="W184" s="2"/>
      <c r="X184" s="7">
        <f t="shared" si="96"/>
        <v>-6510</v>
      </c>
      <c r="Y184" s="2"/>
      <c r="Z184" s="6">
        <f t="shared" si="97"/>
        <v>-1</v>
      </c>
    </row>
    <row r="185" spans="1:26" s="24" customFormat="1" hidden="1" outlineLevel="2" x14ac:dyDescent="0.25">
      <c r="A185" s="29"/>
      <c r="B185" s="11" t="str">
        <f>CONCATENATE("          ", "6253", " - ", "ROYALTY DUE ATHLETICS-LRG")</f>
        <v xml:space="preserve">          6253 - ROYALTY DUE ATHLETICS-LRG</v>
      </c>
      <c r="C185" s="11"/>
      <c r="D185" s="7"/>
      <c r="E185" s="2"/>
      <c r="F185" s="6">
        <f t="shared" si="90"/>
        <v>0</v>
      </c>
      <c r="G185" s="2"/>
      <c r="H185" s="7">
        <v>4037</v>
      </c>
      <c r="I185" s="2"/>
      <c r="J185" s="6">
        <f t="shared" si="91"/>
        <v>1.019091879829453E-2</v>
      </c>
      <c r="K185" s="2"/>
      <c r="L185" s="7">
        <f t="shared" si="92"/>
        <v>-4037</v>
      </c>
      <c r="M185" s="2"/>
      <c r="N185" s="6">
        <f t="shared" si="93"/>
        <v>-1</v>
      </c>
      <c r="O185" s="11"/>
      <c r="P185" s="7">
        <v>18411.8</v>
      </c>
      <c r="Q185" s="2"/>
      <c r="R185" s="6">
        <f t="shared" si="94"/>
        <v>6.8161529311962059E-3</v>
      </c>
      <c r="S185" s="2"/>
      <c r="T185" s="7">
        <v>24222</v>
      </c>
      <c r="U185" s="2"/>
      <c r="V185" s="6">
        <f t="shared" si="95"/>
        <v>4.9454897672340783E-3</v>
      </c>
      <c r="W185" s="2"/>
      <c r="X185" s="7">
        <f t="shared" si="96"/>
        <v>-5810.2000000000007</v>
      </c>
      <c r="Y185" s="2"/>
      <c r="Z185" s="6">
        <f t="shared" si="97"/>
        <v>-0.23987284287011809</v>
      </c>
    </row>
    <row r="186" spans="1:26" s="24" customFormat="1" hidden="1" outlineLevel="2" x14ac:dyDescent="0.25">
      <c r="A186" s="29"/>
      <c r="B186" s="11" t="str">
        <f>CONCATENATE("          ", "6254", " - ", "ROYALTY &amp; COMMISSIONS")</f>
        <v xml:space="preserve">          6254 - ROYALTY &amp; COMMISSIONS</v>
      </c>
      <c r="C186" s="11"/>
      <c r="D186" s="7"/>
      <c r="E186" s="2"/>
      <c r="F186" s="6">
        <f t="shared" si="90"/>
        <v>0</v>
      </c>
      <c r="G186" s="2"/>
      <c r="H186" s="7">
        <v>1149</v>
      </c>
      <c r="I186" s="2"/>
      <c r="J186" s="6">
        <f t="shared" si="91"/>
        <v>2.9005116916622281E-3</v>
      </c>
      <c r="K186" s="2"/>
      <c r="L186" s="7">
        <f t="shared" si="92"/>
        <v>-1149</v>
      </c>
      <c r="M186" s="2"/>
      <c r="N186" s="6">
        <f t="shared" si="93"/>
        <v>-1</v>
      </c>
      <c r="O186" s="11"/>
      <c r="P186" s="7">
        <v>185.7</v>
      </c>
      <c r="Q186" s="2"/>
      <c r="R186" s="6">
        <f t="shared" si="94"/>
        <v>6.8747194697049469E-5</v>
      </c>
      <c r="S186" s="2"/>
      <c r="T186" s="7">
        <v>6894</v>
      </c>
      <c r="U186" s="2"/>
      <c r="V186" s="6">
        <f t="shared" si="95"/>
        <v>1.4075718956036553E-3</v>
      </c>
      <c r="W186" s="2"/>
      <c r="X186" s="7">
        <f t="shared" si="96"/>
        <v>-6708.3</v>
      </c>
      <c r="Y186" s="2"/>
      <c r="Z186" s="6">
        <f t="shared" si="97"/>
        <v>-0.97306353350739772</v>
      </c>
    </row>
    <row r="187" spans="1:26" s="24" customFormat="1" hidden="1" outlineLevel="2" x14ac:dyDescent="0.25">
      <c r="A187" s="29"/>
      <c r="B187" s="11" t="str">
        <f>CONCATENATE("          ", "6259", " - ", "ROYALTY &amp; COMMISSIONS")</f>
        <v xml:space="preserve">          6259 - ROYALTY &amp; COMMISSIONS</v>
      </c>
      <c r="C187" s="11"/>
      <c r="D187" s="7">
        <v>5.97</v>
      </c>
      <c r="E187" s="2"/>
      <c r="F187" s="6">
        <f t="shared" si="90"/>
        <v>2.55530348744567E-5</v>
      </c>
      <c r="G187" s="2"/>
      <c r="H187" s="7">
        <v>1333</v>
      </c>
      <c r="I187" s="2"/>
      <c r="J187" s="6">
        <f t="shared" si="91"/>
        <v>3.364997462998912E-3</v>
      </c>
      <c r="K187" s="2"/>
      <c r="L187" s="7">
        <f t="shared" si="92"/>
        <v>-1327.03</v>
      </c>
      <c r="M187" s="2"/>
      <c r="N187" s="6">
        <f t="shared" si="93"/>
        <v>-0.9955213803450863</v>
      </c>
      <c r="O187" s="11"/>
      <c r="P187" s="7">
        <v>10164.26</v>
      </c>
      <c r="Q187" s="2"/>
      <c r="R187" s="6">
        <f t="shared" si="94"/>
        <v>3.7628667806754554E-3</v>
      </c>
      <c r="S187" s="2"/>
      <c r="T187" s="7">
        <v>7508</v>
      </c>
      <c r="U187" s="2"/>
      <c r="V187" s="6">
        <f t="shared" si="95"/>
        <v>1.5329344055979464E-3</v>
      </c>
      <c r="W187" s="2"/>
      <c r="X187" s="7">
        <f t="shared" si="96"/>
        <v>2656.26</v>
      </c>
      <c r="Y187" s="2"/>
      <c r="Z187" s="6">
        <f t="shared" si="97"/>
        <v>0.35379062333510924</v>
      </c>
    </row>
    <row r="188" spans="1:26" s="28" customFormat="1" outlineLevel="1" collapsed="1" x14ac:dyDescent="0.25">
      <c r="A188" s="27"/>
      <c r="B188" s="14" t="str">
        <f>CONCATENATE("     ","Services                                          ")</f>
        <v xml:space="preserve">     Services                                          </v>
      </c>
      <c r="C188" s="14"/>
      <c r="D188" s="1">
        <f>SUM(OSRRefD22_19x_0)</f>
        <v>3492.68</v>
      </c>
      <c r="E188" s="1"/>
      <c r="F188" s="5">
        <f t="shared" ref="F188:F193" si="98">IF(D$12=0,0,D188/D$12)</f>
        <v>1.4949509856837091E-2</v>
      </c>
      <c r="G188" s="1"/>
      <c r="H188" s="1">
        <f>SUM(OSRRefH22_19x_0)</f>
        <v>6910</v>
      </c>
      <c r="I188" s="1"/>
      <c r="J188" s="5">
        <f t="shared" ref="J188:J193" si="99">IF(H$12=0,0,H188/H$12)</f>
        <v>1.7443460217046122E-2</v>
      </c>
      <c r="K188" s="1"/>
      <c r="L188" s="1">
        <f t="shared" ref="L188:L193" si="100">+D188-H188</f>
        <v>-3417.32</v>
      </c>
      <c r="M188" s="1"/>
      <c r="N188" s="5">
        <f t="shared" ref="N188:N193" si="101">IF(H188=0,0,L188/H188)</f>
        <v>-0.49454703328509408</v>
      </c>
      <c r="O188" s="14"/>
      <c r="P188" s="1">
        <f>SUM(OSRRefP22_19x_0)</f>
        <v>19537.64</v>
      </c>
      <c r="Q188" s="1"/>
      <c r="R188" s="5">
        <f t="shared" ref="R188:R193" si="102">IF(P$12=0,0,P188/P$12)</f>
        <v>7.2329452934887534E-3</v>
      </c>
      <c r="S188" s="1"/>
      <c r="T188" s="1">
        <f>SUM(OSRRefT22_19x_0)</f>
        <v>34042</v>
      </c>
      <c r="U188" s="1"/>
      <c r="V188" s="5">
        <f t="shared" ref="V188:V193" si="103">IF(T$12=0,0,T188/T$12)</f>
        <v>6.9504732332665549E-3</v>
      </c>
      <c r="W188" s="1"/>
      <c r="X188" s="1">
        <f t="shared" ref="X188:X193" si="104">+P188-T188</f>
        <v>-14504.36</v>
      </c>
      <c r="Y188" s="1"/>
      <c r="Z188" s="5">
        <f t="shared" ref="Z188:Z193" si="105">IF(T188=0,0,X188/T188)</f>
        <v>-0.42607249867810354</v>
      </c>
    </row>
    <row r="189" spans="1:26" s="24" customFormat="1" hidden="1" outlineLevel="2" x14ac:dyDescent="0.25">
      <c r="A189" s="29"/>
      <c r="B189" s="11" t="str">
        <f>CONCATENATE("          ", "6282", " - ", "JANITORIAL/EXTERMINATOR EXPENS")</f>
        <v xml:space="preserve">          6282 - JANITORIAL/EXTERMINATOR EXPENS</v>
      </c>
      <c r="C189" s="11"/>
      <c r="D189" s="7">
        <v>709.65</v>
      </c>
      <c r="E189" s="2"/>
      <c r="F189" s="6">
        <f t="shared" si="98"/>
        <v>3.0374725625893131E-3</v>
      </c>
      <c r="G189" s="2"/>
      <c r="H189" s="7">
        <v>4787</v>
      </c>
      <c r="I189" s="2"/>
      <c r="J189" s="6">
        <f t="shared" si="99"/>
        <v>1.2084203192329926E-2</v>
      </c>
      <c r="K189" s="2"/>
      <c r="L189" s="7">
        <f t="shared" si="100"/>
        <v>-4077.35</v>
      </c>
      <c r="M189" s="2"/>
      <c r="N189" s="6">
        <f t="shared" si="101"/>
        <v>-0.85175475245456445</v>
      </c>
      <c r="O189" s="11"/>
      <c r="P189" s="7">
        <v>5920.61</v>
      </c>
      <c r="Q189" s="2"/>
      <c r="R189" s="6">
        <f t="shared" si="102"/>
        <v>2.1918434485476471E-3</v>
      </c>
      <c r="S189" s="2"/>
      <c r="T189" s="7">
        <v>25101</v>
      </c>
      <c r="U189" s="2"/>
      <c r="V189" s="6">
        <f t="shared" si="103"/>
        <v>5.1249582465255801E-3</v>
      </c>
      <c r="W189" s="2"/>
      <c r="X189" s="7">
        <f t="shared" si="104"/>
        <v>-19180.39</v>
      </c>
      <c r="Y189" s="2"/>
      <c r="Z189" s="6">
        <f t="shared" si="105"/>
        <v>-0.76412852077606463</v>
      </c>
    </row>
    <row r="190" spans="1:26" s="24" customFormat="1" hidden="1" outlineLevel="2" x14ac:dyDescent="0.25">
      <c r="A190" s="29"/>
      <c r="B190" s="11" t="str">
        <f>CONCATENATE("          ", "6283", " - ", "PLANT SERVICE")</f>
        <v xml:space="preserve">          6283 - PLANT SERVICE</v>
      </c>
      <c r="C190" s="11"/>
      <c r="D190" s="7"/>
      <c r="E190" s="2"/>
      <c r="F190" s="6">
        <f t="shared" si="98"/>
        <v>0</v>
      </c>
      <c r="G190" s="2"/>
      <c r="H190" s="7">
        <v>0</v>
      </c>
      <c r="I190" s="2"/>
      <c r="J190" s="6">
        <f t="shared" si="99"/>
        <v>0</v>
      </c>
      <c r="K190" s="2"/>
      <c r="L190" s="7">
        <f t="shared" si="100"/>
        <v>0</v>
      </c>
      <c r="M190" s="2"/>
      <c r="N190" s="6">
        <f t="shared" si="101"/>
        <v>0</v>
      </c>
      <c r="O190" s="11"/>
      <c r="P190" s="7">
        <v>171.31</v>
      </c>
      <c r="Q190" s="2"/>
      <c r="R190" s="6">
        <f t="shared" si="102"/>
        <v>6.3419934967967397E-5</v>
      </c>
      <c r="S190" s="2"/>
      <c r="T190" s="7">
        <v>0</v>
      </c>
      <c r="U190" s="2"/>
      <c r="V190" s="6">
        <f t="shared" si="103"/>
        <v>0</v>
      </c>
      <c r="W190" s="2"/>
      <c r="X190" s="7">
        <f t="shared" si="104"/>
        <v>171.31</v>
      </c>
      <c r="Y190" s="2"/>
      <c r="Z190" s="6">
        <f t="shared" si="105"/>
        <v>0</v>
      </c>
    </row>
    <row r="191" spans="1:26" s="24" customFormat="1" hidden="1" outlineLevel="2" x14ac:dyDescent="0.25">
      <c r="A191" s="29"/>
      <c r="B191" s="11" t="str">
        <f>CONCATENATE("          ", "6284", " - ", "TRASH REMOVAL EXPENSE")</f>
        <v xml:space="preserve">          6284 - TRASH REMOVAL EXPENSE</v>
      </c>
      <c r="C191" s="11"/>
      <c r="D191" s="7">
        <v>574.14</v>
      </c>
      <c r="E191" s="2"/>
      <c r="F191" s="6">
        <f t="shared" si="98"/>
        <v>2.457457193102273E-3</v>
      </c>
      <c r="G191" s="2"/>
      <c r="H191" s="7">
        <v>895</v>
      </c>
      <c r="I191" s="2"/>
      <c r="J191" s="6">
        <f t="shared" si="99"/>
        <v>2.2593193768822403E-3</v>
      </c>
      <c r="K191" s="2"/>
      <c r="L191" s="7">
        <f t="shared" si="100"/>
        <v>-320.86</v>
      </c>
      <c r="M191" s="2"/>
      <c r="N191" s="6">
        <f t="shared" si="101"/>
        <v>-0.35850279329608942</v>
      </c>
      <c r="O191" s="11"/>
      <c r="P191" s="7">
        <v>1448.44</v>
      </c>
      <c r="Q191" s="2"/>
      <c r="R191" s="6">
        <f t="shared" si="102"/>
        <v>5.3622071452339435E-4</v>
      </c>
      <c r="S191" s="2"/>
      <c r="T191" s="7">
        <v>2173</v>
      </c>
      <c r="U191" s="2"/>
      <c r="V191" s="6">
        <f t="shared" si="103"/>
        <v>4.4366894823712541E-4</v>
      </c>
      <c r="W191" s="2"/>
      <c r="X191" s="7">
        <f t="shared" si="104"/>
        <v>-724.56</v>
      </c>
      <c r="Y191" s="2"/>
      <c r="Z191" s="6">
        <f t="shared" si="105"/>
        <v>-0.33343764381040036</v>
      </c>
    </row>
    <row r="192" spans="1:26" s="24" customFormat="1" hidden="1" outlineLevel="2" x14ac:dyDescent="0.25">
      <c r="A192" s="29"/>
      <c r="B192" s="11" t="str">
        <f>CONCATENATE("          ", "6285", " - ", "JANITORIAL SERVICES")</f>
        <v xml:space="preserve">          6285 - JANITORIAL SERVICES</v>
      </c>
      <c r="C192" s="11"/>
      <c r="D192" s="7">
        <v>2208.89</v>
      </c>
      <c r="E192" s="2"/>
      <c r="F192" s="6">
        <f t="shared" si="98"/>
        <v>9.4545801011455041E-3</v>
      </c>
      <c r="G192" s="2"/>
      <c r="H192" s="7">
        <v>1124</v>
      </c>
      <c r="I192" s="2"/>
      <c r="J192" s="6">
        <f t="shared" si="99"/>
        <v>2.837402211861048E-3</v>
      </c>
      <c r="K192" s="2"/>
      <c r="L192" s="7">
        <f t="shared" si="100"/>
        <v>1084.8899999999999</v>
      </c>
      <c r="M192" s="2"/>
      <c r="N192" s="6">
        <f t="shared" si="101"/>
        <v>0.96520462633451942</v>
      </c>
      <c r="O192" s="11"/>
      <c r="P192" s="7">
        <v>11997.28</v>
      </c>
      <c r="Q192" s="2"/>
      <c r="R192" s="6">
        <f t="shared" si="102"/>
        <v>4.4414611954497456E-3</v>
      </c>
      <c r="S192" s="2"/>
      <c r="T192" s="7">
        <v>6183</v>
      </c>
      <c r="U192" s="2"/>
      <c r="V192" s="6">
        <f t="shared" si="103"/>
        <v>1.2624045591118943E-3</v>
      </c>
      <c r="W192" s="2"/>
      <c r="X192" s="7">
        <f t="shared" si="104"/>
        <v>5814.2800000000007</v>
      </c>
      <c r="Y192" s="2"/>
      <c r="Z192" s="6">
        <f t="shared" si="105"/>
        <v>0.94036551835678484</v>
      </c>
    </row>
    <row r="193" spans="1:26" s="24" customFormat="1" hidden="1" outlineLevel="2" x14ac:dyDescent="0.25">
      <c r="A193" s="29"/>
      <c r="B193" s="11" t="str">
        <f>CONCATENATE("          ", "6286", " - ", "LAUNDRY EXPENSE")</f>
        <v xml:space="preserve">          6286 - LAUNDRY EXPENSE</v>
      </c>
      <c r="C193" s="11"/>
      <c r="D193" s="7"/>
      <c r="E193" s="2"/>
      <c r="F193" s="6">
        <f t="shared" si="98"/>
        <v>0</v>
      </c>
      <c r="G193" s="2"/>
      <c r="H193" s="7">
        <v>104</v>
      </c>
      <c r="I193" s="2"/>
      <c r="J193" s="6">
        <f t="shared" si="99"/>
        <v>2.6253543597290838E-4</v>
      </c>
      <c r="K193" s="2"/>
      <c r="L193" s="7">
        <f t="shared" si="100"/>
        <v>-104</v>
      </c>
      <c r="M193" s="2"/>
      <c r="N193" s="6">
        <f t="shared" si="101"/>
        <v>-1</v>
      </c>
      <c r="O193" s="11"/>
      <c r="P193" s="7"/>
      <c r="Q193" s="2"/>
      <c r="R193" s="6">
        <f t="shared" si="102"/>
        <v>0</v>
      </c>
      <c r="S193" s="2"/>
      <c r="T193" s="7">
        <v>585</v>
      </c>
      <c r="U193" s="2"/>
      <c r="V193" s="6">
        <f t="shared" si="103"/>
        <v>1.1944147939195507E-4</v>
      </c>
      <c r="W193" s="2"/>
      <c r="X193" s="7">
        <f t="shared" si="104"/>
        <v>-585</v>
      </c>
      <c r="Y193" s="2"/>
      <c r="Z193" s="6">
        <f t="shared" si="105"/>
        <v>-1</v>
      </c>
    </row>
    <row r="194" spans="1:26" s="28" customFormat="1" outlineLevel="1" collapsed="1" x14ac:dyDescent="0.25">
      <c r="A194" s="27"/>
      <c r="B194" s="14" t="str">
        <f>CONCATENATE("     ","Subscriptions &amp; Dues                              ")</f>
        <v xml:space="preserve">     Subscriptions &amp; Dues                              </v>
      </c>
      <c r="C194" s="14"/>
      <c r="D194" s="1">
        <f>SUM(OSRRefD22_20x_0)</f>
        <v>80.430000000000007</v>
      </c>
      <c r="E194" s="1"/>
      <c r="F194" s="5">
        <f t="shared" ref="F194:F196" si="106">IF(D$12=0,0,D194/D$12)</f>
        <v>3.4425973114783127E-4</v>
      </c>
      <c r="G194" s="1"/>
      <c r="H194" s="1">
        <f>SUM(OSRRefH22_20x_0)</f>
        <v>1276</v>
      </c>
      <c r="I194" s="1"/>
      <c r="J194" s="5">
        <f t="shared" ref="J194:J196" si="107">IF(H$12=0,0,H194/H$12)</f>
        <v>3.2211078490522217E-3</v>
      </c>
      <c r="K194" s="1"/>
      <c r="L194" s="1">
        <f t="shared" ref="L194:L196" si="108">+D194-H194</f>
        <v>-1195.57</v>
      </c>
      <c r="M194" s="1"/>
      <c r="N194" s="5">
        <f t="shared" ref="N194:N196" si="109">IF(H194=0,0,L194/H194)</f>
        <v>-0.9369670846394984</v>
      </c>
      <c r="O194" s="14"/>
      <c r="P194" s="1">
        <f>SUM(OSRRefP22_20x_0)</f>
        <v>1455.44</v>
      </c>
      <c r="Q194" s="1"/>
      <c r="R194" s="5">
        <f t="shared" ref="R194:R196" si="110">IF(P$12=0,0,P194/P$12)</f>
        <v>5.3881215428041836E-4</v>
      </c>
      <c r="S194" s="1"/>
      <c r="T194" s="1">
        <f>SUM(OSRRefT22_20x_0)</f>
        <v>9051</v>
      </c>
      <c r="U194" s="1"/>
      <c r="V194" s="5">
        <f t="shared" ref="V194:V196" si="111">IF(T$12=0,0,T194/T$12)</f>
        <v>1.8479740683360435E-3</v>
      </c>
      <c r="W194" s="1"/>
      <c r="X194" s="1">
        <f t="shared" ref="X194:X196" si="112">+P194-T194</f>
        <v>-7595.5599999999995</v>
      </c>
      <c r="Y194" s="1"/>
      <c r="Z194" s="5">
        <f t="shared" ref="Z194:Z196" si="113">IF(T194=0,0,X194/T194)</f>
        <v>-0.83919566898685227</v>
      </c>
    </row>
    <row r="195" spans="1:26" s="24" customFormat="1" hidden="1" outlineLevel="2" x14ac:dyDescent="0.25">
      <c r="A195" s="29"/>
      <c r="B195" s="11" t="str">
        <f>CONCATENATE("          ", "6258", " - ", "MEMBERSHIP DUES")</f>
        <v xml:space="preserve">          6258 - MEMBERSHIP DUES</v>
      </c>
      <c r="C195" s="11"/>
      <c r="D195" s="7">
        <v>80.430000000000007</v>
      </c>
      <c r="E195" s="2"/>
      <c r="F195" s="6">
        <f t="shared" si="106"/>
        <v>3.4425973114783127E-4</v>
      </c>
      <c r="G195" s="2"/>
      <c r="H195" s="7">
        <v>1100</v>
      </c>
      <c r="I195" s="2"/>
      <c r="J195" s="6">
        <f t="shared" si="107"/>
        <v>2.7768171112519152E-3</v>
      </c>
      <c r="K195" s="2"/>
      <c r="L195" s="7">
        <f t="shared" si="108"/>
        <v>-1019.5699999999999</v>
      </c>
      <c r="M195" s="2"/>
      <c r="N195" s="6">
        <f t="shared" si="109"/>
        <v>-0.92688181818181814</v>
      </c>
      <c r="O195" s="11"/>
      <c r="P195" s="7">
        <v>1229.71</v>
      </c>
      <c r="Q195" s="2"/>
      <c r="R195" s="6">
        <f t="shared" si="110"/>
        <v>4.5524562622998763E-4</v>
      </c>
      <c r="S195" s="2"/>
      <c r="T195" s="7">
        <v>7995</v>
      </c>
      <c r="U195" s="2"/>
      <c r="V195" s="6">
        <f t="shared" si="111"/>
        <v>1.6323668850233861E-3</v>
      </c>
      <c r="W195" s="2"/>
      <c r="X195" s="7">
        <f t="shared" si="112"/>
        <v>-6765.29</v>
      </c>
      <c r="Y195" s="2"/>
      <c r="Z195" s="6">
        <f t="shared" si="113"/>
        <v>-0.8461901188242652</v>
      </c>
    </row>
    <row r="196" spans="1:26" s="24" customFormat="1" hidden="1" outlineLevel="2" x14ac:dyDescent="0.25">
      <c r="A196" s="29"/>
      <c r="B196" s="11" t="str">
        <f>CONCATENATE("          ", "6275", " - ", "SUBSCRIPTIONS")</f>
        <v xml:space="preserve">          6275 - SUBSCRIPTIONS</v>
      </c>
      <c r="C196" s="11"/>
      <c r="D196" s="7"/>
      <c r="E196" s="2"/>
      <c r="F196" s="6">
        <f t="shared" si="106"/>
        <v>0</v>
      </c>
      <c r="G196" s="2"/>
      <c r="H196" s="7">
        <v>176</v>
      </c>
      <c r="I196" s="2"/>
      <c r="J196" s="6">
        <f t="shared" si="107"/>
        <v>4.4429073780030644E-4</v>
      </c>
      <c r="K196" s="2"/>
      <c r="L196" s="7">
        <f t="shared" si="108"/>
        <v>-176</v>
      </c>
      <c r="M196" s="2"/>
      <c r="N196" s="6">
        <f t="shared" si="109"/>
        <v>-1</v>
      </c>
      <c r="O196" s="11"/>
      <c r="P196" s="7">
        <v>225.73</v>
      </c>
      <c r="Q196" s="2"/>
      <c r="R196" s="6">
        <f t="shared" si="110"/>
        <v>8.3566528050430672E-5</v>
      </c>
      <c r="S196" s="2"/>
      <c r="T196" s="7">
        <v>1056</v>
      </c>
      <c r="U196" s="2"/>
      <c r="V196" s="6">
        <f t="shared" si="111"/>
        <v>2.1560718331265736E-4</v>
      </c>
      <c r="W196" s="2"/>
      <c r="X196" s="7">
        <f t="shared" si="112"/>
        <v>-830.27</v>
      </c>
      <c r="Y196" s="2"/>
      <c r="Z196" s="6">
        <f t="shared" si="113"/>
        <v>-0.78624053030303032</v>
      </c>
    </row>
    <row r="197" spans="1:26" s="28" customFormat="1" outlineLevel="1" collapsed="1" x14ac:dyDescent="0.25">
      <c r="A197" s="27"/>
      <c r="B197" s="14" t="str">
        <f>CONCATENATE("     ","Supplies                                          ")</f>
        <v xml:space="preserve">     Supplies                                          </v>
      </c>
      <c r="C197" s="14"/>
      <c r="D197" s="1">
        <f>SUM(OSRRefD22_21x_0)</f>
        <v>5930.1799999999994</v>
      </c>
      <c r="E197" s="1"/>
      <c r="F197" s="5">
        <f t="shared" ref="F197:F206" si="114">IF(D$12=0,0,D197/D$12)</f>
        <v>2.5382595703820038E-2</v>
      </c>
      <c r="G197" s="1"/>
      <c r="H197" s="1">
        <f>SUM(OSRRefH22_21x_0)</f>
        <v>11033</v>
      </c>
      <c r="I197" s="1"/>
      <c r="J197" s="5">
        <f t="shared" ref="J197:J206" si="115">IF(H$12=0,0,H197/H$12)</f>
        <v>2.7851475625856711E-2</v>
      </c>
      <c r="K197" s="1"/>
      <c r="L197" s="1">
        <f t="shared" ref="L197:L206" si="116">+D197-H197</f>
        <v>-5102.8200000000006</v>
      </c>
      <c r="M197" s="1"/>
      <c r="N197" s="5">
        <f t="shared" ref="N197:N206" si="117">IF(H197=0,0,L197/H197)</f>
        <v>-0.46250521163781388</v>
      </c>
      <c r="O197" s="14"/>
      <c r="P197" s="1">
        <f>SUM(OSRRefP22_21x_0)</f>
        <v>78420.19</v>
      </c>
      <c r="Q197" s="1"/>
      <c r="R197" s="5">
        <f t="shared" ref="R197:R206" si="118">IF(P$12=0,0,P197/P$12)</f>
        <v>2.9031599731338783E-2</v>
      </c>
      <c r="S197" s="1"/>
      <c r="T197" s="1">
        <f>SUM(OSRRefT22_21x_0)</f>
        <v>120459</v>
      </c>
      <c r="U197" s="1"/>
      <c r="V197" s="5">
        <f t="shared" ref="V197:V206" si="119">IF(T$12=0,0,T197/T$12)</f>
        <v>2.4594531907821397E-2</v>
      </c>
      <c r="W197" s="1"/>
      <c r="X197" s="1">
        <f t="shared" ref="X197:X206" si="120">+P197-T197</f>
        <v>-42038.81</v>
      </c>
      <c r="Y197" s="1"/>
      <c r="Z197" s="5">
        <f t="shared" ref="Z197:Z206" si="121">IF(T197=0,0,X197/T197)</f>
        <v>-0.34898853551830911</v>
      </c>
    </row>
    <row r="198" spans="1:26" s="24" customFormat="1" hidden="1" outlineLevel="2" x14ac:dyDescent="0.25">
      <c r="A198" s="29"/>
      <c r="B198" s="11" t="str">
        <f>CONCATENATE("          ", "6234", " - ", "EXPENDABLE SUPPLIES &amp; EQUIPMEN")</f>
        <v xml:space="preserve">          6234 - EXPENDABLE SUPPLIES &amp; EQUIPMEN</v>
      </c>
      <c r="C198" s="11"/>
      <c r="D198" s="7"/>
      <c r="E198" s="2"/>
      <c r="F198" s="6">
        <f t="shared" si="114"/>
        <v>0</v>
      </c>
      <c r="G198" s="2"/>
      <c r="H198" s="7">
        <v>150</v>
      </c>
      <c r="I198" s="2"/>
      <c r="J198" s="6">
        <f t="shared" si="115"/>
        <v>3.7865687880707935E-4</v>
      </c>
      <c r="K198" s="2"/>
      <c r="L198" s="7">
        <f t="shared" si="116"/>
        <v>-150</v>
      </c>
      <c r="M198" s="2"/>
      <c r="N198" s="6">
        <f t="shared" si="117"/>
        <v>-1</v>
      </c>
      <c r="O198" s="11"/>
      <c r="P198" s="7">
        <v>-132.66999999999999</v>
      </c>
      <c r="Q198" s="2"/>
      <c r="R198" s="6">
        <f t="shared" si="118"/>
        <v>-4.9115187509195223E-5</v>
      </c>
      <c r="S198" s="2"/>
      <c r="T198" s="7">
        <v>928</v>
      </c>
      <c r="U198" s="2"/>
      <c r="V198" s="6">
        <f t="shared" si="119"/>
        <v>1.894729792747595E-4</v>
      </c>
      <c r="W198" s="2"/>
      <c r="X198" s="7">
        <f t="shared" si="120"/>
        <v>-1060.67</v>
      </c>
      <c r="Y198" s="2"/>
      <c r="Z198" s="6">
        <f t="shared" si="121"/>
        <v>-1.1429633620689656</v>
      </c>
    </row>
    <row r="199" spans="1:26" s="24" customFormat="1" hidden="1" outlineLevel="2" x14ac:dyDescent="0.25">
      <c r="A199" s="29"/>
      <c r="B199" s="11" t="str">
        <f>CONCATENATE("          ", "6235", " - ", "COVID-19 EXPENSES")</f>
        <v xml:space="preserve">          6235 - COVID-19 EXPENSES</v>
      </c>
      <c r="C199" s="11"/>
      <c r="D199" s="7">
        <v>2921.2</v>
      </c>
      <c r="E199" s="2"/>
      <c r="F199" s="6">
        <f t="shared" si="114"/>
        <v>1.2503438103059115E-2</v>
      </c>
      <c r="G199" s="2"/>
      <c r="H199" s="7">
        <v>900</v>
      </c>
      <c r="I199" s="2"/>
      <c r="J199" s="6">
        <f t="shared" si="115"/>
        <v>2.271941272842476E-3</v>
      </c>
      <c r="K199" s="2"/>
      <c r="L199" s="7">
        <f t="shared" si="116"/>
        <v>2021.1999999999998</v>
      </c>
      <c r="M199" s="2"/>
      <c r="N199" s="6">
        <f t="shared" si="117"/>
        <v>2.2457777777777777</v>
      </c>
      <c r="O199" s="11"/>
      <c r="P199" s="7">
        <v>31585.100000000002</v>
      </c>
      <c r="Q199" s="2"/>
      <c r="R199" s="6">
        <f t="shared" si="118"/>
        <v>1.1692983409939565E-2</v>
      </c>
      <c r="S199" s="2"/>
      <c r="T199" s="7">
        <v>65500</v>
      </c>
      <c r="U199" s="2"/>
      <c r="V199" s="6">
        <f t="shared" si="119"/>
        <v>1.3373362222518047E-2</v>
      </c>
      <c r="W199" s="2"/>
      <c r="X199" s="7">
        <f t="shared" si="120"/>
        <v>-33914.899999999994</v>
      </c>
      <c r="Y199" s="2"/>
      <c r="Z199" s="6">
        <f t="shared" si="121"/>
        <v>-0.51778473282442739</v>
      </c>
    </row>
    <row r="200" spans="1:26" s="24" customFormat="1" hidden="1" outlineLevel="2" x14ac:dyDescent="0.25">
      <c r="A200" s="29"/>
      <c r="B200" s="11" t="str">
        <f>CONCATENATE("          ", "6237", " - ", "JANITORIAL SUPPLIES")</f>
        <v xml:space="preserve">          6237 - JANITORIAL SUPPLIES</v>
      </c>
      <c r="C200" s="11"/>
      <c r="D200" s="7">
        <v>438.53</v>
      </c>
      <c r="E200" s="2"/>
      <c r="F200" s="6">
        <f t="shared" si="114"/>
        <v>1.8770137995804852E-3</v>
      </c>
      <c r="G200" s="2"/>
      <c r="H200" s="7">
        <v>406</v>
      </c>
      <c r="I200" s="2"/>
      <c r="J200" s="6">
        <f t="shared" si="115"/>
        <v>1.0248979519711615E-3</v>
      </c>
      <c r="K200" s="2"/>
      <c r="L200" s="7">
        <f t="shared" si="116"/>
        <v>32.529999999999973</v>
      </c>
      <c r="M200" s="2"/>
      <c r="N200" s="6">
        <f t="shared" si="117"/>
        <v>8.0123152709359532E-2</v>
      </c>
      <c r="O200" s="11"/>
      <c r="P200" s="7">
        <v>2251.4499999999998</v>
      </c>
      <c r="Q200" s="2"/>
      <c r="R200" s="6">
        <f t="shared" si="118"/>
        <v>8.3349957727879391E-4</v>
      </c>
      <c r="S200" s="2"/>
      <c r="T200" s="7">
        <v>2010</v>
      </c>
      <c r="U200" s="2"/>
      <c r="V200" s="6">
        <f t="shared" si="119"/>
        <v>4.1038867278261486E-4</v>
      </c>
      <c r="W200" s="2"/>
      <c r="X200" s="7">
        <f t="shared" si="120"/>
        <v>241.44999999999982</v>
      </c>
      <c r="Y200" s="2"/>
      <c r="Z200" s="6">
        <f t="shared" si="121"/>
        <v>0.12012437810945265</v>
      </c>
    </row>
    <row r="201" spans="1:26" s="24" customFormat="1" hidden="1" outlineLevel="2" x14ac:dyDescent="0.25">
      <c r="A201" s="29"/>
      <c r="B201" s="11" t="str">
        <f>CONCATENATE("          ", "6241", " - ", "OFFICE EXPENSE")</f>
        <v xml:space="preserve">          6241 - OFFICE EXPENSE</v>
      </c>
      <c r="C201" s="11"/>
      <c r="D201" s="7">
        <v>308.81</v>
      </c>
      <c r="E201" s="2"/>
      <c r="F201" s="6">
        <f t="shared" si="114"/>
        <v>1.3217810217053558E-3</v>
      </c>
      <c r="G201" s="2"/>
      <c r="H201" s="7">
        <v>925</v>
      </c>
      <c r="I201" s="2"/>
      <c r="J201" s="6">
        <f t="shared" si="115"/>
        <v>2.3350507526436561E-3</v>
      </c>
      <c r="K201" s="2"/>
      <c r="L201" s="7">
        <f t="shared" si="116"/>
        <v>-616.19000000000005</v>
      </c>
      <c r="M201" s="2"/>
      <c r="N201" s="6">
        <f t="shared" si="117"/>
        <v>-0.6661513513513514</v>
      </c>
      <c r="O201" s="11"/>
      <c r="P201" s="7">
        <v>8918.9699999999993</v>
      </c>
      <c r="Q201" s="2"/>
      <c r="R201" s="6">
        <f t="shared" si="118"/>
        <v>3.3018533499576913E-3</v>
      </c>
      <c r="S201" s="2"/>
      <c r="T201" s="7">
        <v>3350</v>
      </c>
      <c r="U201" s="2"/>
      <c r="V201" s="6">
        <f t="shared" si="119"/>
        <v>6.8398112130435812E-4</v>
      </c>
      <c r="W201" s="2"/>
      <c r="X201" s="7">
        <f t="shared" si="120"/>
        <v>5568.9699999999993</v>
      </c>
      <c r="Y201" s="2"/>
      <c r="Z201" s="6">
        <f t="shared" si="121"/>
        <v>1.6623791044776117</v>
      </c>
    </row>
    <row r="202" spans="1:26" s="24" customFormat="1" hidden="1" outlineLevel="2" x14ac:dyDescent="0.25">
      <c r="A202" s="29"/>
      <c r="B202" s="11" t="str">
        <f>CONCATENATE("          ", "6243", " - ", "PAPER SUPPLIES")</f>
        <v xml:space="preserve">          6243 - PAPER SUPPLIES</v>
      </c>
      <c r="C202" s="11"/>
      <c r="D202" s="7">
        <v>411.1</v>
      </c>
      <c r="E202" s="2"/>
      <c r="F202" s="6">
        <f t="shared" si="114"/>
        <v>1.759606806849104E-3</v>
      </c>
      <c r="G202" s="2"/>
      <c r="H202" s="7">
        <v>3350</v>
      </c>
      <c r="I202" s="2"/>
      <c r="J202" s="6">
        <f t="shared" si="115"/>
        <v>8.4566702933581064E-3</v>
      </c>
      <c r="K202" s="2"/>
      <c r="L202" s="7">
        <f t="shared" si="116"/>
        <v>-2938.9</v>
      </c>
      <c r="M202" s="2"/>
      <c r="N202" s="6">
        <f t="shared" si="117"/>
        <v>-0.87728358208955226</v>
      </c>
      <c r="O202" s="11"/>
      <c r="P202" s="7">
        <v>5093.3999999999996</v>
      </c>
      <c r="Q202" s="2"/>
      <c r="R202" s="6">
        <f t="shared" si="118"/>
        <v>1.8856056083465362E-3</v>
      </c>
      <c r="S202" s="2"/>
      <c r="T202" s="7">
        <v>9376</v>
      </c>
      <c r="U202" s="2"/>
      <c r="V202" s="6">
        <f t="shared" si="119"/>
        <v>1.9143304457760184E-3</v>
      </c>
      <c r="W202" s="2"/>
      <c r="X202" s="7">
        <f t="shared" si="120"/>
        <v>-4282.6000000000004</v>
      </c>
      <c r="Y202" s="2"/>
      <c r="Z202" s="6">
        <f t="shared" si="121"/>
        <v>-0.45676194539249149</v>
      </c>
    </row>
    <row r="203" spans="1:26" s="24" customFormat="1" hidden="1" outlineLevel="2" x14ac:dyDescent="0.25">
      <c r="A203" s="29"/>
      <c r="B203" s="11" t="str">
        <f>CONCATENATE("          ", "6244", " - ", "SAFETY SUPPLY EXPENSE")</f>
        <v xml:space="preserve">          6244 - SAFETY SUPPLY EXPENSE</v>
      </c>
      <c r="C203" s="11"/>
      <c r="D203" s="7"/>
      <c r="E203" s="2"/>
      <c r="F203" s="6">
        <f t="shared" si="114"/>
        <v>0</v>
      </c>
      <c r="G203" s="2"/>
      <c r="H203" s="7">
        <v>0</v>
      </c>
      <c r="I203" s="2"/>
      <c r="J203" s="6">
        <f t="shared" si="115"/>
        <v>0</v>
      </c>
      <c r="K203" s="2"/>
      <c r="L203" s="7">
        <f t="shared" si="116"/>
        <v>0</v>
      </c>
      <c r="M203" s="2"/>
      <c r="N203" s="6">
        <f t="shared" si="117"/>
        <v>0</v>
      </c>
      <c r="O203" s="11"/>
      <c r="P203" s="7"/>
      <c r="Q203" s="2"/>
      <c r="R203" s="6">
        <f t="shared" si="118"/>
        <v>0</v>
      </c>
      <c r="S203" s="2"/>
      <c r="T203" s="7">
        <v>50</v>
      </c>
      <c r="U203" s="2"/>
      <c r="V203" s="6">
        <f t="shared" si="119"/>
        <v>1.0208673452303853E-5</v>
      </c>
      <c r="W203" s="2"/>
      <c r="X203" s="7">
        <f t="shared" si="120"/>
        <v>-50</v>
      </c>
      <c r="Y203" s="2"/>
      <c r="Z203" s="6">
        <f t="shared" si="121"/>
        <v>-1</v>
      </c>
    </row>
    <row r="204" spans="1:26" s="24" customFormat="1" hidden="1" outlineLevel="2" x14ac:dyDescent="0.25">
      <c r="A204" s="29"/>
      <c r="B204" s="11" t="str">
        <f>CONCATENATE("          ", "6245", " - ", "PRINTING")</f>
        <v xml:space="preserve">          6245 - PRINTING</v>
      </c>
      <c r="C204" s="11"/>
      <c r="D204" s="7"/>
      <c r="E204" s="2"/>
      <c r="F204" s="6">
        <f t="shared" si="114"/>
        <v>0</v>
      </c>
      <c r="G204" s="2"/>
      <c r="H204" s="7">
        <v>650</v>
      </c>
      <c r="I204" s="2"/>
      <c r="J204" s="6">
        <f t="shared" si="115"/>
        <v>1.6408464748306772E-3</v>
      </c>
      <c r="K204" s="2"/>
      <c r="L204" s="7">
        <f t="shared" si="116"/>
        <v>-650</v>
      </c>
      <c r="M204" s="2"/>
      <c r="N204" s="6">
        <f t="shared" si="117"/>
        <v>-1</v>
      </c>
      <c r="O204" s="11"/>
      <c r="P204" s="7">
        <v>508.27</v>
      </c>
      <c r="Q204" s="2"/>
      <c r="R204" s="6">
        <f t="shared" si="118"/>
        <v>1.8816444075750853E-4</v>
      </c>
      <c r="S204" s="2"/>
      <c r="T204" s="7">
        <v>2800</v>
      </c>
      <c r="U204" s="2"/>
      <c r="V204" s="6">
        <f t="shared" si="119"/>
        <v>5.716857133290157E-4</v>
      </c>
      <c r="W204" s="2"/>
      <c r="X204" s="7">
        <f t="shared" si="120"/>
        <v>-2291.73</v>
      </c>
      <c r="Y204" s="2"/>
      <c r="Z204" s="6">
        <f t="shared" si="121"/>
        <v>-0.81847499999999995</v>
      </c>
    </row>
    <row r="205" spans="1:26" s="24" customFormat="1" hidden="1" outlineLevel="2" x14ac:dyDescent="0.25">
      <c r="A205" s="29"/>
      <c r="B205" s="11" t="str">
        <f>CONCATENATE("          ", "6247", " - ", "STORE SUPPLIES")</f>
        <v xml:space="preserve">          6247 - STORE SUPPLIES</v>
      </c>
      <c r="C205" s="11"/>
      <c r="D205" s="7">
        <v>1850.54</v>
      </c>
      <c r="E205" s="2"/>
      <c r="F205" s="6">
        <f t="shared" si="114"/>
        <v>7.9207559726259813E-3</v>
      </c>
      <c r="G205" s="2"/>
      <c r="H205" s="7">
        <v>3152</v>
      </c>
      <c r="I205" s="2"/>
      <c r="J205" s="6">
        <f t="shared" si="115"/>
        <v>7.9568432133327611E-3</v>
      </c>
      <c r="K205" s="2"/>
      <c r="L205" s="7">
        <f t="shared" si="116"/>
        <v>-1301.46</v>
      </c>
      <c r="M205" s="2"/>
      <c r="N205" s="6">
        <f t="shared" si="117"/>
        <v>-0.41289974619289344</v>
      </c>
      <c r="O205" s="11"/>
      <c r="P205" s="7">
        <v>30195.670000000002</v>
      </c>
      <c r="Q205" s="2"/>
      <c r="R205" s="6">
        <f t="shared" si="118"/>
        <v>1.1178608532567883E-2</v>
      </c>
      <c r="S205" s="2"/>
      <c r="T205" s="7">
        <v>27245</v>
      </c>
      <c r="U205" s="2"/>
      <c r="V205" s="6">
        <f t="shared" si="119"/>
        <v>5.5627061641603691E-3</v>
      </c>
      <c r="W205" s="2"/>
      <c r="X205" s="7">
        <f t="shared" si="120"/>
        <v>2950.6700000000019</v>
      </c>
      <c r="Y205" s="2"/>
      <c r="Z205" s="6">
        <f t="shared" si="121"/>
        <v>0.10830133969535702</v>
      </c>
    </row>
    <row r="206" spans="1:26" s="24" customFormat="1" hidden="1" outlineLevel="2" x14ac:dyDescent="0.25">
      <c r="A206" s="29"/>
      <c r="B206" s="11" t="str">
        <f>CONCATENATE("          ", "6248", " - ", "UNIFORMS")</f>
        <v xml:space="preserve">          6248 - UNIFORMS</v>
      </c>
      <c r="C206" s="11"/>
      <c r="D206" s="7"/>
      <c r="E206" s="2"/>
      <c r="F206" s="6">
        <f t="shared" si="114"/>
        <v>0</v>
      </c>
      <c r="G206" s="2"/>
      <c r="H206" s="7">
        <v>1500</v>
      </c>
      <c r="I206" s="2"/>
      <c r="J206" s="6">
        <f t="shared" si="115"/>
        <v>3.7865687880707937E-3</v>
      </c>
      <c r="K206" s="2"/>
      <c r="L206" s="7">
        <f t="shared" si="116"/>
        <v>-1500</v>
      </c>
      <c r="M206" s="2"/>
      <c r="N206" s="6">
        <f t="shared" si="117"/>
        <v>-1</v>
      </c>
      <c r="O206" s="11"/>
      <c r="P206" s="7"/>
      <c r="Q206" s="2"/>
      <c r="R206" s="6">
        <f t="shared" si="118"/>
        <v>0</v>
      </c>
      <c r="S206" s="2"/>
      <c r="T206" s="7">
        <v>9200</v>
      </c>
      <c r="U206" s="2"/>
      <c r="V206" s="6">
        <f t="shared" si="119"/>
        <v>1.878395915223909E-3</v>
      </c>
      <c r="W206" s="2"/>
      <c r="X206" s="7">
        <f t="shared" si="120"/>
        <v>-9200</v>
      </c>
      <c r="Y206" s="2"/>
      <c r="Z206" s="6">
        <f t="shared" si="121"/>
        <v>-1</v>
      </c>
    </row>
    <row r="207" spans="1:26" s="28" customFormat="1" outlineLevel="1" collapsed="1" x14ac:dyDescent="0.25">
      <c r="A207" s="27"/>
      <c r="B207" s="14" t="str">
        <f>CONCATENATE("     ","Telephone/Data Lines                              ")</f>
        <v xml:space="preserve">     Telephone/Data Lines                              </v>
      </c>
      <c r="C207" s="14"/>
      <c r="D207" s="1">
        <f>SUM(OSRRefD22_22x_0)</f>
        <v>2247.09</v>
      </c>
      <c r="E207" s="1"/>
      <c r="F207" s="5">
        <f t="shared" ref="F207:F209" si="122">IF(D$12=0,0,D207/D$12)</f>
        <v>9.6180852824192496E-3</v>
      </c>
      <c r="G207" s="1"/>
      <c r="H207" s="1">
        <f>SUM(OSRRefH22_22x_0)</f>
        <v>2830</v>
      </c>
      <c r="I207" s="1"/>
      <c r="J207" s="5">
        <f t="shared" ref="J207:J209" si="123">IF(H$12=0,0,H207/H$12)</f>
        <v>7.1439931134935639E-3</v>
      </c>
      <c r="K207" s="1"/>
      <c r="L207" s="1">
        <f t="shared" ref="L207:L209" si="124">+D207-H207</f>
        <v>-582.90999999999985</v>
      </c>
      <c r="M207" s="1"/>
      <c r="N207" s="5">
        <f t="shared" ref="N207:N209" si="125">IF(H207=0,0,L207/H207)</f>
        <v>-0.2059752650176678</v>
      </c>
      <c r="O207" s="14"/>
      <c r="P207" s="1">
        <f>SUM(OSRRefP22_22x_0)</f>
        <v>17688.48</v>
      </c>
      <c r="Q207" s="1"/>
      <c r="R207" s="5">
        <f t="shared" ref="R207:R209" si="126">IF(P$12=0,0,P207/P$12)</f>
        <v>6.5483757590461258E-3</v>
      </c>
      <c r="S207" s="1"/>
      <c r="T207" s="1">
        <f>SUM(OSRRefT22_22x_0)</f>
        <v>17275</v>
      </c>
      <c r="U207" s="1"/>
      <c r="V207" s="5">
        <f t="shared" ref="V207:V209" si="127">IF(T$12=0,0,T207/T$12)</f>
        <v>3.5270966777709812E-3</v>
      </c>
      <c r="W207" s="1"/>
      <c r="X207" s="1">
        <f t="shared" ref="X207:X209" si="128">+P207-T207</f>
        <v>413.47999999999956</v>
      </c>
      <c r="Y207" s="1"/>
      <c r="Z207" s="5">
        <f t="shared" ref="Z207:Z209" si="129">IF(T207=0,0,X207/T207)</f>
        <v>2.3935166425470309E-2</v>
      </c>
    </row>
    <row r="208" spans="1:26" s="24" customFormat="1" hidden="1" outlineLevel="2" x14ac:dyDescent="0.25">
      <c r="A208" s="29"/>
      <c r="B208" s="11" t="str">
        <f>CONCATENATE("          ", "6303", " - ", "DATA PHONE LINES")</f>
        <v xml:space="preserve">          6303 - DATA PHONE LINES</v>
      </c>
      <c r="C208" s="11"/>
      <c r="D208" s="7"/>
      <c r="E208" s="2"/>
      <c r="F208" s="6">
        <f t="shared" si="122"/>
        <v>0</v>
      </c>
      <c r="G208" s="2"/>
      <c r="H208" s="7">
        <v>865</v>
      </c>
      <c r="I208" s="2"/>
      <c r="J208" s="6">
        <f t="shared" si="123"/>
        <v>2.1835880011208245E-3</v>
      </c>
      <c r="K208" s="2"/>
      <c r="L208" s="7">
        <f t="shared" si="124"/>
        <v>-865</v>
      </c>
      <c r="M208" s="2"/>
      <c r="N208" s="6">
        <f t="shared" si="125"/>
        <v>-1</v>
      </c>
      <c r="O208" s="11"/>
      <c r="P208" s="7">
        <v>2065</v>
      </c>
      <c r="Q208" s="2"/>
      <c r="R208" s="6">
        <f t="shared" si="126"/>
        <v>7.6447472832206337E-4</v>
      </c>
      <c r="S208" s="2"/>
      <c r="T208" s="7">
        <v>5185</v>
      </c>
      <c r="U208" s="2"/>
      <c r="V208" s="6">
        <f t="shared" si="127"/>
        <v>1.0586394370039095E-3</v>
      </c>
      <c r="W208" s="2"/>
      <c r="X208" s="7">
        <f t="shared" si="128"/>
        <v>-3120</v>
      </c>
      <c r="Y208" s="2"/>
      <c r="Z208" s="6">
        <f t="shared" si="129"/>
        <v>-0.60173577627772423</v>
      </c>
    </row>
    <row r="209" spans="1:26" s="24" customFormat="1" hidden="1" outlineLevel="2" x14ac:dyDescent="0.25">
      <c r="A209" s="29"/>
      <c r="B209" s="11" t="str">
        <f>CONCATENATE("          ", "6309", " - ", "TELEPHONE")</f>
        <v xml:space="preserve">          6309 - TELEPHONE</v>
      </c>
      <c r="C209" s="11"/>
      <c r="D209" s="7">
        <v>2247.09</v>
      </c>
      <c r="E209" s="2"/>
      <c r="F209" s="6">
        <f t="shared" si="122"/>
        <v>9.6180852824192496E-3</v>
      </c>
      <c r="G209" s="2"/>
      <c r="H209" s="7">
        <v>1965</v>
      </c>
      <c r="I209" s="2"/>
      <c r="J209" s="6">
        <f t="shared" si="123"/>
        <v>4.9604051123727398E-3</v>
      </c>
      <c r="K209" s="2"/>
      <c r="L209" s="7">
        <f t="shared" si="124"/>
        <v>282.09000000000015</v>
      </c>
      <c r="M209" s="2"/>
      <c r="N209" s="6">
        <f t="shared" si="125"/>
        <v>0.14355725190839702</v>
      </c>
      <c r="O209" s="11"/>
      <c r="P209" s="7">
        <v>15623.48</v>
      </c>
      <c r="Q209" s="2"/>
      <c r="R209" s="6">
        <f t="shared" si="126"/>
        <v>5.7839010307240623E-3</v>
      </c>
      <c r="S209" s="2"/>
      <c r="T209" s="7">
        <v>12090</v>
      </c>
      <c r="U209" s="2"/>
      <c r="V209" s="6">
        <f t="shared" si="127"/>
        <v>2.4684572407670715E-3</v>
      </c>
      <c r="W209" s="2"/>
      <c r="X209" s="7">
        <f t="shared" si="128"/>
        <v>3533.4799999999996</v>
      </c>
      <c r="Y209" s="2"/>
      <c r="Z209" s="6">
        <f t="shared" si="129"/>
        <v>0.29226468155500412</v>
      </c>
    </row>
    <row r="210" spans="1:26" s="28" customFormat="1" outlineLevel="1" collapsed="1" x14ac:dyDescent="0.25">
      <c r="A210" s="27"/>
      <c r="B210" s="14" t="str">
        <f>CONCATENATE("     ","Training                                          ")</f>
        <v xml:space="preserve">     Training                                          </v>
      </c>
      <c r="C210" s="14"/>
      <c r="D210" s="1">
        <f>SUM(OSRRefD22_23x_0)</f>
        <v>0</v>
      </c>
      <c r="E210" s="1"/>
      <c r="F210" s="5">
        <f t="shared" ref="F210:F215" si="130">IF(D$12=0,0,D210/D$12)</f>
        <v>0</v>
      </c>
      <c r="G210" s="1"/>
      <c r="H210" s="1">
        <f>SUM(OSRRefH22_23x_0)</f>
        <v>1800</v>
      </c>
      <c r="I210" s="1"/>
      <c r="J210" s="5">
        <f t="shared" ref="J210:J215" si="131">IF(H$12=0,0,H210/H$12)</f>
        <v>4.543882545684952E-3</v>
      </c>
      <c r="K210" s="1"/>
      <c r="L210" s="1">
        <f t="shared" ref="L210:L215" si="132">+D210-H210</f>
        <v>-1800</v>
      </c>
      <c r="M210" s="1"/>
      <c r="N210" s="5">
        <f t="shared" ref="N210:N215" si="133">IF(H210=0,0,L210/H210)</f>
        <v>-1</v>
      </c>
      <c r="O210" s="14"/>
      <c r="P210" s="1">
        <f>SUM(OSRRefP22_23x_0)</f>
        <v>145.63</v>
      </c>
      <c r="Q210" s="1"/>
      <c r="R210" s="5">
        <f t="shared" ref="R210:R215" si="134">IF(P$12=0,0,P210/P$12)</f>
        <v>5.3913053116485267E-5</v>
      </c>
      <c r="S210" s="1"/>
      <c r="T210" s="1">
        <f>SUM(OSRRefT22_23x_0)</f>
        <v>5230</v>
      </c>
      <c r="U210" s="1"/>
      <c r="V210" s="5">
        <f t="shared" ref="V210:V215" si="135">IF(T$12=0,0,T210/T$12)</f>
        <v>1.0678272431109829E-3</v>
      </c>
      <c r="W210" s="1"/>
      <c r="X210" s="1">
        <f t="shared" ref="X210:X215" si="136">+P210-T210</f>
        <v>-5084.37</v>
      </c>
      <c r="Y210" s="1"/>
      <c r="Z210" s="5">
        <f t="shared" ref="Z210:Z215" si="137">IF(T210=0,0,X210/T210)</f>
        <v>-0.9721548757170172</v>
      </c>
    </row>
    <row r="211" spans="1:26" s="24" customFormat="1" hidden="1" outlineLevel="2" x14ac:dyDescent="0.25">
      <c r="A211" s="29"/>
      <c r="B211" s="11" t="str">
        <f>CONCATENATE("          ", "6376", " - ", "TRAINING")</f>
        <v xml:space="preserve">          6376 - TRAINING</v>
      </c>
      <c r="C211" s="11"/>
      <c r="D211" s="7"/>
      <c r="E211" s="2"/>
      <c r="F211" s="6">
        <f t="shared" si="130"/>
        <v>0</v>
      </c>
      <c r="G211" s="2"/>
      <c r="H211" s="7">
        <v>1800</v>
      </c>
      <c r="I211" s="2"/>
      <c r="J211" s="6">
        <f t="shared" si="131"/>
        <v>4.543882545684952E-3</v>
      </c>
      <c r="K211" s="2"/>
      <c r="L211" s="7">
        <f t="shared" si="132"/>
        <v>-1800</v>
      </c>
      <c r="M211" s="2"/>
      <c r="N211" s="6">
        <f t="shared" si="133"/>
        <v>-1</v>
      </c>
      <c r="O211" s="11"/>
      <c r="P211" s="7">
        <v>145.63</v>
      </c>
      <c r="Q211" s="2"/>
      <c r="R211" s="6">
        <f t="shared" si="134"/>
        <v>5.3913053116485267E-5</v>
      </c>
      <c r="S211" s="2"/>
      <c r="T211" s="7">
        <v>5230</v>
      </c>
      <c r="U211" s="2"/>
      <c r="V211" s="6">
        <f t="shared" si="135"/>
        <v>1.0678272431109829E-3</v>
      </c>
      <c r="W211" s="2"/>
      <c r="X211" s="7">
        <f t="shared" si="136"/>
        <v>-5084.37</v>
      </c>
      <c r="Y211" s="2"/>
      <c r="Z211" s="6">
        <f t="shared" si="137"/>
        <v>-0.9721548757170172</v>
      </c>
    </row>
    <row r="212" spans="1:26" s="28" customFormat="1" outlineLevel="1" collapsed="1" x14ac:dyDescent="0.25">
      <c r="A212" s="27"/>
      <c r="B212" s="14" t="str">
        <f>CONCATENATE("     ","Travel                                            ")</f>
        <v xml:space="preserve">     Travel                                            </v>
      </c>
      <c r="C212" s="14"/>
      <c r="D212" s="1">
        <f>SUM(OSRRefD22_24x_0)</f>
        <v>0</v>
      </c>
      <c r="E212" s="1"/>
      <c r="F212" s="5">
        <f t="shared" si="130"/>
        <v>0</v>
      </c>
      <c r="G212" s="1"/>
      <c r="H212" s="1">
        <f>SUM(OSRRefH22_24x_0)</f>
        <v>225</v>
      </c>
      <c r="I212" s="1"/>
      <c r="J212" s="5">
        <f t="shared" si="131"/>
        <v>5.6798531821061901E-4</v>
      </c>
      <c r="K212" s="1"/>
      <c r="L212" s="1">
        <f t="shared" si="132"/>
        <v>-225</v>
      </c>
      <c r="M212" s="1"/>
      <c r="N212" s="5">
        <f t="shared" si="133"/>
        <v>-1</v>
      </c>
      <c r="O212" s="14"/>
      <c r="P212" s="1">
        <f>SUM(OSRRefP22_24x_0)</f>
        <v>680.93</v>
      </c>
      <c r="Q212" s="1"/>
      <c r="R212" s="5">
        <f t="shared" si="134"/>
        <v>2.5208415339290197E-4</v>
      </c>
      <c r="S212" s="1"/>
      <c r="T212" s="1">
        <f>SUM(OSRRefT22_24x_0)</f>
        <v>1975</v>
      </c>
      <c r="U212" s="1"/>
      <c r="V212" s="5">
        <f t="shared" si="135"/>
        <v>4.0324260136600219E-4</v>
      </c>
      <c r="W212" s="1"/>
      <c r="X212" s="1">
        <f t="shared" si="136"/>
        <v>-1294.0700000000002</v>
      </c>
      <c r="Y212" s="1"/>
      <c r="Z212" s="5">
        <f t="shared" si="137"/>
        <v>-0.65522531645569626</v>
      </c>
    </row>
    <row r="213" spans="1:26" s="24" customFormat="1" hidden="1" outlineLevel="2" x14ac:dyDescent="0.25">
      <c r="A213" s="29"/>
      <c r="B213" s="11" t="str">
        <f>CONCATENATE("          ", "6292", " - ", "TRAVEL/CONFERENCE")</f>
        <v xml:space="preserve">          6292 - TRAVEL/CONFERENCE</v>
      </c>
      <c r="C213" s="11"/>
      <c r="D213" s="7"/>
      <c r="E213" s="2"/>
      <c r="F213" s="6">
        <f t="shared" si="130"/>
        <v>0</v>
      </c>
      <c r="G213" s="2"/>
      <c r="H213" s="7"/>
      <c r="I213" s="2"/>
      <c r="J213" s="6">
        <f t="shared" si="131"/>
        <v>0</v>
      </c>
      <c r="K213" s="2"/>
      <c r="L213" s="7">
        <f t="shared" si="132"/>
        <v>0</v>
      </c>
      <c r="M213" s="2"/>
      <c r="N213" s="6">
        <f t="shared" si="133"/>
        <v>0</v>
      </c>
      <c r="O213" s="11"/>
      <c r="P213" s="7">
        <v>299.16000000000003</v>
      </c>
      <c r="Q213" s="2"/>
      <c r="R213" s="6">
        <f t="shared" si="134"/>
        <v>1.1075073110161185E-4</v>
      </c>
      <c r="S213" s="2"/>
      <c r="T213" s="7">
        <v>1500</v>
      </c>
      <c r="U213" s="2"/>
      <c r="V213" s="6">
        <f t="shared" si="135"/>
        <v>3.062602035691156E-4</v>
      </c>
      <c r="W213" s="2"/>
      <c r="X213" s="7">
        <f t="shared" si="136"/>
        <v>-1200.8399999999999</v>
      </c>
      <c r="Y213" s="2"/>
      <c r="Z213" s="6">
        <f t="shared" si="137"/>
        <v>-0.80055999999999994</v>
      </c>
    </row>
    <row r="214" spans="1:26" s="24" customFormat="1" hidden="1" outlineLevel="2" x14ac:dyDescent="0.25">
      <c r="A214" s="29"/>
      <c r="B214" s="11" t="str">
        <f>CONCATENATE("          ", "6294", " - ", "TRAVEL OPERATIONAL")</f>
        <v xml:space="preserve">          6294 - TRAVEL OPERATIONAL</v>
      </c>
      <c r="C214" s="11"/>
      <c r="D214" s="7"/>
      <c r="E214" s="2"/>
      <c r="F214" s="6">
        <f t="shared" si="130"/>
        <v>0</v>
      </c>
      <c r="G214" s="2"/>
      <c r="H214" s="7">
        <v>25</v>
      </c>
      <c r="I214" s="2"/>
      <c r="J214" s="6">
        <f t="shared" si="131"/>
        <v>6.3109479801179902E-5</v>
      </c>
      <c r="K214" s="2"/>
      <c r="L214" s="7">
        <f t="shared" si="132"/>
        <v>-25</v>
      </c>
      <c r="M214" s="2"/>
      <c r="N214" s="6">
        <f t="shared" si="133"/>
        <v>-1</v>
      </c>
      <c r="O214" s="11"/>
      <c r="P214" s="7">
        <v>321.88</v>
      </c>
      <c r="Q214" s="2"/>
      <c r="R214" s="6">
        <f t="shared" si="134"/>
        <v>1.1916180414155241E-4</v>
      </c>
      <c r="S214" s="2"/>
      <c r="T214" s="7">
        <v>150</v>
      </c>
      <c r="U214" s="2"/>
      <c r="V214" s="6">
        <f t="shared" si="135"/>
        <v>3.0626020356911558E-5</v>
      </c>
      <c r="W214" s="2"/>
      <c r="X214" s="7">
        <f t="shared" si="136"/>
        <v>171.88</v>
      </c>
      <c r="Y214" s="2"/>
      <c r="Z214" s="6">
        <f t="shared" si="137"/>
        <v>1.1458666666666666</v>
      </c>
    </row>
    <row r="215" spans="1:26" s="24" customFormat="1" hidden="1" outlineLevel="2" x14ac:dyDescent="0.25">
      <c r="A215" s="29"/>
      <c r="B215" s="11" t="str">
        <f>CONCATENATE("          ", "6298", " - ", "VEHICLE MILEAGE")</f>
        <v xml:space="preserve">          6298 - VEHICLE MILEAGE</v>
      </c>
      <c r="C215" s="11"/>
      <c r="D215" s="7"/>
      <c r="E215" s="2"/>
      <c r="F215" s="6">
        <f t="shared" si="130"/>
        <v>0</v>
      </c>
      <c r="G215" s="2"/>
      <c r="H215" s="7">
        <v>200</v>
      </c>
      <c r="I215" s="2"/>
      <c r="J215" s="6">
        <f t="shared" si="131"/>
        <v>5.0487583840943921E-4</v>
      </c>
      <c r="K215" s="2"/>
      <c r="L215" s="7">
        <f t="shared" si="132"/>
        <v>-200</v>
      </c>
      <c r="M215" s="2"/>
      <c r="N215" s="6">
        <f t="shared" si="133"/>
        <v>-1</v>
      </c>
      <c r="O215" s="11"/>
      <c r="P215" s="7">
        <v>59.89</v>
      </c>
      <c r="Q215" s="2"/>
      <c r="R215" s="6">
        <f t="shared" si="134"/>
        <v>2.2171618149737711E-5</v>
      </c>
      <c r="S215" s="2"/>
      <c r="T215" s="7">
        <v>325</v>
      </c>
      <c r="U215" s="2"/>
      <c r="V215" s="6">
        <f t="shared" si="135"/>
        <v>6.635637743997504E-5</v>
      </c>
      <c r="W215" s="2"/>
      <c r="X215" s="7">
        <f t="shared" si="136"/>
        <v>-265.11</v>
      </c>
      <c r="Y215" s="2"/>
      <c r="Z215" s="6">
        <f t="shared" si="137"/>
        <v>-0.815723076923077</v>
      </c>
    </row>
    <row r="216" spans="1:26" s="28" customFormat="1" outlineLevel="1" collapsed="1" x14ac:dyDescent="0.25">
      <c r="A216" s="27"/>
      <c r="B216" s="14" t="str">
        <f>CONCATENATE("     ","Utilities                                         ")</f>
        <v xml:space="preserve">     Utilities                                         </v>
      </c>
      <c r="C216" s="14"/>
      <c r="D216" s="1">
        <f>SUM(OSRRefD22_25x_0)</f>
        <v>7311.61</v>
      </c>
      <c r="E216" s="1"/>
      <c r="F216" s="5">
        <f t="shared" ref="F216:F217" si="138">IF(D$12=0,0,D216/D$12)</f>
        <v>3.1295448127039591E-2</v>
      </c>
      <c r="G216" s="1"/>
      <c r="H216" s="1">
        <f>SUM(OSRRefH22_25x_0)</f>
        <v>8207</v>
      </c>
      <c r="I216" s="1"/>
      <c r="J216" s="5">
        <f t="shared" ref="J216:J217" si="139">IF(H$12=0,0,H216/H$12)</f>
        <v>2.0717580029131336E-2</v>
      </c>
      <c r="K216" s="1"/>
      <c r="L216" s="1">
        <f t="shared" ref="L216:L217" si="140">+D216-H216</f>
        <v>-895.39000000000033</v>
      </c>
      <c r="M216" s="1"/>
      <c r="N216" s="5">
        <f t="shared" ref="N216:N217" si="141">IF(H216=0,0,L216/H216)</f>
        <v>-0.10910076763738276</v>
      </c>
      <c r="O216" s="14"/>
      <c r="P216" s="1">
        <f>SUM(OSRRefP22_25x_0)</f>
        <v>40319.420000000006</v>
      </c>
      <c r="Q216" s="1"/>
      <c r="R216" s="5">
        <f t="shared" ref="R216:R217" si="142">IF(P$12=0,0,P216/P$12)</f>
        <v>1.4926478281163762E-2</v>
      </c>
      <c r="S216" s="1"/>
      <c r="T216" s="1">
        <f>SUM(OSRRefT22_25x_0)</f>
        <v>42066</v>
      </c>
      <c r="U216" s="1"/>
      <c r="V216" s="5">
        <f t="shared" ref="V216:V217" si="143">IF(T$12=0,0,T216/T$12)</f>
        <v>8.5887611488922773E-3</v>
      </c>
      <c r="W216" s="1"/>
      <c r="X216" s="1">
        <f t="shared" ref="X216:X217" si="144">+P216-T216</f>
        <v>-1746.5799999999945</v>
      </c>
      <c r="Y216" s="1"/>
      <c r="Z216" s="5">
        <f t="shared" ref="Z216:Z217" si="145">IF(T216=0,0,X216/T216)</f>
        <v>-4.1519992392906255E-2</v>
      </c>
    </row>
    <row r="217" spans="1:26" s="24" customFormat="1" hidden="1" outlineLevel="2" x14ac:dyDescent="0.25">
      <c r="A217" s="29"/>
      <c r="B217" s="11" t="str">
        <f>CONCATENATE("          ", "6274", " - ", "UTILITIES")</f>
        <v xml:space="preserve">          6274 - UTILITIES</v>
      </c>
      <c r="C217" s="11"/>
      <c r="D217" s="7">
        <v>7311.61</v>
      </c>
      <c r="E217" s="2"/>
      <c r="F217" s="6">
        <f t="shared" si="138"/>
        <v>3.1295448127039591E-2</v>
      </c>
      <c r="G217" s="2"/>
      <c r="H217" s="7">
        <v>8207</v>
      </c>
      <c r="I217" s="2"/>
      <c r="J217" s="6">
        <f t="shared" si="139"/>
        <v>2.0717580029131336E-2</v>
      </c>
      <c r="K217" s="2"/>
      <c r="L217" s="7">
        <f t="shared" si="140"/>
        <v>-895.39000000000033</v>
      </c>
      <c r="M217" s="2"/>
      <c r="N217" s="6">
        <f t="shared" si="141"/>
        <v>-0.10910076763738276</v>
      </c>
      <c r="O217" s="11"/>
      <c r="P217" s="7">
        <v>40319.420000000006</v>
      </c>
      <c r="Q217" s="2"/>
      <c r="R217" s="6">
        <f t="shared" si="142"/>
        <v>1.4926478281163762E-2</v>
      </c>
      <c r="S217" s="2"/>
      <c r="T217" s="7">
        <v>42066</v>
      </c>
      <c r="U217" s="2"/>
      <c r="V217" s="6">
        <f t="shared" si="143"/>
        <v>8.5887611488922773E-3</v>
      </c>
      <c r="W217" s="2"/>
      <c r="X217" s="7">
        <f t="shared" si="144"/>
        <v>-1746.5799999999945</v>
      </c>
      <c r="Y217" s="2"/>
      <c r="Z217" s="6">
        <f t="shared" si="145"/>
        <v>-4.1519992392906255E-2</v>
      </c>
    </row>
    <row r="218" spans="1:26" s="53" customFormat="1" x14ac:dyDescent="0.25">
      <c r="A218" s="36"/>
      <c r="B218" s="36"/>
      <c r="C218" s="36"/>
      <c r="D218" s="1"/>
      <c r="E218" s="1"/>
      <c r="F218" s="5"/>
      <c r="G218" s="1"/>
      <c r="H218" s="1"/>
      <c r="I218" s="1"/>
      <c r="J218" s="5"/>
      <c r="K218" s="1"/>
      <c r="L218" s="1"/>
      <c r="M218" s="1"/>
      <c r="N218" s="5"/>
      <c r="O218" s="36"/>
      <c r="P218" s="1"/>
      <c r="Q218" s="1"/>
      <c r="R218" s="5"/>
      <c r="S218" s="1"/>
      <c r="T218" s="1"/>
      <c r="U218" s="1"/>
      <c r="V218" s="5"/>
      <c r="W218" s="1"/>
      <c r="X218" s="1"/>
      <c r="Y218" s="1"/>
      <c r="Z218" s="5"/>
    </row>
    <row r="219" spans="1:26" s="23" customFormat="1" collapsed="1" x14ac:dyDescent="0.25">
      <c r="A219" s="10"/>
      <c r="B219" s="26" t="s">
        <v>0</v>
      </c>
      <c r="C219" s="10"/>
      <c r="D219" s="4">
        <f>SUM(OSRRefD25x_0)</f>
        <v>20009.02</v>
      </c>
      <c r="E219" s="4"/>
      <c r="F219" s="12">
        <f t="shared" ref="F219:F223" si="146">IF(D$12=0,0,D219/D$12)</f>
        <v>8.5643414717537961E-2</v>
      </c>
      <c r="G219" s="4"/>
      <c r="H219" s="4">
        <f>SUM(OSRRefH25x_0)</f>
        <v>211345</v>
      </c>
      <c r="I219" s="4"/>
      <c r="J219" s="12">
        <f t="shared" ref="J219:J223" si="147">IF(H$12=0,0,H219/H$12)</f>
        <v>0.53351492034321457</v>
      </c>
      <c r="K219" s="4"/>
      <c r="L219" s="4">
        <f t="shared" ref="L219:L223" si="148">+D219-H219</f>
        <v>-191335.98</v>
      </c>
      <c r="M219" s="4"/>
      <c r="N219" s="12">
        <f t="shared" ref="N219:N223" si="149">IF(H219=0,0,L219/H219)</f>
        <v>-0.90532532115734943</v>
      </c>
      <c r="O219" s="10"/>
      <c r="P219" s="4">
        <f>SUM(OSRRefP25x_0)</f>
        <v>544389.27</v>
      </c>
      <c r="Q219" s="4"/>
      <c r="R219" s="12">
        <f t="shared" ref="R219:R223" si="150">IF(P$12=0,0,P219/P$12)</f>
        <v>0.201535999653606</v>
      </c>
      <c r="S219" s="4"/>
      <c r="T219" s="4">
        <f>SUM(OSRRefT25x_0)</f>
        <v>475229</v>
      </c>
      <c r="U219" s="4"/>
      <c r="V219" s="12">
        <f t="shared" ref="V219:V223" si="151">IF(T$12=0,0,T219/T$12)</f>
        <v>9.702915352129815E-2</v>
      </c>
      <c r="W219" s="4"/>
      <c r="X219" s="4">
        <f t="shared" ref="X219:X223" si="152">+P219-T219</f>
        <v>69160.270000000019</v>
      </c>
      <c r="Y219" s="4"/>
      <c r="Z219" s="12">
        <f t="shared" ref="Z219:Z223" si="153">IF(T219=0,0,X219/T219)</f>
        <v>0.14553040744567361</v>
      </c>
    </row>
    <row r="220" spans="1:26" s="24" customFormat="1" hidden="1" outlineLevel="1" x14ac:dyDescent="0.25">
      <c r="A220" s="51"/>
      <c r="B220" s="11" t="str">
        <f>CONCATENATE("          ", "9150", " - ", "MISC. INCOME")</f>
        <v xml:space="preserve">          9150 - MISC. INCOME</v>
      </c>
      <c r="C220" s="11"/>
      <c r="D220" s="2">
        <f>--19529.32</f>
        <v>19529.32</v>
      </c>
      <c r="E220" s="2"/>
      <c r="F220" s="22">
        <f t="shared" si="146"/>
        <v>8.3590183422851724E-2</v>
      </c>
      <c r="G220" s="2"/>
      <c r="H220" s="2">
        <v>22550</v>
      </c>
      <c r="I220" s="2"/>
      <c r="J220" s="22">
        <f t="shared" si="147"/>
        <v>5.6924750780664266E-2</v>
      </c>
      <c r="K220" s="2"/>
      <c r="L220" s="2">
        <f t="shared" si="148"/>
        <v>-3020.6800000000003</v>
      </c>
      <c r="M220" s="2"/>
      <c r="N220" s="22">
        <f t="shared" si="149"/>
        <v>-0.13395476718403548</v>
      </c>
      <c r="O220" s="11"/>
      <c r="P220" s="2">
        <f>--218612.11</f>
        <v>218612.11</v>
      </c>
      <c r="Q220" s="2"/>
      <c r="R220" s="22">
        <f t="shared" si="150"/>
        <v>8.0931444745841657E-2</v>
      </c>
      <c r="S220" s="2"/>
      <c r="T220" s="2">
        <v>118300</v>
      </c>
      <c r="U220" s="2"/>
      <c r="V220" s="22">
        <f t="shared" si="151"/>
        <v>2.4153721388150914E-2</v>
      </c>
      <c r="W220" s="2"/>
      <c r="X220" s="2">
        <f t="shared" si="152"/>
        <v>100312.10999999999</v>
      </c>
      <c r="Y220" s="2"/>
      <c r="Z220" s="22">
        <f t="shared" si="153"/>
        <v>0.84794683009298377</v>
      </c>
    </row>
    <row r="221" spans="1:26" s="24" customFormat="1" hidden="1" outlineLevel="1" x14ac:dyDescent="0.25">
      <c r="A221" s="51"/>
      <c r="B221" s="11" t="str">
        <f>CONCATENATE("          ", "9151", " - ", "MISC. INCOME")</f>
        <v xml:space="preserve">          9151 - MISC. INCOME</v>
      </c>
      <c r="C221" s="11"/>
      <c r="D221" s="2">
        <f>0</f>
        <v>0</v>
      </c>
      <c r="E221" s="2"/>
      <c r="F221" s="22">
        <f t="shared" si="146"/>
        <v>0</v>
      </c>
      <c r="G221" s="2"/>
      <c r="H221" s="2">
        <v>188795</v>
      </c>
      <c r="I221" s="2"/>
      <c r="J221" s="22">
        <f t="shared" si="147"/>
        <v>0.47659016956255035</v>
      </c>
      <c r="K221" s="2"/>
      <c r="L221" s="2">
        <f t="shared" si="148"/>
        <v>-188795</v>
      </c>
      <c r="M221" s="2"/>
      <c r="N221" s="22">
        <f t="shared" si="149"/>
        <v>-1</v>
      </c>
      <c r="O221" s="11"/>
      <c r="P221" s="2">
        <f>--147285.39</f>
        <v>147285.39000000001</v>
      </c>
      <c r="Q221" s="2"/>
      <c r="R221" s="22">
        <f t="shared" si="150"/>
        <v>5.4525887896396681E-2</v>
      </c>
      <c r="S221" s="2"/>
      <c r="T221" s="2">
        <v>356929</v>
      </c>
      <c r="U221" s="2"/>
      <c r="V221" s="22">
        <f t="shared" si="151"/>
        <v>7.2875432133147233E-2</v>
      </c>
      <c r="W221" s="2"/>
      <c r="X221" s="2">
        <f t="shared" si="152"/>
        <v>-209643.61</v>
      </c>
      <c r="Y221" s="2"/>
      <c r="Z221" s="22">
        <f t="shared" si="153"/>
        <v>-0.58735381546470022</v>
      </c>
    </row>
    <row r="222" spans="1:26" s="24" customFormat="1" hidden="1" outlineLevel="1" x14ac:dyDescent="0.25">
      <c r="A222" s="51"/>
      <c r="B222" s="11" t="str">
        <f>CONCATENATE("          ", "9152", " - ", "MISC. INCOME")</f>
        <v xml:space="preserve">          9152 - MISC. INCOME</v>
      </c>
      <c r="C222" s="11"/>
      <c r="D222" s="2">
        <f>--479.7</f>
        <v>479.7</v>
      </c>
      <c r="E222" s="2"/>
      <c r="F222" s="22">
        <f t="shared" si="146"/>
        <v>2.0532312946862446E-3</v>
      </c>
      <c r="G222" s="2"/>
      <c r="H222" s="2"/>
      <c r="I222" s="2"/>
      <c r="J222" s="22">
        <f t="shared" si="147"/>
        <v>0</v>
      </c>
      <c r="K222" s="2"/>
      <c r="L222" s="2">
        <f t="shared" si="148"/>
        <v>479.7</v>
      </c>
      <c r="M222" s="2"/>
      <c r="N222" s="22">
        <f t="shared" si="149"/>
        <v>0</v>
      </c>
      <c r="O222" s="11"/>
      <c r="P222" s="2">
        <f>--3085.93</f>
        <v>3085.93</v>
      </c>
      <c r="Q222" s="2"/>
      <c r="R222" s="22">
        <f t="shared" si="150"/>
        <v>1.1424288127704139E-3</v>
      </c>
      <c r="S222" s="2"/>
      <c r="T222" s="2"/>
      <c r="U222" s="2"/>
      <c r="V222" s="22">
        <f t="shared" si="151"/>
        <v>0</v>
      </c>
      <c r="W222" s="2"/>
      <c r="X222" s="2">
        <f t="shared" si="152"/>
        <v>3085.93</v>
      </c>
      <c r="Y222" s="2"/>
      <c r="Z222" s="22">
        <f t="shared" si="153"/>
        <v>0</v>
      </c>
    </row>
    <row r="223" spans="1:26" s="24" customFormat="1" hidden="1" outlineLevel="1" x14ac:dyDescent="0.25">
      <c r="A223" s="51"/>
      <c r="B223" s="11" t="str">
        <f>CONCATENATE("          ", "9163", " - ", "MISC. INCOME")</f>
        <v xml:space="preserve">          9163 - MISC. INCOME</v>
      </c>
      <c r="C223" s="11"/>
      <c r="D223" s="2">
        <f>0</f>
        <v>0</v>
      </c>
      <c r="E223" s="2"/>
      <c r="F223" s="22">
        <f t="shared" si="146"/>
        <v>0</v>
      </c>
      <c r="G223" s="2"/>
      <c r="H223" s="2"/>
      <c r="I223" s="2"/>
      <c r="J223" s="22">
        <f t="shared" si="147"/>
        <v>0</v>
      </c>
      <c r="K223" s="2"/>
      <c r="L223" s="2">
        <f t="shared" si="148"/>
        <v>0</v>
      </c>
      <c r="M223" s="2"/>
      <c r="N223" s="22">
        <f t="shared" si="149"/>
        <v>0</v>
      </c>
      <c r="O223" s="11"/>
      <c r="P223" s="2">
        <f>--175405.84</f>
        <v>175405.84</v>
      </c>
      <c r="Q223" s="2"/>
      <c r="R223" s="22">
        <f t="shared" si="150"/>
        <v>6.4936238198597243E-2</v>
      </c>
      <c r="S223" s="2"/>
      <c r="T223" s="2"/>
      <c r="U223" s="2"/>
      <c r="V223" s="22">
        <f t="shared" si="151"/>
        <v>0</v>
      </c>
      <c r="W223" s="2"/>
      <c r="X223" s="2">
        <f t="shared" si="152"/>
        <v>175405.84</v>
      </c>
      <c r="Y223" s="2"/>
      <c r="Z223" s="22">
        <f t="shared" si="153"/>
        <v>0</v>
      </c>
    </row>
    <row r="224" spans="1:26" x14ac:dyDescent="0.25">
      <c r="A224" s="9"/>
      <c r="B224" s="10"/>
      <c r="C224" s="10"/>
      <c r="D224" s="3"/>
      <c r="E224" s="3"/>
      <c r="F224" s="8"/>
      <c r="G224" s="3"/>
      <c r="H224" s="3"/>
      <c r="I224" s="3"/>
      <c r="J224" s="8"/>
      <c r="K224" s="3"/>
      <c r="L224" s="3"/>
      <c r="M224" s="3"/>
      <c r="N224" s="8"/>
      <c r="O224" s="10"/>
      <c r="P224" s="3"/>
      <c r="Q224" s="3"/>
      <c r="R224" s="8"/>
      <c r="S224" s="3"/>
      <c r="T224" s="3"/>
      <c r="U224" s="3"/>
      <c r="V224" s="8"/>
      <c r="W224" s="3"/>
      <c r="X224" s="3"/>
      <c r="Y224" s="3"/>
      <c r="Z224" s="8"/>
    </row>
    <row r="225" spans="1:26" s="23" customFormat="1" x14ac:dyDescent="0.25">
      <c r="A225" s="10"/>
      <c r="B225" s="25" t="s">
        <v>3</v>
      </c>
      <c r="C225" s="25"/>
      <c r="D225" s="21">
        <f>+D116-D118+D219</f>
        <v>-148555.46000000014</v>
      </c>
      <c r="E225" s="13"/>
      <c r="F225" s="19">
        <f>IF(D$12=0,0,D225/D$12)</f>
        <v>-0.63585307373047928</v>
      </c>
      <c r="G225" s="13"/>
      <c r="H225" s="21">
        <f>+H116-H118+H219</f>
        <v>23408.630883484613</v>
      </c>
      <c r="I225" s="13"/>
      <c r="J225" s="19">
        <f>IF(H$12=0,0,H225/H$12)</f>
        <v>5.9092260716581919E-2</v>
      </c>
      <c r="K225" s="16"/>
      <c r="L225" s="21">
        <f>+D225-H225</f>
        <v>-171964.09088348475</v>
      </c>
      <c r="M225" s="16"/>
      <c r="N225" s="19">
        <f>IF(H225=0,0,L225/H225)</f>
        <v>-7.3461831979592542</v>
      </c>
      <c r="O225" s="26"/>
      <c r="P225" s="21">
        <f>+P116-P118+P219</f>
        <v>-277601.81000000006</v>
      </c>
      <c r="Q225" s="13"/>
      <c r="R225" s="19">
        <f>IF(P$12=0,0,P225/P$12)</f>
        <v>-0.10276976672225815</v>
      </c>
      <c r="S225" s="13"/>
      <c r="T225" s="21">
        <f>+T116-T118+T219</f>
        <v>-50680.761578650214</v>
      </c>
      <c r="U225" s="13"/>
      <c r="V225" s="19">
        <f>IF(T$12=0,0,T225/T$12)</f>
        <v>-1.034766690541015E-2</v>
      </c>
      <c r="W225" s="16"/>
      <c r="X225" s="21">
        <f>+P225-T225</f>
        <v>-226921.04842134984</v>
      </c>
      <c r="Y225" s="16"/>
      <c r="Z225" s="19">
        <f>IF(T225=0,0,X225/T225)</f>
        <v>4.4774593228871806</v>
      </c>
    </row>
    <row r="226" spans="1:26" x14ac:dyDescent="0.25">
      <c r="A226" s="9"/>
      <c r="B226" s="10"/>
      <c r="C226" s="9"/>
      <c r="D226" s="3"/>
      <c r="E226" s="3"/>
      <c r="F226" s="8"/>
      <c r="G226" s="3"/>
      <c r="H226" s="3"/>
      <c r="I226" s="3"/>
      <c r="J226" s="8"/>
      <c r="K226" s="3"/>
      <c r="L226" s="3"/>
      <c r="M226" s="3"/>
      <c r="N226" s="8"/>
      <c r="P226" s="3"/>
      <c r="Q226" s="3"/>
      <c r="R226" s="8"/>
      <c r="S226" s="3"/>
      <c r="T226" s="3"/>
      <c r="U226" s="3"/>
      <c r="V226" s="8"/>
      <c r="W226" s="3"/>
      <c r="X226" s="3"/>
      <c r="Y226" s="3"/>
      <c r="Z226" s="8"/>
    </row>
    <row r="227" spans="1:26" s="23" customFormat="1" x14ac:dyDescent="0.25">
      <c r="A227" s="52"/>
      <c r="B227" s="10" t="s">
        <v>14</v>
      </c>
      <c r="C227" s="10"/>
      <c r="D227" s="4">
        <v>107682.56999999999</v>
      </c>
      <c r="E227" s="4"/>
      <c r="F227" s="12">
        <f>IF(D$12=0,0,D227/D$12)</f>
        <v>0.46090728083435928</v>
      </c>
      <c r="G227" s="4"/>
      <c r="H227" s="4">
        <v>130368</v>
      </c>
      <c r="I227" s="4"/>
      <c r="J227" s="12">
        <f>IF(H$12=0,0,H227/H$12)</f>
        <v>0.3290982665088088</v>
      </c>
      <c r="K227" s="4"/>
      <c r="L227" s="4">
        <f>+D227-H227</f>
        <v>-22685.430000000008</v>
      </c>
      <c r="M227" s="4"/>
      <c r="N227" s="12">
        <f>IF(H227=0,0,L227/H227)</f>
        <v>-0.17401072349042715</v>
      </c>
      <c r="O227" s="10"/>
      <c r="P227" s="4">
        <v>499779.4</v>
      </c>
      <c r="Q227" s="4"/>
      <c r="R227" s="12">
        <f>IF(P$12=0,0,P227/P$12)</f>
        <v>0.18502117241451033</v>
      </c>
      <c r="S227" s="4"/>
      <c r="T227" s="4">
        <v>934012</v>
      </c>
      <c r="U227" s="4"/>
      <c r="V227" s="12">
        <f>IF(T$12=0,0,T227/T$12)</f>
        <v>0.19070047017066452</v>
      </c>
      <c r="W227" s="4"/>
      <c r="X227" s="4">
        <f>+P227-T227</f>
        <v>-434232.6</v>
      </c>
      <c r="Y227" s="4"/>
      <c r="Z227" s="12">
        <f>IF(T227=0,0,X227/T227)</f>
        <v>-0.46491115745836237</v>
      </c>
    </row>
    <row r="228" spans="1:26" x14ac:dyDescent="0.25">
      <c r="A228" s="9"/>
      <c r="B228" s="10"/>
      <c r="C228" s="10"/>
      <c r="D228" s="3"/>
      <c r="E228" s="3"/>
      <c r="F228" s="8"/>
      <c r="G228" s="3"/>
      <c r="H228" s="3"/>
      <c r="I228" s="3"/>
      <c r="J228" s="8"/>
      <c r="K228" s="3"/>
      <c r="L228" s="3"/>
      <c r="M228" s="3"/>
      <c r="N228" s="8"/>
      <c r="O228" s="10"/>
      <c r="P228" s="3"/>
      <c r="Q228" s="3"/>
      <c r="R228" s="8"/>
      <c r="S228" s="3"/>
      <c r="T228" s="3"/>
      <c r="U228" s="3"/>
      <c r="V228" s="8"/>
      <c r="W228" s="3"/>
      <c r="X228" s="3"/>
      <c r="Y228" s="3"/>
      <c r="Z228" s="8"/>
    </row>
    <row r="229" spans="1:26" s="23" customFormat="1" ht="15.75" thickBot="1" x14ac:dyDescent="0.3">
      <c r="A229" s="10"/>
      <c r="B229" s="25" t="s">
        <v>4</v>
      </c>
      <c r="C229" s="25"/>
      <c r="D229" s="34">
        <f>+D225-D227</f>
        <v>-256238.03000000014</v>
      </c>
      <c r="E229" s="13"/>
      <c r="F229" s="31">
        <f>IF(D$12=0,0,D229/D$12)</f>
        <v>-1.0967603545648386</v>
      </c>
      <c r="G229" s="13"/>
      <c r="H229" s="34">
        <f>+H225-H227</f>
        <v>-106959.36911651539</v>
      </c>
      <c r="I229" s="13"/>
      <c r="J229" s="31">
        <f>IF(H$12=0,0,H229/H$12)</f>
        <v>-0.27000600579222689</v>
      </c>
      <c r="K229" s="16"/>
      <c r="L229" s="34">
        <f>D229-H229</f>
        <v>-149278.66088348476</v>
      </c>
      <c r="M229" s="16"/>
      <c r="N229" s="31">
        <f>IF(H229=0,0,L229/H229)</f>
        <v>1.3956576419300788</v>
      </c>
      <c r="O229" s="26"/>
      <c r="P229" s="34">
        <f>+P225-P227</f>
        <v>-777381.21000000008</v>
      </c>
      <c r="Q229" s="13"/>
      <c r="R229" s="31">
        <f>IF(P$12=0,0,P229/P$12)</f>
        <v>-0.28779093913676845</v>
      </c>
      <c r="S229" s="13"/>
      <c r="T229" s="34">
        <f>+T225-T227</f>
        <v>-984692.76157865021</v>
      </c>
      <c r="U229" s="13"/>
      <c r="V229" s="31">
        <f>IF(T$12=0,0,T229/T$12)</f>
        <v>-0.20104813707607466</v>
      </c>
      <c r="W229" s="16"/>
      <c r="X229" s="34">
        <f>P229-T229</f>
        <v>207311.55157865013</v>
      </c>
      <c r="Y229" s="16"/>
      <c r="Z229" s="31">
        <f>IF(T229=0,0,X229/T229)</f>
        <v>-0.2105342495320979</v>
      </c>
    </row>
    <row r="230" spans="1:26" ht="15.75" thickTop="1" x14ac:dyDescent="0.25">
      <c r="A230" s="9"/>
      <c r="B230" s="9"/>
      <c r="C230" s="9"/>
      <c r="D230" s="3"/>
      <c r="E230" s="3"/>
      <c r="F230" s="8"/>
      <c r="G230" s="3"/>
      <c r="H230" s="3"/>
      <c r="I230" s="3"/>
      <c r="J230" s="8"/>
      <c r="K230" s="3"/>
      <c r="L230" s="3"/>
      <c r="M230" s="3"/>
      <c r="N230" s="8"/>
      <c r="P230" s="3"/>
      <c r="Q230" s="3"/>
      <c r="R230" s="8"/>
      <c r="S230" s="3"/>
      <c r="T230" s="3"/>
      <c r="U230" s="3"/>
      <c r="V230" s="8"/>
      <c r="W230" s="3"/>
      <c r="X230" s="3"/>
      <c r="Y230" s="3"/>
      <c r="Z230" s="8"/>
    </row>
    <row r="231" spans="1:26" x14ac:dyDescent="0.25">
      <c r="A231" s="9"/>
      <c r="B231" s="9"/>
      <c r="C231" s="9"/>
      <c r="D231" s="3"/>
      <c r="E231" s="3"/>
      <c r="F231" s="8"/>
      <c r="G231" s="3"/>
      <c r="H231" s="3"/>
      <c r="I231" s="3"/>
      <c r="J231" s="8"/>
      <c r="K231" s="3"/>
      <c r="L231" s="3"/>
      <c r="M231" s="3"/>
      <c r="N231" s="8"/>
      <c r="P231" s="3"/>
      <c r="Q231" s="3"/>
      <c r="R231" s="8"/>
      <c r="S231" s="3"/>
      <c r="T231" s="3"/>
      <c r="U231" s="3"/>
      <c r="V231" s="8"/>
      <c r="W231" s="3"/>
      <c r="X231" s="3"/>
      <c r="Y231" s="3"/>
      <c r="Z231" s="8"/>
    </row>
    <row r="232" spans="1:26" s="23" customFormat="1" ht="15.75" thickBot="1" x14ac:dyDescent="0.3">
      <c r="A232" s="10"/>
      <c r="B232" s="25" t="s">
        <v>5</v>
      </c>
      <c r="C232" s="25"/>
      <c r="D232" s="33">
        <f>SUM(D229:D231)</f>
        <v>-256238.03000000014</v>
      </c>
      <c r="E232" s="13"/>
      <c r="F232" s="32">
        <f>IF(D$12=0,0,D232/D$12)</f>
        <v>-1.0967603545648386</v>
      </c>
      <c r="G232" s="13"/>
      <c r="H232" s="33">
        <f>SUM(H229:H231)</f>
        <v>-106959.36911651539</v>
      </c>
      <c r="I232" s="13"/>
      <c r="J232" s="32">
        <f>IF(H$12=0,0,H232/H$12)</f>
        <v>-0.27000600579222689</v>
      </c>
      <c r="K232" s="16"/>
      <c r="L232" s="33">
        <f>+D232-H232</f>
        <v>-149278.66088348476</v>
      </c>
      <c r="M232" s="16"/>
      <c r="N232" s="32">
        <f>IF(H232=0,0,L232/H232)</f>
        <v>1.3956576419300788</v>
      </c>
      <c r="O232" s="26"/>
      <c r="P232" s="33">
        <f>SUM(P229:P231)</f>
        <v>-777381.21000000008</v>
      </c>
      <c r="Q232" s="13"/>
      <c r="R232" s="32">
        <f>IF(P$12=0,0,P232/P$12)</f>
        <v>-0.28779093913676845</v>
      </c>
      <c r="S232" s="13"/>
      <c r="T232" s="33">
        <f>SUM(T229:T231)</f>
        <v>-984692.76157865021</v>
      </c>
      <c r="U232" s="13"/>
      <c r="V232" s="32">
        <f>IF(T$12=0,0,T232/T$12)</f>
        <v>-0.20104813707607466</v>
      </c>
      <c r="W232" s="16"/>
      <c r="X232" s="33">
        <f>+P232-T232</f>
        <v>207311.55157865013</v>
      </c>
      <c r="Y232" s="16"/>
      <c r="Z232" s="32">
        <f>IF(T232=0,0,X232/T232)</f>
        <v>-0.2105342495320979</v>
      </c>
    </row>
    <row r="233" spans="1:26" ht="15.75" thickTop="1" x14ac:dyDescent="0.25">
      <c r="A233" s="9"/>
      <c r="C233" s="9"/>
      <c r="D233" s="18"/>
      <c r="E233" s="18"/>
      <c r="G233" s="18"/>
      <c r="H233" s="18"/>
      <c r="I233" s="18"/>
      <c r="J233" s="43"/>
      <c r="K233" s="18"/>
      <c r="L233" s="18"/>
      <c r="M233" s="18"/>
      <c r="P233" s="18"/>
      <c r="Q233" s="18"/>
      <c r="R233" s="43"/>
      <c r="S233" s="18"/>
      <c r="T233" s="18"/>
      <c r="U233" s="18"/>
      <c r="V233" s="43"/>
      <c r="W233" s="18"/>
      <c r="X233" s="18"/>
    </row>
    <row r="234" spans="1:26" x14ac:dyDescent="0.25">
      <c r="A234" s="9"/>
      <c r="B234" s="63">
        <v>44209.518050578707</v>
      </c>
      <c r="D234" s="18"/>
      <c r="E234" s="18"/>
      <c r="G234" s="18"/>
      <c r="H234" s="18"/>
      <c r="I234" s="18"/>
      <c r="J234" s="43"/>
      <c r="K234" s="18"/>
      <c r="L234" s="18"/>
      <c r="M234" s="18"/>
      <c r="P234" s="18"/>
      <c r="Q234" s="18"/>
      <c r="R234" s="43"/>
      <c r="S234" s="18"/>
      <c r="T234" s="18"/>
      <c r="U234" s="18"/>
      <c r="V234" s="43"/>
      <c r="W234" s="18"/>
      <c r="X234" s="18"/>
    </row>
    <row r="235" spans="1:26" x14ac:dyDescent="0.25">
      <c r="A235" s="9"/>
      <c r="B235" s="60" t="s">
        <v>314</v>
      </c>
      <c r="D235" s="18"/>
      <c r="E235" s="18"/>
      <c r="G235" s="18"/>
      <c r="H235" s="18"/>
      <c r="I235" s="18"/>
      <c r="J235" s="43"/>
      <c r="K235" s="18"/>
      <c r="L235" s="18"/>
      <c r="M235" s="18"/>
      <c r="P235" s="18"/>
      <c r="Q235" s="18"/>
      <c r="R235" s="43"/>
      <c r="S235" s="18"/>
      <c r="T235" s="18"/>
      <c r="U235" s="18"/>
      <c r="V235" s="43"/>
      <c r="W235" s="18"/>
      <c r="X235" s="18"/>
    </row>
    <row r="236" spans="1:26" x14ac:dyDescent="0.25">
      <c r="A236" s="9"/>
      <c r="B236" s="58"/>
      <c r="D236" s="18"/>
      <c r="E236" s="18"/>
      <c r="G236" s="18"/>
      <c r="H236" s="18"/>
      <c r="I236" s="18"/>
      <c r="J236" s="43"/>
      <c r="K236" s="18"/>
      <c r="L236" s="18"/>
      <c r="M236" s="18"/>
      <c r="P236" s="18"/>
      <c r="Q236" s="18"/>
      <c r="R236" s="43"/>
      <c r="S236" s="18"/>
      <c r="T236" s="18"/>
      <c r="U236" s="18"/>
      <c r="V236" s="43"/>
      <c r="W236" s="18"/>
      <c r="X236" s="18"/>
    </row>
    <row r="237" spans="1:26" x14ac:dyDescent="0.25">
      <c r="D237" s="18"/>
      <c r="E237" s="18"/>
      <c r="G237" s="18"/>
      <c r="H237" s="18"/>
      <c r="I237" s="18"/>
      <c r="J237" s="43"/>
      <c r="K237" s="18"/>
      <c r="L237" s="18"/>
      <c r="M237" s="18"/>
      <c r="P237" s="18"/>
      <c r="Q237" s="18"/>
      <c r="R237" s="43"/>
      <c r="S237" s="18"/>
      <c r="T237" s="18"/>
      <c r="U237" s="18"/>
      <c r="V237" s="43"/>
      <c r="W237" s="18"/>
      <c r="X237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3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309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233631.73999999996</v>
      </c>
      <c r="E12" s="4"/>
      <c r="F12" s="12"/>
      <c r="G12" s="4"/>
      <c r="H12" s="4">
        <f>SUM(OSRRefH13x_0)</f>
        <v>370883</v>
      </c>
      <c r="I12" s="4"/>
      <c r="J12" s="12"/>
      <c r="K12" s="4"/>
      <c r="L12" s="4">
        <f t="shared" ref="L12:L74" si="0">+D12-H12</f>
        <v>-137251.26000000004</v>
      </c>
      <c r="M12" s="4"/>
      <c r="N12" s="12">
        <f t="shared" ref="N12:N74" si="1">IF(H12=0,0,L12/H12)</f>
        <v>-0.37006619338174046</v>
      </c>
      <c r="O12" s="10"/>
      <c r="P12" s="4">
        <f>SUM(OSRRefP13x_0)</f>
        <v>2698614.6599999997</v>
      </c>
      <c r="Q12" s="4"/>
      <c r="R12" s="12"/>
      <c r="S12" s="4"/>
      <c r="T12" s="4">
        <f>SUM(OSRRefT13x_0)</f>
        <v>4711485</v>
      </c>
      <c r="U12" s="4"/>
      <c r="V12" s="12"/>
      <c r="W12" s="4"/>
      <c r="X12" s="4">
        <f t="shared" ref="X12:X74" si="2">+P12-T12</f>
        <v>-2012870.3400000003</v>
      </c>
      <c r="Y12" s="4"/>
      <c r="Z12" s="12">
        <f t="shared" ref="Z12:Z74" si="3">IF(T12=0,0,X12/T12)</f>
        <v>-0.42722630762912339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-31830.44</f>
        <v>-31830.44</v>
      </c>
      <c r="E13" s="2"/>
      <c r="F13" s="22"/>
      <c r="G13" s="2"/>
      <c r="H13" s="2">
        <v>363538</v>
      </c>
      <c r="I13" s="2"/>
      <c r="J13" s="22"/>
      <c r="K13" s="2"/>
      <c r="L13" s="2">
        <f t="shared" si="0"/>
        <v>-395368.44</v>
      </c>
      <c r="M13" s="2"/>
      <c r="N13" s="22">
        <f t="shared" si="1"/>
        <v>-1.0875573942751515</v>
      </c>
      <c r="O13" s="11"/>
      <c r="P13" s="2">
        <f>-88829.09</f>
        <v>-88829.09</v>
      </c>
      <c r="Q13" s="2"/>
      <c r="R13" s="22"/>
      <c r="S13" s="2"/>
      <c r="T13" s="2">
        <v>4649026</v>
      </c>
      <c r="U13" s="2"/>
      <c r="V13" s="22"/>
      <c r="W13" s="2"/>
      <c r="X13" s="2">
        <f t="shared" si="2"/>
        <v>-4737855.09</v>
      </c>
      <c r="Y13" s="2"/>
      <c r="Z13" s="22">
        <f t="shared" si="3"/>
        <v>-1.0191070323117144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--11522</f>
        <v>11522</v>
      </c>
      <c r="E14" s="2"/>
      <c r="F14" s="22"/>
      <c r="G14" s="2"/>
      <c r="H14" s="2"/>
      <c r="I14" s="2"/>
      <c r="J14" s="22"/>
      <c r="K14" s="2"/>
      <c r="L14" s="2">
        <f t="shared" si="0"/>
        <v>11522</v>
      </c>
      <c r="M14" s="2"/>
      <c r="N14" s="22">
        <f t="shared" si="1"/>
        <v>0</v>
      </c>
      <c r="O14" s="11"/>
      <c r="P14" s="2">
        <f>--730666.02</f>
        <v>730666.02</v>
      </c>
      <c r="Q14" s="2"/>
      <c r="R14" s="22"/>
      <c r="S14" s="2"/>
      <c r="T14" s="2"/>
      <c r="U14" s="2"/>
      <c r="V14" s="22"/>
      <c r="W14" s="2"/>
      <c r="X14" s="2">
        <f t="shared" si="2"/>
        <v>730666.02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--2822.44</f>
        <v>2822.44</v>
      </c>
      <c r="E15" s="2"/>
      <c r="F15" s="22"/>
      <c r="G15" s="2"/>
      <c r="H15" s="2"/>
      <c r="I15" s="2"/>
      <c r="J15" s="22"/>
      <c r="K15" s="2"/>
      <c r="L15" s="2">
        <f t="shared" si="0"/>
        <v>2822.44</v>
      </c>
      <c r="M15" s="2"/>
      <c r="N15" s="22">
        <f t="shared" si="1"/>
        <v>0</v>
      </c>
      <c r="O15" s="11"/>
      <c r="P15" s="2">
        <f>--323454.06</f>
        <v>323454.06</v>
      </c>
      <c r="Q15" s="2"/>
      <c r="R15" s="22"/>
      <c r="S15" s="2"/>
      <c r="T15" s="2"/>
      <c r="U15" s="2"/>
      <c r="V15" s="22"/>
      <c r="W15" s="2"/>
      <c r="X15" s="2">
        <f t="shared" si="2"/>
        <v>323454.06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7" si="4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--10665.63</f>
        <v>10665.63</v>
      </c>
      <c r="Q16" s="2"/>
      <c r="R16" s="22"/>
      <c r="S16" s="2"/>
      <c r="T16" s="2"/>
      <c r="U16" s="2"/>
      <c r="V16" s="22"/>
      <c r="W16" s="2"/>
      <c r="X16" s="2">
        <f t="shared" si="2"/>
        <v>10665.63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--2459.56</f>
        <v>2459.56</v>
      </c>
      <c r="Q17" s="2"/>
      <c r="R17" s="22"/>
      <c r="S17" s="2"/>
      <c r="T17" s="2"/>
      <c r="U17" s="2"/>
      <c r="V17" s="22"/>
      <c r="W17" s="2"/>
      <c r="X17" s="2">
        <f t="shared" si="2"/>
        <v>2459.56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--78.85</f>
        <v>78.849999999999994</v>
      </c>
      <c r="E18" s="2"/>
      <c r="F18" s="22"/>
      <c r="G18" s="2"/>
      <c r="H18" s="2"/>
      <c r="I18" s="2"/>
      <c r="J18" s="22"/>
      <c r="K18" s="2"/>
      <c r="L18" s="2">
        <f t="shared" si="0"/>
        <v>78.849999999999994</v>
      </c>
      <c r="M18" s="2"/>
      <c r="N18" s="22">
        <f t="shared" si="1"/>
        <v>0</v>
      </c>
      <c r="O18" s="11"/>
      <c r="P18" s="2">
        <f>--583.97</f>
        <v>583.97</v>
      </c>
      <c r="Q18" s="2"/>
      <c r="R18" s="22"/>
      <c r="S18" s="2"/>
      <c r="T18" s="2"/>
      <c r="U18" s="2"/>
      <c r="V18" s="22"/>
      <c r="W18" s="2"/>
      <c r="X18" s="2">
        <f t="shared" si="2"/>
        <v>583.97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--35.82</f>
        <v>35.82</v>
      </c>
      <c r="E19" s="2"/>
      <c r="F19" s="22"/>
      <c r="G19" s="2"/>
      <c r="H19" s="2"/>
      <c r="I19" s="2"/>
      <c r="J19" s="22"/>
      <c r="K19" s="2"/>
      <c r="L19" s="2">
        <f t="shared" si="0"/>
        <v>35.82</v>
      </c>
      <c r="M19" s="2"/>
      <c r="N19" s="22">
        <f t="shared" si="1"/>
        <v>0</v>
      </c>
      <c r="O19" s="11"/>
      <c r="P19" s="2">
        <f>--376.06</f>
        <v>376.06</v>
      </c>
      <c r="Q19" s="2"/>
      <c r="R19" s="22"/>
      <c r="S19" s="2"/>
      <c r="T19" s="2"/>
      <c r="U19" s="2"/>
      <c r="V19" s="22"/>
      <c r="W19" s="2"/>
      <c r="X19" s="2">
        <f t="shared" si="2"/>
        <v>376.06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--6.95</f>
        <v>6.95</v>
      </c>
      <c r="E20" s="2"/>
      <c r="F20" s="22"/>
      <c r="G20" s="2"/>
      <c r="H20" s="2"/>
      <c r="I20" s="2"/>
      <c r="J20" s="22"/>
      <c r="K20" s="2"/>
      <c r="L20" s="2">
        <f t="shared" si="0"/>
        <v>6.95</v>
      </c>
      <c r="M20" s="2"/>
      <c r="N20" s="22">
        <f t="shared" si="1"/>
        <v>0</v>
      </c>
      <c r="O20" s="11"/>
      <c r="P20" s="2">
        <f>--190.84</f>
        <v>190.84</v>
      </c>
      <c r="Q20" s="2"/>
      <c r="R20" s="22"/>
      <c r="S20" s="2"/>
      <c r="T20" s="2"/>
      <c r="U20" s="2"/>
      <c r="V20" s="22"/>
      <c r="W20" s="2"/>
      <c r="X20" s="2">
        <f t="shared" si="2"/>
        <v>190.84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--75.18</f>
        <v>75.180000000000007</v>
      </c>
      <c r="E21" s="2"/>
      <c r="F21" s="22"/>
      <c r="G21" s="2"/>
      <c r="H21" s="2"/>
      <c r="I21" s="2"/>
      <c r="J21" s="22"/>
      <c r="K21" s="2"/>
      <c r="L21" s="2">
        <f t="shared" si="0"/>
        <v>75.180000000000007</v>
      </c>
      <c r="M21" s="2"/>
      <c r="N21" s="22">
        <f t="shared" si="1"/>
        <v>0</v>
      </c>
      <c r="O21" s="11"/>
      <c r="P21" s="2">
        <f>--372.38</f>
        <v>372.38</v>
      </c>
      <c r="Q21" s="2"/>
      <c r="R21" s="22"/>
      <c r="S21" s="2"/>
      <c r="T21" s="2"/>
      <c r="U21" s="2"/>
      <c r="V21" s="22"/>
      <c r="W21" s="2"/>
      <c r="X21" s="2">
        <f t="shared" si="2"/>
        <v>372.38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--3253.96</f>
        <v>3253.96</v>
      </c>
      <c r="E22" s="2"/>
      <c r="F22" s="22"/>
      <c r="G22" s="2"/>
      <c r="H22" s="2"/>
      <c r="I22" s="2"/>
      <c r="J22" s="22"/>
      <c r="K22" s="2"/>
      <c r="L22" s="2">
        <f t="shared" si="0"/>
        <v>3253.96</v>
      </c>
      <c r="M22" s="2"/>
      <c r="N22" s="22">
        <f t="shared" si="1"/>
        <v>0</v>
      </c>
      <c r="O22" s="11"/>
      <c r="P22" s="2">
        <f>--39974.43</f>
        <v>39974.43</v>
      </c>
      <c r="Q22" s="2"/>
      <c r="R22" s="22"/>
      <c r="S22" s="2"/>
      <c r="T22" s="2"/>
      <c r="U22" s="2"/>
      <c r="V22" s="22"/>
      <c r="W22" s="2"/>
      <c r="X22" s="2">
        <f t="shared" si="2"/>
        <v>39974.43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--1179.23</f>
        <v>1179.23</v>
      </c>
      <c r="E23" s="2"/>
      <c r="F23" s="22"/>
      <c r="G23" s="2"/>
      <c r="H23" s="2"/>
      <c r="I23" s="2"/>
      <c r="J23" s="22"/>
      <c r="K23" s="2"/>
      <c r="L23" s="2">
        <f t="shared" si="0"/>
        <v>1179.23</v>
      </c>
      <c r="M23" s="2"/>
      <c r="N23" s="22">
        <f t="shared" si="1"/>
        <v>0</v>
      </c>
      <c r="O23" s="11"/>
      <c r="P23" s="2">
        <f>--17178.81</f>
        <v>17178.810000000001</v>
      </c>
      <c r="Q23" s="2"/>
      <c r="R23" s="22"/>
      <c r="S23" s="2"/>
      <c r="T23" s="2"/>
      <c r="U23" s="2"/>
      <c r="V23" s="22"/>
      <c r="W23" s="2"/>
      <c r="X23" s="2">
        <f t="shared" si="2"/>
        <v>17178.810000000001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--247.04</f>
        <v>247.04</v>
      </c>
      <c r="E24" s="2"/>
      <c r="F24" s="22"/>
      <c r="G24" s="2"/>
      <c r="H24" s="2"/>
      <c r="I24" s="2"/>
      <c r="J24" s="22"/>
      <c r="K24" s="2"/>
      <c r="L24" s="2">
        <f t="shared" si="0"/>
        <v>247.04</v>
      </c>
      <c r="M24" s="2"/>
      <c r="N24" s="22">
        <f t="shared" si="1"/>
        <v>0</v>
      </c>
      <c r="O24" s="11"/>
      <c r="P24" s="2">
        <f>--2109.65</f>
        <v>2109.65</v>
      </c>
      <c r="Q24" s="2"/>
      <c r="R24" s="22"/>
      <c r="S24" s="2"/>
      <c r="T24" s="2"/>
      <c r="U24" s="2"/>
      <c r="V24" s="22"/>
      <c r="W24" s="2"/>
      <c r="X24" s="2">
        <f t="shared" si="2"/>
        <v>2109.65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"4034", " - ", "TAXABLE SALES-SODA")</f>
        <v xml:space="preserve">          4034 - TAXABLE SALES-SODA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--6.78</f>
        <v>6.78</v>
      </c>
      <c r="Q25" s="2"/>
      <c r="R25" s="22"/>
      <c r="S25" s="2"/>
      <c r="T25" s="2"/>
      <c r="U25" s="2"/>
      <c r="V25" s="22"/>
      <c r="W25" s="2"/>
      <c r="X25" s="2">
        <f t="shared" si="2"/>
        <v>6.78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"4040", " - ", "TAXABLE SALES-LOGO CLOTHING")</f>
        <v xml:space="preserve">          4040 - TAXABLE SALES-LOGO CLOTHING</v>
      </c>
      <c r="C26" s="11"/>
      <c r="D26" s="2">
        <f>--84378.29</f>
        <v>84378.29</v>
      </c>
      <c r="E26" s="2"/>
      <c r="F26" s="22"/>
      <c r="G26" s="2"/>
      <c r="H26" s="2"/>
      <c r="I26" s="2"/>
      <c r="J26" s="22"/>
      <c r="K26" s="2"/>
      <c r="L26" s="2">
        <f t="shared" si="0"/>
        <v>84378.29</v>
      </c>
      <c r="M26" s="2"/>
      <c r="N26" s="22">
        <f t="shared" si="1"/>
        <v>0</v>
      </c>
      <c r="O26" s="11"/>
      <c r="P26" s="2">
        <f>--508110.99</f>
        <v>508110.99</v>
      </c>
      <c r="Q26" s="2"/>
      <c r="R26" s="22"/>
      <c r="S26" s="2"/>
      <c r="T26" s="2"/>
      <c r="U26" s="2"/>
      <c r="V26" s="22"/>
      <c r="W26" s="2"/>
      <c r="X26" s="2">
        <f t="shared" si="2"/>
        <v>508110.99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"4041", " - ", "TAXABLE SALES-LOGO GIFTS")</f>
        <v xml:space="preserve">          4041 - TAXABLE SALES-LOGO GIFTS</v>
      </c>
      <c r="C27" s="11"/>
      <c r="D27" s="2">
        <f>--32217.83</f>
        <v>32217.83</v>
      </c>
      <c r="E27" s="2"/>
      <c r="F27" s="22"/>
      <c r="G27" s="2"/>
      <c r="H27" s="2"/>
      <c r="I27" s="2"/>
      <c r="J27" s="22"/>
      <c r="K27" s="2"/>
      <c r="L27" s="2">
        <f t="shared" si="0"/>
        <v>32217.83</v>
      </c>
      <c r="M27" s="2"/>
      <c r="N27" s="22">
        <f t="shared" si="1"/>
        <v>0</v>
      </c>
      <c r="O27" s="11"/>
      <c r="P27" s="2">
        <f>--197618.32</f>
        <v>197618.32</v>
      </c>
      <c r="Q27" s="2"/>
      <c r="R27" s="22"/>
      <c r="S27" s="2"/>
      <c r="T27" s="2"/>
      <c r="U27" s="2"/>
      <c r="V27" s="22"/>
      <c r="W27" s="2"/>
      <c r="X27" s="2">
        <f t="shared" si="2"/>
        <v>197618.32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"4042", " - ", "TAXABLE SALES-EVERYDAY GIFTS")</f>
        <v xml:space="preserve">          4042 - TAXABLE SALES-EVERYDAY GIFTS</v>
      </c>
      <c r="C28" s="11"/>
      <c r="D28" s="2">
        <f>--8018.58</f>
        <v>8018.58</v>
      </c>
      <c r="E28" s="2"/>
      <c r="F28" s="22"/>
      <c r="G28" s="2"/>
      <c r="H28" s="2"/>
      <c r="I28" s="2"/>
      <c r="J28" s="22"/>
      <c r="K28" s="2"/>
      <c r="L28" s="2">
        <f t="shared" si="0"/>
        <v>8018.58</v>
      </c>
      <c r="M28" s="2"/>
      <c r="N28" s="22">
        <f t="shared" si="1"/>
        <v>0</v>
      </c>
      <c r="O28" s="11"/>
      <c r="P28" s="2">
        <f>--64897.7</f>
        <v>64897.7</v>
      </c>
      <c r="Q28" s="2"/>
      <c r="R28" s="22"/>
      <c r="S28" s="2"/>
      <c r="T28" s="2"/>
      <c r="U28" s="2"/>
      <c r="V28" s="22"/>
      <c r="W28" s="2"/>
      <c r="X28" s="2">
        <f t="shared" si="2"/>
        <v>64897.7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"4043", " - ", "TAXABLE SALES-CARDS")</f>
        <v xml:space="preserve">          4043 - TAXABLE SALES-CARDS</v>
      </c>
      <c r="C29" s="11"/>
      <c r="D29" s="2">
        <f>--35930.93</f>
        <v>35930.93</v>
      </c>
      <c r="E29" s="2"/>
      <c r="F29" s="22"/>
      <c r="G29" s="2"/>
      <c r="H29" s="2"/>
      <c r="I29" s="2"/>
      <c r="J29" s="22"/>
      <c r="K29" s="2"/>
      <c r="L29" s="2">
        <f t="shared" si="0"/>
        <v>35930.93</v>
      </c>
      <c r="M29" s="2"/>
      <c r="N29" s="22">
        <f t="shared" si="1"/>
        <v>0</v>
      </c>
      <c r="O29" s="11"/>
      <c r="P29" s="2">
        <f>--93109.15</f>
        <v>93109.15</v>
      </c>
      <c r="Q29" s="2"/>
      <c r="R29" s="22"/>
      <c r="S29" s="2"/>
      <c r="T29" s="2"/>
      <c r="U29" s="2"/>
      <c r="V29" s="22"/>
      <c r="W29" s="2"/>
      <c r="X29" s="2">
        <f t="shared" si="2"/>
        <v>93109.15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"4044", " - ", "TAXABLE SALES-ACCESSORIES")</f>
        <v xml:space="preserve">          4044 - TAXABLE SALES-ACCESSORIES</v>
      </c>
      <c r="C30" s="11"/>
      <c r="D30" s="2">
        <f>--11267.16</f>
        <v>11267.16</v>
      </c>
      <c r="E30" s="2"/>
      <c r="F30" s="22"/>
      <c r="G30" s="2"/>
      <c r="H30" s="2"/>
      <c r="I30" s="2"/>
      <c r="J30" s="22"/>
      <c r="K30" s="2"/>
      <c r="L30" s="2">
        <f t="shared" si="0"/>
        <v>11267.16</v>
      </c>
      <c r="M30" s="2"/>
      <c r="N30" s="22">
        <f t="shared" si="1"/>
        <v>0</v>
      </c>
      <c r="O30" s="11"/>
      <c r="P30" s="2">
        <f>--26273.67</f>
        <v>26273.67</v>
      </c>
      <c r="Q30" s="2"/>
      <c r="R30" s="22"/>
      <c r="S30" s="2"/>
      <c r="T30" s="2"/>
      <c r="U30" s="2"/>
      <c r="V30" s="22"/>
      <c r="W30" s="2"/>
      <c r="X30" s="2">
        <f t="shared" si="2"/>
        <v>26273.67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"4045", " - ", "TAXABLE SALES-SPECIAL ORDERS")</f>
        <v xml:space="preserve">          4045 - TAXABLE SALES-SPECIAL ORDERS</v>
      </c>
      <c r="C31" s="11"/>
      <c r="D31" s="2">
        <f>--13848.98</f>
        <v>13848.98</v>
      </c>
      <c r="E31" s="2"/>
      <c r="F31" s="22"/>
      <c r="G31" s="2"/>
      <c r="H31" s="2"/>
      <c r="I31" s="2"/>
      <c r="J31" s="22"/>
      <c r="K31" s="2"/>
      <c r="L31" s="2">
        <f t="shared" si="0"/>
        <v>13848.98</v>
      </c>
      <c r="M31" s="2"/>
      <c r="N31" s="22">
        <f t="shared" si="1"/>
        <v>0</v>
      </c>
      <c r="O31" s="11"/>
      <c r="P31" s="2">
        <f>--122061.15</f>
        <v>122061.15</v>
      </c>
      <c r="Q31" s="2"/>
      <c r="R31" s="22"/>
      <c r="S31" s="2"/>
      <c r="T31" s="2"/>
      <c r="U31" s="2"/>
      <c r="V31" s="22"/>
      <c r="W31" s="2"/>
      <c r="X31" s="2">
        <f t="shared" si="2"/>
        <v>122061.15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"4081", " - ", "TAXABLE SALES-ELECTRONICS")</f>
        <v xml:space="preserve">          4081 - TAXABLE SALES-ELECTRONICS</v>
      </c>
      <c r="C32" s="11"/>
      <c r="D32" s="2">
        <f t="shared" ref="D32:D33" si="5">0</f>
        <v>0</v>
      </c>
      <c r="E32" s="2"/>
      <c r="F32" s="22"/>
      <c r="G32" s="2"/>
      <c r="H32" s="2"/>
      <c r="I32" s="2"/>
      <c r="J32" s="22"/>
      <c r="K32" s="2"/>
      <c r="L32" s="2">
        <f t="shared" si="0"/>
        <v>0</v>
      </c>
      <c r="M32" s="2"/>
      <c r="N32" s="22">
        <f t="shared" si="1"/>
        <v>0</v>
      </c>
      <c r="O32" s="11"/>
      <c r="P32" s="2">
        <f>--71.95</f>
        <v>71.95</v>
      </c>
      <c r="Q32" s="2"/>
      <c r="R32" s="22"/>
      <c r="S32" s="2"/>
      <c r="T32" s="2"/>
      <c r="U32" s="2"/>
      <c r="V32" s="22"/>
      <c r="W32" s="2"/>
      <c r="X32" s="2">
        <f t="shared" si="2"/>
        <v>71.95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"4083", " - ", "TAXABLE SALES-COMPUTER EQUIPME")</f>
        <v xml:space="preserve">          4083 - TAXABLE SALES-COMPUTER EQUIPME</v>
      </c>
      <c r="C33" s="11"/>
      <c r="D33" s="2">
        <f t="shared" si="5"/>
        <v>0</v>
      </c>
      <c r="E33" s="2"/>
      <c r="F33" s="22"/>
      <c r="G33" s="2"/>
      <c r="H33" s="2"/>
      <c r="I33" s="2"/>
      <c r="J33" s="22"/>
      <c r="K33" s="2"/>
      <c r="L33" s="2">
        <f t="shared" si="0"/>
        <v>0</v>
      </c>
      <c r="M33" s="2"/>
      <c r="N33" s="22">
        <f t="shared" si="1"/>
        <v>0</v>
      </c>
      <c r="O33" s="11"/>
      <c r="P33" s="2">
        <f>--9.99</f>
        <v>9.99</v>
      </c>
      <c r="Q33" s="2"/>
      <c r="R33" s="22"/>
      <c r="S33" s="2"/>
      <c r="T33" s="2"/>
      <c r="U33" s="2"/>
      <c r="V33" s="22"/>
      <c r="W33" s="2"/>
      <c r="X33" s="2">
        <f t="shared" si="2"/>
        <v>9.99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"4100", " - ", "NON-TAXABLE SALES")</f>
        <v xml:space="preserve">          4100 - NON-TAXABLE SALES</v>
      </c>
      <c r="C34" s="11"/>
      <c r="D34" s="2">
        <f>-225.75</f>
        <v>-225.75</v>
      </c>
      <c r="E34" s="2"/>
      <c r="F34" s="22"/>
      <c r="G34" s="2"/>
      <c r="H34" s="2">
        <v>7345</v>
      </c>
      <c r="I34" s="2"/>
      <c r="J34" s="22"/>
      <c r="K34" s="2"/>
      <c r="L34" s="2">
        <f t="shared" si="0"/>
        <v>-7570.75</v>
      </c>
      <c r="M34" s="2"/>
      <c r="N34" s="22">
        <f t="shared" si="1"/>
        <v>-1.0307351940095304</v>
      </c>
      <c r="O34" s="11"/>
      <c r="P34" s="2">
        <f>--165587.67</f>
        <v>165587.67000000001</v>
      </c>
      <c r="Q34" s="2"/>
      <c r="R34" s="22"/>
      <c r="S34" s="2"/>
      <c r="T34" s="2">
        <v>62459.000000000007</v>
      </c>
      <c r="U34" s="2"/>
      <c r="V34" s="22"/>
      <c r="W34" s="2"/>
      <c r="X34" s="2">
        <f t="shared" si="2"/>
        <v>103128.67000000001</v>
      </c>
      <c r="Y34" s="2"/>
      <c r="Z34" s="22">
        <f t="shared" si="3"/>
        <v>1.6511418690661073</v>
      </c>
    </row>
    <row r="35" spans="1:26" s="24" customFormat="1" hidden="1" outlineLevel="1" x14ac:dyDescent="0.25">
      <c r="A35" s="51"/>
      <c r="B35" s="11" t="str">
        <f>CONCATENATE("          ", "4101", " - ", "NON-TAXABLE SALES-NEW TEXT")</f>
        <v xml:space="preserve">          4101 - NON-TAXABLE SALES-NEW TEXT</v>
      </c>
      <c r="C35" s="11"/>
      <c r="D35" s="2">
        <f>--3205.21</f>
        <v>3205.21</v>
      </c>
      <c r="E35" s="2"/>
      <c r="F35" s="22"/>
      <c r="G35" s="2"/>
      <c r="H35" s="2"/>
      <c r="I35" s="2"/>
      <c r="J35" s="22"/>
      <c r="K35" s="2"/>
      <c r="L35" s="2">
        <f t="shared" si="0"/>
        <v>3205.21</v>
      </c>
      <c r="M35" s="2"/>
      <c r="N35" s="22">
        <f t="shared" si="1"/>
        <v>0</v>
      </c>
      <c r="O35" s="11"/>
      <c r="P35" s="2">
        <f>--82140.93</f>
        <v>82140.929999999993</v>
      </c>
      <c r="Q35" s="2"/>
      <c r="R35" s="22"/>
      <c r="S35" s="2"/>
      <c r="T35" s="2"/>
      <c r="U35" s="2"/>
      <c r="V35" s="22"/>
      <c r="W35" s="2"/>
      <c r="X35" s="2">
        <f t="shared" si="2"/>
        <v>82140.929999999993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"4102", " - ", "NON-TAXABLE SALES-USED TEXT")</f>
        <v xml:space="preserve">          4102 - NON-TAXABLE SALES-USED TEXT</v>
      </c>
      <c r="C36" s="11"/>
      <c r="D36" s="2">
        <f>--598.12</f>
        <v>598.12</v>
      </c>
      <c r="E36" s="2"/>
      <c r="F36" s="22"/>
      <c r="G36" s="2"/>
      <c r="H36" s="2"/>
      <c r="I36" s="2"/>
      <c r="J36" s="22"/>
      <c r="K36" s="2"/>
      <c r="L36" s="2">
        <f t="shared" si="0"/>
        <v>598.12</v>
      </c>
      <c r="M36" s="2"/>
      <c r="N36" s="22">
        <f t="shared" si="1"/>
        <v>0</v>
      </c>
      <c r="O36" s="11"/>
      <c r="P36" s="2">
        <f>--33631.31</f>
        <v>33631.31</v>
      </c>
      <c r="Q36" s="2"/>
      <c r="R36" s="22"/>
      <c r="S36" s="2"/>
      <c r="T36" s="2"/>
      <c r="U36" s="2"/>
      <c r="V36" s="22"/>
      <c r="W36" s="2"/>
      <c r="X36" s="2">
        <f t="shared" si="2"/>
        <v>33631.31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"4103", " - ", "NON-TAXABLE SALES-RENTAL TEXT")</f>
        <v xml:space="preserve">          4103 - NON-TAXABLE SALES-RENTAL TEXT</v>
      </c>
      <c r="C37" s="11"/>
      <c r="D37" s="2">
        <f>0</f>
        <v>0</v>
      </c>
      <c r="E37" s="2"/>
      <c r="F37" s="22"/>
      <c r="G37" s="2"/>
      <c r="H37" s="2"/>
      <c r="I37" s="2"/>
      <c r="J37" s="22"/>
      <c r="K37" s="2"/>
      <c r="L37" s="2">
        <f t="shared" si="0"/>
        <v>0</v>
      </c>
      <c r="M37" s="2"/>
      <c r="N37" s="22">
        <f t="shared" si="1"/>
        <v>0</v>
      </c>
      <c r="O37" s="11"/>
      <c r="P37" s="2">
        <f>--284.97</f>
        <v>284.97000000000003</v>
      </c>
      <c r="Q37" s="2"/>
      <c r="R37" s="22"/>
      <c r="S37" s="2"/>
      <c r="T37" s="2"/>
      <c r="U37" s="2"/>
      <c r="V37" s="22"/>
      <c r="W37" s="2"/>
      <c r="X37" s="2">
        <f t="shared" si="2"/>
        <v>284.97000000000003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"4104", " - ", "NON-TAXABLE SALES-DIGITAL TEXT")</f>
        <v xml:space="preserve">          4104 - NON-TAXABLE SALES-DIGITAL TEXT</v>
      </c>
      <c r="C38" s="11"/>
      <c r="D38" s="2">
        <f>--1301.3</f>
        <v>1301.3</v>
      </c>
      <c r="E38" s="2"/>
      <c r="F38" s="22"/>
      <c r="G38" s="2"/>
      <c r="H38" s="2"/>
      <c r="I38" s="2"/>
      <c r="J38" s="22"/>
      <c r="K38" s="2"/>
      <c r="L38" s="2">
        <f t="shared" si="0"/>
        <v>1301.3</v>
      </c>
      <c r="M38" s="2"/>
      <c r="N38" s="22">
        <f t="shared" si="1"/>
        <v>0</v>
      </c>
      <c r="O38" s="11"/>
      <c r="P38" s="2">
        <f>--296191.01</f>
        <v>296191.01</v>
      </c>
      <c r="Q38" s="2"/>
      <c r="R38" s="22"/>
      <c r="S38" s="2"/>
      <c r="T38" s="2"/>
      <c r="U38" s="2"/>
      <c r="V38" s="22"/>
      <c r="W38" s="2"/>
      <c r="X38" s="2">
        <f t="shared" si="2"/>
        <v>296191.01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"4113", " - ", "NON-TAXABLE SALES-TRADE BOOKS")</f>
        <v xml:space="preserve">          4113 - NON-TAXABLE SALES-TRADE BOOKS</v>
      </c>
      <c r="C39" s="11"/>
      <c r="D39" s="2">
        <f>--41.55</f>
        <v>41.55</v>
      </c>
      <c r="E39" s="2"/>
      <c r="F39" s="22"/>
      <c r="G39" s="2"/>
      <c r="H39" s="2"/>
      <c r="I39" s="2"/>
      <c r="J39" s="22"/>
      <c r="K39" s="2"/>
      <c r="L39" s="2">
        <f t="shared" si="0"/>
        <v>41.55</v>
      </c>
      <c r="M39" s="2"/>
      <c r="N39" s="22">
        <f t="shared" si="1"/>
        <v>0</v>
      </c>
      <c r="O39" s="11"/>
      <c r="P39" s="2">
        <f>--2327.5</f>
        <v>2327.5</v>
      </c>
      <c r="Q39" s="2"/>
      <c r="R39" s="22"/>
      <c r="S39" s="2"/>
      <c r="T39" s="2"/>
      <c r="U39" s="2"/>
      <c r="V39" s="22"/>
      <c r="W39" s="2"/>
      <c r="X39" s="2">
        <f t="shared" si="2"/>
        <v>2327.5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"4118", " - ", "NON-TAXABLE SALES-STUDY GUIDES")</f>
        <v xml:space="preserve">          4118 - NON-TAXABLE SALES-STUDY GUIDES</v>
      </c>
      <c r="C40" s="11"/>
      <c r="D40" s="2">
        <f t="shared" ref="D40:D41" si="6">0</f>
        <v>0</v>
      </c>
      <c r="E40" s="2"/>
      <c r="F40" s="22"/>
      <c r="G40" s="2"/>
      <c r="H40" s="2"/>
      <c r="I40" s="2"/>
      <c r="J40" s="22"/>
      <c r="K40" s="2"/>
      <c r="L40" s="2">
        <f t="shared" si="0"/>
        <v>0</v>
      </c>
      <c r="M40" s="2"/>
      <c r="N40" s="22">
        <f t="shared" si="1"/>
        <v>0</v>
      </c>
      <c r="O40" s="11"/>
      <c r="P40" s="2">
        <f>--233.43</f>
        <v>233.43</v>
      </c>
      <c r="Q40" s="2"/>
      <c r="R40" s="22"/>
      <c r="S40" s="2"/>
      <c r="T40" s="2"/>
      <c r="U40" s="2"/>
      <c r="V40" s="22"/>
      <c r="W40" s="2"/>
      <c r="X40" s="2">
        <f t="shared" si="2"/>
        <v>233.43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"4126", " - ", "NON-TAXABLE SALES-WRITING INST")</f>
        <v xml:space="preserve">          4126 - NON-TAXABLE SALES-WRITING INST</v>
      </c>
      <c r="C41" s="11"/>
      <c r="D41" s="2">
        <f t="shared" si="6"/>
        <v>0</v>
      </c>
      <c r="E41" s="2"/>
      <c r="F41" s="22"/>
      <c r="G41" s="2"/>
      <c r="H41" s="2"/>
      <c r="I41" s="2"/>
      <c r="J41" s="22"/>
      <c r="K41" s="2"/>
      <c r="L41" s="2">
        <f t="shared" si="0"/>
        <v>0</v>
      </c>
      <c r="M41" s="2"/>
      <c r="N41" s="22">
        <f t="shared" si="1"/>
        <v>0</v>
      </c>
      <c r="O41" s="11"/>
      <c r="P41" s="2">
        <f>--52.68</f>
        <v>52.68</v>
      </c>
      <c r="Q41" s="2"/>
      <c r="R41" s="22"/>
      <c r="S41" s="2"/>
      <c r="T41" s="2"/>
      <c r="U41" s="2"/>
      <c r="V41" s="22"/>
      <c r="W41" s="2"/>
      <c r="X41" s="2">
        <f t="shared" si="2"/>
        <v>52.68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"4127", " - ", "NON-TAXABLE SALES-SCHOOL SUPPL")</f>
        <v xml:space="preserve">          4127 - NON-TAXABLE SALES-SCHOOL SUPPL</v>
      </c>
      <c r="C42" s="11"/>
      <c r="D42" s="2">
        <f>--259.53</f>
        <v>259.52999999999997</v>
      </c>
      <c r="E42" s="2"/>
      <c r="F42" s="22"/>
      <c r="G42" s="2"/>
      <c r="H42" s="2"/>
      <c r="I42" s="2"/>
      <c r="J42" s="22"/>
      <c r="K42" s="2"/>
      <c r="L42" s="2">
        <f t="shared" si="0"/>
        <v>259.52999999999997</v>
      </c>
      <c r="M42" s="2"/>
      <c r="N42" s="22">
        <f t="shared" si="1"/>
        <v>0</v>
      </c>
      <c r="O42" s="11"/>
      <c r="P42" s="2">
        <f>--3206.11</f>
        <v>3206.11</v>
      </c>
      <c r="Q42" s="2"/>
      <c r="R42" s="22"/>
      <c r="S42" s="2"/>
      <c r="T42" s="2"/>
      <c r="U42" s="2"/>
      <c r="V42" s="22"/>
      <c r="W42" s="2"/>
      <c r="X42" s="2">
        <f t="shared" si="2"/>
        <v>3206.11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"4128", " - ", "NON-TAXABLE SALES-ART/TECH")</f>
        <v xml:space="preserve">          4128 - NON-TAXABLE SALES-ART/TECH</v>
      </c>
      <c r="C43" s="11"/>
      <c r="D43" s="2">
        <f>0</f>
        <v>0</v>
      </c>
      <c r="E43" s="2"/>
      <c r="F43" s="22"/>
      <c r="G43" s="2"/>
      <c r="H43" s="2"/>
      <c r="I43" s="2"/>
      <c r="J43" s="22"/>
      <c r="K43" s="2"/>
      <c r="L43" s="2">
        <f t="shared" si="0"/>
        <v>0</v>
      </c>
      <c r="M43" s="2"/>
      <c r="N43" s="22">
        <f t="shared" si="1"/>
        <v>0</v>
      </c>
      <c r="O43" s="11"/>
      <c r="P43" s="2">
        <f>--24.78</f>
        <v>24.78</v>
      </c>
      <c r="Q43" s="2"/>
      <c r="R43" s="22"/>
      <c r="S43" s="2"/>
      <c r="T43" s="2"/>
      <c r="U43" s="2"/>
      <c r="V43" s="22"/>
      <c r="W43" s="2"/>
      <c r="X43" s="2">
        <f t="shared" si="2"/>
        <v>24.78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"4131", " - ", "NON-TAXABLE SALES-FOOD")</f>
        <v xml:space="preserve">          4131 - NON-TAXABLE SALES-FOOD</v>
      </c>
      <c r="C44" s="11"/>
      <c r="D44" s="2">
        <f>--1032.82</f>
        <v>1032.82</v>
      </c>
      <c r="E44" s="2"/>
      <c r="F44" s="22"/>
      <c r="G44" s="2"/>
      <c r="H44" s="2"/>
      <c r="I44" s="2"/>
      <c r="J44" s="22"/>
      <c r="K44" s="2"/>
      <c r="L44" s="2">
        <f t="shared" si="0"/>
        <v>1032.82</v>
      </c>
      <c r="M44" s="2"/>
      <c r="N44" s="22">
        <f t="shared" si="1"/>
        <v>0</v>
      </c>
      <c r="O44" s="11"/>
      <c r="P44" s="2">
        <f>--7542.15</f>
        <v>7542.15</v>
      </c>
      <c r="Q44" s="2"/>
      <c r="R44" s="22"/>
      <c r="S44" s="2"/>
      <c r="T44" s="2"/>
      <c r="U44" s="2"/>
      <c r="V44" s="22"/>
      <c r="W44" s="2"/>
      <c r="X44" s="2">
        <f t="shared" si="2"/>
        <v>7542.15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"4132", " - ", "NON-TAXABLE SALES-JUICE")</f>
        <v xml:space="preserve">          4132 - NON-TAXABLE SALES-JUICE</v>
      </c>
      <c r="C45" s="11"/>
      <c r="D45" s="2">
        <f t="shared" ref="D45:D48" si="7">0</f>
        <v>0</v>
      </c>
      <c r="E45" s="2"/>
      <c r="F45" s="22"/>
      <c r="G45" s="2"/>
      <c r="H45" s="2"/>
      <c r="I45" s="2"/>
      <c r="J45" s="22"/>
      <c r="K45" s="2"/>
      <c r="L45" s="2">
        <f t="shared" si="0"/>
        <v>0</v>
      </c>
      <c r="M45" s="2"/>
      <c r="N45" s="22">
        <f t="shared" si="1"/>
        <v>0</v>
      </c>
      <c r="O45" s="11"/>
      <c r="P45" s="2">
        <f>--22.49</f>
        <v>22.49</v>
      </c>
      <c r="Q45" s="2"/>
      <c r="R45" s="22"/>
      <c r="S45" s="2"/>
      <c r="T45" s="2"/>
      <c r="U45" s="2"/>
      <c r="V45" s="22"/>
      <c r="W45" s="2"/>
      <c r="X45" s="2">
        <f t="shared" si="2"/>
        <v>22.49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"4133", " - ", "NON-TAXABLE SALES-CANDY")</f>
        <v xml:space="preserve">          4133 - NON-TAXABLE SALES-CANDY</v>
      </c>
      <c r="C46" s="11"/>
      <c r="D46" s="2">
        <f t="shared" si="7"/>
        <v>0</v>
      </c>
      <c r="E46" s="2"/>
      <c r="F46" s="22"/>
      <c r="G46" s="2"/>
      <c r="H46" s="2"/>
      <c r="I46" s="2"/>
      <c r="J46" s="22"/>
      <c r="K46" s="2"/>
      <c r="L46" s="2">
        <f t="shared" si="0"/>
        <v>0</v>
      </c>
      <c r="M46" s="2"/>
      <c r="N46" s="22">
        <f t="shared" si="1"/>
        <v>0</v>
      </c>
      <c r="O46" s="11"/>
      <c r="P46" s="2">
        <f>--80.71</f>
        <v>80.709999999999994</v>
      </c>
      <c r="Q46" s="2"/>
      <c r="R46" s="22"/>
      <c r="S46" s="2"/>
      <c r="T46" s="2"/>
      <c r="U46" s="2"/>
      <c r="V46" s="22"/>
      <c r="W46" s="2"/>
      <c r="X46" s="2">
        <f t="shared" si="2"/>
        <v>80.709999999999994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"4134", " - ", "NON-TAXABLE SALES-SODA")</f>
        <v xml:space="preserve">          4134 - NON-TAXABLE SALES-SODA</v>
      </c>
      <c r="C47" s="11"/>
      <c r="D47" s="2">
        <f t="shared" si="7"/>
        <v>0</v>
      </c>
      <c r="E47" s="2"/>
      <c r="F47" s="22"/>
      <c r="G47" s="2"/>
      <c r="H47" s="2"/>
      <c r="I47" s="2"/>
      <c r="J47" s="22"/>
      <c r="K47" s="2"/>
      <c r="L47" s="2">
        <f t="shared" si="0"/>
        <v>0</v>
      </c>
      <c r="M47" s="2"/>
      <c r="N47" s="22">
        <f t="shared" si="1"/>
        <v>0</v>
      </c>
      <c r="O47" s="11"/>
      <c r="P47" s="2">
        <f>--45.53</f>
        <v>45.53</v>
      </c>
      <c r="Q47" s="2"/>
      <c r="R47" s="22"/>
      <c r="S47" s="2"/>
      <c r="T47" s="2"/>
      <c r="U47" s="2"/>
      <c r="V47" s="22"/>
      <c r="W47" s="2"/>
      <c r="X47" s="2">
        <f t="shared" si="2"/>
        <v>45.53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"4137", " - ", "NON-TAXABLE SALES-WATER")</f>
        <v xml:space="preserve">          4137 - NON-TAXABLE SALES-WATER</v>
      </c>
      <c r="C48" s="11"/>
      <c r="D48" s="2">
        <f t="shared" si="7"/>
        <v>0</v>
      </c>
      <c r="E48" s="2"/>
      <c r="F48" s="22"/>
      <c r="G48" s="2"/>
      <c r="H48" s="2"/>
      <c r="I48" s="2"/>
      <c r="J48" s="22"/>
      <c r="K48" s="2"/>
      <c r="L48" s="2">
        <f t="shared" si="0"/>
        <v>0</v>
      </c>
      <c r="M48" s="2"/>
      <c r="N48" s="22">
        <f t="shared" si="1"/>
        <v>0</v>
      </c>
      <c r="O48" s="11"/>
      <c r="P48" s="2">
        <f>--68.25</f>
        <v>68.25</v>
      </c>
      <c r="Q48" s="2"/>
      <c r="R48" s="22"/>
      <c r="S48" s="2"/>
      <c r="T48" s="2"/>
      <c r="U48" s="2"/>
      <c r="V48" s="22"/>
      <c r="W48" s="2"/>
      <c r="X48" s="2">
        <f t="shared" si="2"/>
        <v>68.25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"4140", " - ", "NON-TAXABLE SALES-LOGO CLOTHIN")</f>
        <v xml:space="preserve">          4140 - NON-TAXABLE SALES-LOGO CLOTHIN</v>
      </c>
      <c r="C49" s="11"/>
      <c r="D49" s="2">
        <f>--53650.7</f>
        <v>53650.7</v>
      </c>
      <c r="E49" s="2"/>
      <c r="F49" s="22"/>
      <c r="G49" s="2"/>
      <c r="H49" s="2"/>
      <c r="I49" s="2"/>
      <c r="J49" s="22"/>
      <c r="K49" s="2"/>
      <c r="L49" s="2">
        <f t="shared" si="0"/>
        <v>53650.7</v>
      </c>
      <c r="M49" s="2"/>
      <c r="N49" s="22">
        <f t="shared" si="1"/>
        <v>0</v>
      </c>
      <c r="O49" s="11"/>
      <c r="P49" s="2">
        <f>--103970.97</f>
        <v>103970.97</v>
      </c>
      <c r="Q49" s="2"/>
      <c r="R49" s="22"/>
      <c r="S49" s="2"/>
      <c r="T49" s="2"/>
      <c r="U49" s="2"/>
      <c r="V49" s="22"/>
      <c r="W49" s="2"/>
      <c r="X49" s="2">
        <f t="shared" si="2"/>
        <v>103970.97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"4141", " - ", "NON-TAXABLE SALES-LOGO GIFTS")</f>
        <v xml:space="preserve">          4141 - NON-TAXABLE SALES-LOGO GIFTS</v>
      </c>
      <c r="C50" s="11"/>
      <c r="D50" s="2">
        <f>--1780.23</f>
        <v>1780.23</v>
      </c>
      <c r="E50" s="2"/>
      <c r="F50" s="22"/>
      <c r="G50" s="2"/>
      <c r="H50" s="2"/>
      <c r="I50" s="2"/>
      <c r="J50" s="22"/>
      <c r="K50" s="2"/>
      <c r="L50" s="2">
        <f t="shared" si="0"/>
        <v>1780.23</v>
      </c>
      <c r="M50" s="2"/>
      <c r="N50" s="22">
        <f t="shared" si="1"/>
        <v>0</v>
      </c>
      <c r="O50" s="11"/>
      <c r="P50" s="2">
        <f>--5969.25</f>
        <v>5969.25</v>
      </c>
      <c r="Q50" s="2"/>
      <c r="R50" s="22"/>
      <c r="S50" s="2"/>
      <c r="T50" s="2"/>
      <c r="U50" s="2"/>
      <c r="V50" s="22"/>
      <c r="W50" s="2"/>
      <c r="X50" s="2">
        <f t="shared" si="2"/>
        <v>5969.25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"4142", " - ", "NON-TAXABLE SALES-EVERYDAY GIF")</f>
        <v xml:space="preserve">          4142 - NON-TAXABLE SALES-EVERYDAY GIF</v>
      </c>
      <c r="C51" s="11"/>
      <c r="D51" s="2">
        <f>0</f>
        <v>0</v>
      </c>
      <c r="E51" s="2"/>
      <c r="F51" s="22"/>
      <c r="G51" s="2"/>
      <c r="H51" s="2"/>
      <c r="I51" s="2"/>
      <c r="J51" s="22"/>
      <c r="K51" s="2"/>
      <c r="L51" s="2">
        <f t="shared" si="0"/>
        <v>0</v>
      </c>
      <c r="M51" s="2"/>
      <c r="N51" s="22">
        <f t="shared" si="1"/>
        <v>0</v>
      </c>
      <c r="O51" s="11"/>
      <c r="P51" s="2">
        <f>--2208.19</f>
        <v>2208.19</v>
      </c>
      <c r="Q51" s="2"/>
      <c r="R51" s="22"/>
      <c r="S51" s="2"/>
      <c r="T51" s="2"/>
      <c r="U51" s="2"/>
      <c r="V51" s="22"/>
      <c r="W51" s="2"/>
      <c r="X51" s="2">
        <f t="shared" si="2"/>
        <v>2208.19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"4143", " - ", "NON-TAXABLE SALES-CARDS")</f>
        <v xml:space="preserve">          4143 - NON-TAXABLE SALES-CARDS</v>
      </c>
      <c r="C52" s="11"/>
      <c r="D52" s="2">
        <f>--1697.07</f>
        <v>1697.07</v>
      </c>
      <c r="E52" s="2"/>
      <c r="F52" s="22"/>
      <c r="G52" s="2"/>
      <c r="H52" s="2"/>
      <c r="I52" s="2"/>
      <c r="J52" s="22"/>
      <c r="K52" s="2"/>
      <c r="L52" s="2">
        <f t="shared" si="0"/>
        <v>1697.07</v>
      </c>
      <c r="M52" s="2"/>
      <c r="N52" s="22">
        <f t="shared" si="1"/>
        <v>0</v>
      </c>
      <c r="O52" s="11"/>
      <c r="P52" s="2">
        <f>--1737.03</f>
        <v>1737.03</v>
      </c>
      <c r="Q52" s="2"/>
      <c r="R52" s="22"/>
      <c r="S52" s="2"/>
      <c r="T52" s="2"/>
      <c r="U52" s="2"/>
      <c r="V52" s="22"/>
      <c r="W52" s="2"/>
      <c r="X52" s="2">
        <f t="shared" si="2"/>
        <v>1737.03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"4144", " - ", "NON-TAXABLE SALES-ACCESSORIES")</f>
        <v xml:space="preserve">          4144 - NON-TAXABLE SALES-ACCESSORIES</v>
      </c>
      <c r="C53" s="11"/>
      <c r="D53" s="2">
        <f>--99.8</f>
        <v>99.8</v>
      </c>
      <c r="E53" s="2"/>
      <c r="F53" s="22"/>
      <c r="G53" s="2"/>
      <c r="H53" s="2"/>
      <c r="I53" s="2"/>
      <c r="J53" s="22"/>
      <c r="K53" s="2"/>
      <c r="L53" s="2">
        <f t="shared" si="0"/>
        <v>99.8</v>
      </c>
      <c r="M53" s="2"/>
      <c r="N53" s="22">
        <f t="shared" si="1"/>
        <v>0</v>
      </c>
      <c r="O53" s="11"/>
      <c r="P53" s="2">
        <f>--489.5</f>
        <v>489.5</v>
      </c>
      <c r="Q53" s="2"/>
      <c r="R53" s="22"/>
      <c r="S53" s="2"/>
      <c r="T53" s="2"/>
      <c r="U53" s="2"/>
      <c r="V53" s="22"/>
      <c r="W53" s="2"/>
      <c r="X53" s="2">
        <f t="shared" si="2"/>
        <v>489.5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"4145", " - ", "NON-TAXABLE SALES-SPECIAL ORDE")</f>
        <v xml:space="preserve">          4145 - NON-TAXABLE SALES-SPECIAL ORDE</v>
      </c>
      <c r="C54" s="11"/>
      <c r="D54" s="2">
        <f>--16747.77</f>
        <v>16747.77</v>
      </c>
      <c r="E54" s="2"/>
      <c r="F54" s="22"/>
      <c r="G54" s="2"/>
      <c r="H54" s="2"/>
      <c r="I54" s="2"/>
      <c r="J54" s="22"/>
      <c r="K54" s="2"/>
      <c r="L54" s="2">
        <f t="shared" si="0"/>
        <v>16747.77</v>
      </c>
      <c r="M54" s="2"/>
      <c r="N54" s="22">
        <f t="shared" si="1"/>
        <v>0</v>
      </c>
      <c r="O54" s="11"/>
      <c r="P54" s="2">
        <f>--55393.77</f>
        <v>55393.77</v>
      </c>
      <c r="Q54" s="2"/>
      <c r="R54" s="22"/>
      <c r="S54" s="2"/>
      <c r="T54" s="2"/>
      <c r="U54" s="2"/>
      <c r="V54" s="22"/>
      <c r="W54" s="2"/>
      <c r="X54" s="2">
        <f t="shared" si="2"/>
        <v>55393.77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"4146", " - ", "NON-TAXABLE SALES-COIN OP MACH")</f>
        <v xml:space="preserve">          4146 - NON-TAXABLE SALES-COIN OP MACH</v>
      </c>
      <c r="C55" s="11"/>
      <c r="D55" s="2">
        <f>--19.9</f>
        <v>19.899999999999999</v>
      </c>
      <c r="E55" s="2"/>
      <c r="F55" s="22"/>
      <c r="G55" s="2"/>
      <c r="H55" s="2"/>
      <c r="I55" s="2"/>
      <c r="J55" s="22"/>
      <c r="K55" s="2"/>
      <c r="L55" s="2">
        <f t="shared" si="0"/>
        <v>19.899999999999999</v>
      </c>
      <c r="M55" s="2"/>
      <c r="N55" s="22">
        <f t="shared" si="1"/>
        <v>0</v>
      </c>
      <c r="O55" s="11"/>
      <c r="P55" s="2">
        <f>--127.9</f>
        <v>127.9</v>
      </c>
      <c r="Q55" s="2"/>
      <c r="R55" s="22"/>
      <c r="S55" s="2"/>
      <c r="T55" s="2"/>
      <c r="U55" s="2"/>
      <c r="V55" s="22"/>
      <c r="W55" s="2"/>
      <c r="X55" s="2">
        <f t="shared" si="2"/>
        <v>127.9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"4147", " - ", "NON-TAXABLE SALES-MISC")</f>
        <v xml:space="preserve">          4147 - NON-TAXABLE SALES-MISC</v>
      </c>
      <c r="C56" s="11"/>
      <c r="D56" s="2">
        <f>--13</f>
        <v>13</v>
      </c>
      <c r="E56" s="2"/>
      <c r="F56" s="22"/>
      <c r="G56" s="2"/>
      <c r="H56" s="2"/>
      <c r="I56" s="2"/>
      <c r="J56" s="22"/>
      <c r="K56" s="2"/>
      <c r="L56" s="2">
        <f t="shared" si="0"/>
        <v>13</v>
      </c>
      <c r="M56" s="2"/>
      <c r="N56" s="22">
        <f t="shared" si="1"/>
        <v>0</v>
      </c>
      <c r="O56" s="11"/>
      <c r="P56" s="2">
        <f>--104.5</f>
        <v>104.5</v>
      </c>
      <c r="Q56" s="2"/>
      <c r="R56" s="22"/>
      <c r="S56" s="2"/>
      <c r="T56" s="2"/>
      <c r="U56" s="2"/>
      <c r="V56" s="22"/>
      <c r="W56" s="2"/>
      <c r="X56" s="2">
        <f t="shared" si="2"/>
        <v>104.5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"4201", " - ", "SALES RETURN TAXABLE-NEW TEXT")</f>
        <v xml:space="preserve">          4201 - SALES RETURN TAXABLE-NEW TEXT</v>
      </c>
      <c r="C57" s="11"/>
      <c r="D57" s="2">
        <f>-681.18</f>
        <v>-681.18</v>
      </c>
      <c r="E57" s="2"/>
      <c r="F57" s="22"/>
      <c r="G57" s="2"/>
      <c r="H57" s="2"/>
      <c r="I57" s="2"/>
      <c r="J57" s="22"/>
      <c r="K57" s="2"/>
      <c r="L57" s="2">
        <f t="shared" si="0"/>
        <v>-681.18</v>
      </c>
      <c r="M57" s="2"/>
      <c r="N57" s="22">
        <f t="shared" si="1"/>
        <v>0</v>
      </c>
      <c r="O57" s="11"/>
      <c r="P57" s="2">
        <f>-35775.84</f>
        <v>-35775.839999999997</v>
      </c>
      <c r="Q57" s="2"/>
      <c r="R57" s="22"/>
      <c r="S57" s="2"/>
      <c r="T57" s="2"/>
      <c r="U57" s="2"/>
      <c r="V57" s="22"/>
      <c r="W57" s="2"/>
      <c r="X57" s="2">
        <f t="shared" si="2"/>
        <v>-35775.839999999997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"4202", " - ", "SALES RETURN TAXABLE-USED TEXT")</f>
        <v xml:space="preserve">          4202 - SALES RETURN TAXABLE-USED TEXT</v>
      </c>
      <c r="C58" s="11"/>
      <c r="D58" s="2">
        <f>-62.65</f>
        <v>-62.65</v>
      </c>
      <c r="E58" s="2"/>
      <c r="F58" s="22"/>
      <c r="G58" s="2"/>
      <c r="H58" s="2"/>
      <c r="I58" s="2"/>
      <c r="J58" s="22"/>
      <c r="K58" s="2"/>
      <c r="L58" s="2">
        <f t="shared" si="0"/>
        <v>-62.65</v>
      </c>
      <c r="M58" s="2"/>
      <c r="N58" s="22">
        <f t="shared" si="1"/>
        <v>0</v>
      </c>
      <c r="O58" s="11"/>
      <c r="P58" s="2">
        <f>-13866</f>
        <v>-13866</v>
      </c>
      <c r="Q58" s="2"/>
      <c r="R58" s="22"/>
      <c r="S58" s="2"/>
      <c r="T58" s="2"/>
      <c r="U58" s="2"/>
      <c r="V58" s="22"/>
      <c r="W58" s="2"/>
      <c r="X58" s="2">
        <f t="shared" si="2"/>
        <v>-13866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"4204", " - ", "SALES RETURN TAXABLE-DIGITAL T")</f>
        <v xml:space="preserve">          4204 - SALES RETURN TAXABLE-DIGITAL T</v>
      </c>
      <c r="C59" s="11"/>
      <c r="D59" s="2">
        <f t="shared" ref="D59:D60" si="8">0</f>
        <v>0</v>
      </c>
      <c r="E59" s="2"/>
      <c r="F59" s="22"/>
      <c r="G59" s="2"/>
      <c r="H59" s="2"/>
      <c r="I59" s="2"/>
      <c r="J59" s="22"/>
      <c r="K59" s="2"/>
      <c r="L59" s="2">
        <f t="shared" si="0"/>
        <v>0</v>
      </c>
      <c r="M59" s="2"/>
      <c r="N59" s="22">
        <f t="shared" si="1"/>
        <v>0</v>
      </c>
      <c r="O59" s="11"/>
      <c r="P59" s="2">
        <f>-1630.85</f>
        <v>-1630.85</v>
      </c>
      <c r="Q59" s="2"/>
      <c r="R59" s="22"/>
      <c r="S59" s="2"/>
      <c r="T59" s="2"/>
      <c r="U59" s="2"/>
      <c r="V59" s="22"/>
      <c r="W59" s="2"/>
      <c r="X59" s="2">
        <f t="shared" si="2"/>
        <v>-1630.85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"4226", " - ", "SALES RETURN TAXABLE-WRITING I")</f>
        <v xml:space="preserve">          4226 - SALES RETURN TAXABLE-WRITING I</v>
      </c>
      <c r="C60" s="11"/>
      <c r="D60" s="2">
        <f t="shared" si="8"/>
        <v>0</v>
      </c>
      <c r="E60" s="2"/>
      <c r="F60" s="22"/>
      <c r="G60" s="2"/>
      <c r="H60" s="2"/>
      <c r="I60" s="2"/>
      <c r="J60" s="22"/>
      <c r="K60" s="2"/>
      <c r="L60" s="2">
        <f t="shared" si="0"/>
        <v>0</v>
      </c>
      <c r="M60" s="2"/>
      <c r="N60" s="22">
        <f t="shared" si="1"/>
        <v>0</v>
      </c>
      <c r="O60" s="11"/>
      <c r="P60" s="2">
        <f>-34.23</f>
        <v>-34.229999999999997</v>
      </c>
      <c r="Q60" s="2"/>
      <c r="R60" s="22"/>
      <c r="S60" s="2"/>
      <c r="T60" s="2"/>
      <c r="U60" s="2"/>
      <c r="V60" s="22"/>
      <c r="W60" s="2"/>
      <c r="X60" s="2">
        <f t="shared" si="2"/>
        <v>-34.229999999999997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"4227", " - ", "SALES RETURN TAXABLE-SCHOOL SU")</f>
        <v xml:space="preserve">          4227 - SALES RETURN TAXABLE-SCHOOL SU</v>
      </c>
      <c r="C61" s="11"/>
      <c r="D61" s="2">
        <f>-25.82</f>
        <v>-25.82</v>
      </c>
      <c r="E61" s="2"/>
      <c r="F61" s="22"/>
      <c r="G61" s="2"/>
      <c r="H61" s="2"/>
      <c r="I61" s="2"/>
      <c r="J61" s="22"/>
      <c r="K61" s="2"/>
      <c r="L61" s="2">
        <f t="shared" si="0"/>
        <v>-25.82</v>
      </c>
      <c r="M61" s="2"/>
      <c r="N61" s="22">
        <f t="shared" si="1"/>
        <v>0</v>
      </c>
      <c r="O61" s="11"/>
      <c r="P61" s="2">
        <f>-636.46</f>
        <v>-636.46</v>
      </c>
      <c r="Q61" s="2"/>
      <c r="R61" s="22"/>
      <c r="S61" s="2"/>
      <c r="T61" s="2"/>
      <c r="U61" s="2"/>
      <c r="V61" s="22"/>
      <c r="W61" s="2"/>
      <c r="X61" s="2">
        <f t="shared" si="2"/>
        <v>-636.46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"4228", " - ", "SALES RETURN TAXABLE-ART/TECH")</f>
        <v xml:space="preserve">          4228 - SALES RETURN TAXABLE-ART/TECH</v>
      </c>
      <c r="C62" s="11"/>
      <c r="D62" s="2">
        <f>0</f>
        <v>0</v>
      </c>
      <c r="E62" s="2"/>
      <c r="F62" s="22"/>
      <c r="G62" s="2"/>
      <c r="H62" s="2"/>
      <c r="I62" s="2"/>
      <c r="J62" s="22"/>
      <c r="K62" s="2"/>
      <c r="L62" s="2">
        <f t="shared" si="0"/>
        <v>0</v>
      </c>
      <c r="M62" s="2"/>
      <c r="N62" s="22">
        <f t="shared" si="1"/>
        <v>0</v>
      </c>
      <c r="O62" s="11"/>
      <c r="P62" s="2">
        <f>-254.69</f>
        <v>-254.69</v>
      </c>
      <c r="Q62" s="2"/>
      <c r="R62" s="22"/>
      <c r="S62" s="2"/>
      <c r="T62" s="2"/>
      <c r="U62" s="2"/>
      <c r="V62" s="22"/>
      <c r="W62" s="2"/>
      <c r="X62" s="2">
        <f t="shared" si="2"/>
        <v>-254.69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"4240", " - ", "SALES RETURN TAXABLE-LOGO CLOT")</f>
        <v xml:space="preserve">          4240 - SALES RETURN TAXABLE-LOGO CLOT</v>
      </c>
      <c r="C63" s="11"/>
      <c r="D63" s="2">
        <f>-4840.17</f>
        <v>-4840.17</v>
      </c>
      <c r="E63" s="2"/>
      <c r="F63" s="22"/>
      <c r="G63" s="2"/>
      <c r="H63" s="2"/>
      <c r="I63" s="2"/>
      <c r="J63" s="22"/>
      <c r="K63" s="2"/>
      <c r="L63" s="2">
        <f t="shared" si="0"/>
        <v>-4840.17</v>
      </c>
      <c r="M63" s="2"/>
      <c r="N63" s="22">
        <f t="shared" si="1"/>
        <v>0</v>
      </c>
      <c r="O63" s="11"/>
      <c r="P63" s="2">
        <f>-20418.84</f>
        <v>-20418.84</v>
      </c>
      <c r="Q63" s="2"/>
      <c r="R63" s="22"/>
      <c r="S63" s="2"/>
      <c r="T63" s="2"/>
      <c r="U63" s="2"/>
      <c r="V63" s="22"/>
      <c r="W63" s="2"/>
      <c r="X63" s="2">
        <f t="shared" si="2"/>
        <v>-20418.84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"4241", " - ", "SALES RETURN TAXABLE-LOGO GIFT")</f>
        <v xml:space="preserve">          4241 - SALES RETURN TAXABLE-LOGO GIFT</v>
      </c>
      <c r="C64" s="11"/>
      <c r="D64" s="2">
        <f>-755.16</f>
        <v>-755.16</v>
      </c>
      <c r="E64" s="2"/>
      <c r="F64" s="22"/>
      <c r="G64" s="2"/>
      <c r="H64" s="2"/>
      <c r="I64" s="2"/>
      <c r="J64" s="22"/>
      <c r="K64" s="2"/>
      <c r="L64" s="2">
        <f t="shared" si="0"/>
        <v>-755.16</v>
      </c>
      <c r="M64" s="2"/>
      <c r="N64" s="22">
        <f t="shared" si="1"/>
        <v>0</v>
      </c>
      <c r="O64" s="11"/>
      <c r="P64" s="2">
        <f>-3560.01</f>
        <v>-3560.01</v>
      </c>
      <c r="Q64" s="2"/>
      <c r="R64" s="22"/>
      <c r="S64" s="2"/>
      <c r="T64" s="2"/>
      <c r="U64" s="2"/>
      <c r="V64" s="22"/>
      <c r="W64" s="2"/>
      <c r="X64" s="2">
        <f t="shared" si="2"/>
        <v>-3560.01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"4242", " - ", "SALES RETURN TAXABLE-EVERYDAY")</f>
        <v xml:space="preserve">          4242 - SALES RETURN TAXABLE-EVERYDAY</v>
      </c>
      <c r="C65" s="11"/>
      <c r="D65" s="2">
        <f>-287.93</f>
        <v>-287.93</v>
      </c>
      <c r="E65" s="2"/>
      <c r="F65" s="22"/>
      <c r="G65" s="2"/>
      <c r="H65" s="2"/>
      <c r="I65" s="2"/>
      <c r="J65" s="22"/>
      <c r="K65" s="2"/>
      <c r="L65" s="2">
        <f t="shared" si="0"/>
        <v>-287.93</v>
      </c>
      <c r="M65" s="2"/>
      <c r="N65" s="22">
        <f t="shared" si="1"/>
        <v>0</v>
      </c>
      <c r="O65" s="11"/>
      <c r="P65" s="2">
        <f>-1616.92</f>
        <v>-1616.92</v>
      </c>
      <c r="Q65" s="2"/>
      <c r="R65" s="22"/>
      <c r="S65" s="2"/>
      <c r="T65" s="2"/>
      <c r="U65" s="2"/>
      <c r="V65" s="22"/>
      <c r="W65" s="2"/>
      <c r="X65" s="2">
        <f t="shared" si="2"/>
        <v>-1616.92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"4243", " - ", "SALES RETURN TAXABLE-CARDS")</f>
        <v xml:space="preserve">          4243 - SALES RETURN TAXABLE-CARDS</v>
      </c>
      <c r="C66" s="11"/>
      <c r="D66" s="2">
        <f>-1765.08</f>
        <v>-1765.08</v>
      </c>
      <c r="E66" s="2"/>
      <c r="F66" s="22"/>
      <c r="G66" s="2"/>
      <c r="H66" s="2"/>
      <c r="I66" s="2"/>
      <c r="J66" s="22"/>
      <c r="K66" s="2"/>
      <c r="L66" s="2">
        <f t="shared" si="0"/>
        <v>-1765.08</v>
      </c>
      <c r="M66" s="2"/>
      <c r="N66" s="22">
        <f t="shared" si="1"/>
        <v>0</v>
      </c>
      <c r="O66" s="11"/>
      <c r="P66" s="2">
        <f>-3577.54</f>
        <v>-3577.54</v>
      </c>
      <c r="Q66" s="2"/>
      <c r="R66" s="22"/>
      <c r="S66" s="2"/>
      <c r="T66" s="2"/>
      <c r="U66" s="2"/>
      <c r="V66" s="22"/>
      <c r="W66" s="2"/>
      <c r="X66" s="2">
        <f t="shared" si="2"/>
        <v>-3577.54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"4244", " - ", "SALES RETURN TAXABLE-ACCESSORI")</f>
        <v xml:space="preserve">          4244 - SALES RETURN TAXABLE-ACCESSORI</v>
      </c>
      <c r="C67" s="11"/>
      <c r="D67" s="2">
        <f>-299.93</f>
        <v>-299.93</v>
      </c>
      <c r="E67" s="2"/>
      <c r="F67" s="22"/>
      <c r="G67" s="2"/>
      <c r="H67" s="2"/>
      <c r="I67" s="2"/>
      <c r="J67" s="22"/>
      <c r="K67" s="2"/>
      <c r="L67" s="2">
        <f t="shared" si="0"/>
        <v>-299.93</v>
      </c>
      <c r="M67" s="2"/>
      <c r="N67" s="22">
        <f t="shared" si="1"/>
        <v>0</v>
      </c>
      <c r="O67" s="11"/>
      <c r="P67" s="2">
        <f>-890.87</f>
        <v>-890.87</v>
      </c>
      <c r="Q67" s="2"/>
      <c r="R67" s="22"/>
      <c r="S67" s="2"/>
      <c r="T67" s="2"/>
      <c r="U67" s="2"/>
      <c r="V67" s="22"/>
      <c r="W67" s="2"/>
      <c r="X67" s="2">
        <f t="shared" si="2"/>
        <v>-890.87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"4245", " - ", "SALES RETURN TAXABLE-SPECIAL O")</f>
        <v xml:space="preserve">          4245 - SALES RETURN TAXABLE-SPECIAL O</v>
      </c>
      <c r="C68" s="11"/>
      <c r="D68" s="2">
        <f>-9752.79</f>
        <v>-9752.7900000000009</v>
      </c>
      <c r="E68" s="2"/>
      <c r="F68" s="22"/>
      <c r="G68" s="2"/>
      <c r="H68" s="2"/>
      <c r="I68" s="2"/>
      <c r="J68" s="22"/>
      <c r="K68" s="2"/>
      <c r="L68" s="2">
        <f t="shared" si="0"/>
        <v>-9752.7900000000009</v>
      </c>
      <c r="M68" s="2"/>
      <c r="N68" s="22">
        <f t="shared" si="1"/>
        <v>0</v>
      </c>
      <c r="O68" s="11"/>
      <c r="P68" s="2">
        <f>-11345.61</f>
        <v>-11345.61</v>
      </c>
      <c r="Q68" s="2"/>
      <c r="R68" s="22"/>
      <c r="S68" s="2"/>
      <c r="T68" s="2"/>
      <c r="U68" s="2"/>
      <c r="V68" s="22"/>
      <c r="W68" s="2"/>
      <c r="X68" s="2">
        <f t="shared" si="2"/>
        <v>-11345.61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"4301", " - ", "SALES RETURN NON TAXABLE-NEW T")</f>
        <v xml:space="preserve">          4301 - SALES RETURN NON TAXABLE-NEW T</v>
      </c>
      <c r="C69" s="11"/>
      <c r="D69" s="2">
        <f>-372.93</f>
        <v>-372.93</v>
      </c>
      <c r="E69" s="2"/>
      <c r="F69" s="22"/>
      <c r="G69" s="2"/>
      <c r="H69" s="2"/>
      <c r="I69" s="2"/>
      <c r="J69" s="22"/>
      <c r="K69" s="2"/>
      <c r="L69" s="2">
        <f t="shared" si="0"/>
        <v>-372.93</v>
      </c>
      <c r="M69" s="2"/>
      <c r="N69" s="22">
        <f t="shared" si="1"/>
        <v>0</v>
      </c>
      <c r="O69" s="11"/>
      <c r="P69" s="2">
        <f>-2749.1</f>
        <v>-2749.1</v>
      </c>
      <c r="Q69" s="2"/>
      <c r="R69" s="22"/>
      <c r="S69" s="2"/>
      <c r="T69" s="2"/>
      <c r="U69" s="2"/>
      <c r="V69" s="22"/>
      <c r="W69" s="2"/>
      <c r="X69" s="2">
        <f t="shared" si="2"/>
        <v>-2749.1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"4302", " - ", "SALES RETURN NON TAXABLE-TEXT")</f>
        <v xml:space="preserve">          4302 - SALES RETURN NON TAXABLE-TEXT</v>
      </c>
      <c r="C70" s="11"/>
      <c r="D70" s="2">
        <f>-77.35</f>
        <v>-77.349999999999994</v>
      </c>
      <c r="E70" s="2"/>
      <c r="F70" s="22"/>
      <c r="G70" s="2"/>
      <c r="H70" s="2"/>
      <c r="I70" s="2"/>
      <c r="J70" s="22"/>
      <c r="K70" s="2"/>
      <c r="L70" s="2">
        <f t="shared" si="0"/>
        <v>-77.349999999999994</v>
      </c>
      <c r="M70" s="2"/>
      <c r="N70" s="22">
        <f t="shared" si="1"/>
        <v>0</v>
      </c>
      <c r="O70" s="11"/>
      <c r="P70" s="2">
        <f>-1470.2</f>
        <v>-1470.2</v>
      </c>
      <c r="Q70" s="2"/>
      <c r="R70" s="22"/>
      <c r="S70" s="2"/>
      <c r="T70" s="2"/>
      <c r="U70" s="2"/>
      <c r="V70" s="22"/>
      <c r="W70" s="2"/>
      <c r="X70" s="2">
        <f t="shared" si="2"/>
        <v>-1470.2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"4304", " - ", "SALES RETURN NON TAXABLE-DIGIT")</f>
        <v xml:space="preserve">          4304 - SALES RETURN NON TAXABLE-DIGIT</v>
      </c>
      <c r="C71" s="11"/>
      <c r="D71" s="2">
        <f>-144.23</f>
        <v>-144.22999999999999</v>
      </c>
      <c r="E71" s="2"/>
      <c r="F71" s="22"/>
      <c r="G71" s="2"/>
      <c r="H71" s="2"/>
      <c r="I71" s="2"/>
      <c r="J71" s="22"/>
      <c r="K71" s="2"/>
      <c r="L71" s="2">
        <f t="shared" si="0"/>
        <v>-144.22999999999999</v>
      </c>
      <c r="M71" s="2"/>
      <c r="N71" s="22">
        <f t="shared" si="1"/>
        <v>0</v>
      </c>
      <c r="O71" s="11"/>
      <c r="P71" s="2">
        <f>-14422.77</f>
        <v>-14422.77</v>
      </c>
      <c r="Q71" s="2"/>
      <c r="R71" s="22"/>
      <c r="S71" s="2"/>
      <c r="T71" s="2"/>
      <c r="U71" s="2"/>
      <c r="V71" s="22"/>
      <c r="W71" s="2"/>
      <c r="X71" s="2">
        <f t="shared" si="2"/>
        <v>-14422.77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"4340", " - ", "SALES RETURN NON TAXABLE-LOGO")</f>
        <v xml:space="preserve">          4340 - SALES RETURN NON TAXABLE-LOGO</v>
      </c>
      <c r="C72" s="11"/>
      <c r="D72" s="2">
        <f>-543.24</f>
        <v>-543.24</v>
      </c>
      <c r="E72" s="2"/>
      <c r="F72" s="22"/>
      <c r="G72" s="2"/>
      <c r="H72" s="2"/>
      <c r="I72" s="2"/>
      <c r="J72" s="22"/>
      <c r="K72" s="2"/>
      <c r="L72" s="2">
        <f t="shared" si="0"/>
        <v>-543.24</v>
      </c>
      <c r="M72" s="2"/>
      <c r="N72" s="22">
        <f t="shared" si="1"/>
        <v>0</v>
      </c>
      <c r="O72" s="11"/>
      <c r="P72" s="2">
        <f>-1483.72</f>
        <v>-1483.72</v>
      </c>
      <c r="Q72" s="2"/>
      <c r="R72" s="22"/>
      <c r="S72" s="2"/>
      <c r="T72" s="2"/>
      <c r="U72" s="2"/>
      <c r="V72" s="22"/>
      <c r="W72" s="2"/>
      <c r="X72" s="2">
        <f t="shared" si="2"/>
        <v>-1483.72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"4341", " - ", "SALES RETURN NON TAXABLE-LOGO")</f>
        <v xml:space="preserve">          4341 - SALES RETURN NON TAXABLE-LOGO</v>
      </c>
      <c r="C73" s="11"/>
      <c r="D73" s="2">
        <f>-33.85</f>
        <v>-33.85</v>
      </c>
      <c r="E73" s="2"/>
      <c r="F73" s="22"/>
      <c r="G73" s="2"/>
      <c r="H73" s="2"/>
      <c r="I73" s="2"/>
      <c r="J73" s="22"/>
      <c r="K73" s="2"/>
      <c r="L73" s="2">
        <f t="shared" si="0"/>
        <v>-33.85</v>
      </c>
      <c r="M73" s="2"/>
      <c r="N73" s="22">
        <f t="shared" si="1"/>
        <v>0</v>
      </c>
      <c r="O73" s="11"/>
      <c r="P73" s="2">
        <f>-335.64</f>
        <v>-335.64</v>
      </c>
      <c r="Q73" s="2"/>
      <c r="R73" s="22"/>
      <c r="S73" s="2"/>
      <c r="T73" s="2"/>
      <c r="U73" s="2"/>
      <c r="V73" s="22"/>
      <c r="W73" s="2"/>
      <c r="X73" s="2">
        <f t="shared" si="2"/>
        <v>-335.64</v>
      </c>
      <c r="Y73" s="2"/>
      <c r="Z73" s="22">
        <f t="shared" si="3"/>
        <v>0</v>
      </c>
    </row>
    <row r="74" spans="1:26" s="24" customFormat="1" hidden="1" outlineLevel="1" x14ac:dyDescent="0.25">
      <c r="A74" s="51"/>
      <c r="B74" s="11" t="str">
        <f>CONCATENATE("          ", "4342", " - ", "SALES RETURN NON TAXABLE-EVERY")</f>
        <v xml:space="preserve">          4342 - SALES RETURN NON TAXABLE-EVERY</v>
      </c>
      <c r="C74" s="11"/>
      <c r="D74" s="2">
        <f>0</f>
        <v>0</v>
      </c>
      <c r="E74" s="2"/>
      <c r="F74" s="22"/>
      <c r="G74" s="2"/>
      <c r="H74" s="2"/>
      <c r="I74" s="2"/>
      <c r="J74" s="22"/>
      <c r="K74" s="2"/>
      <c r="L74" s="2">
        <f t="shared" si="0"/>
        <v>0</v>
      </c>
      <c r="M74" s="2"/>
      <c r="N74" s="22">
        <f t="shared" si="1"/>
        <v>0</v>
      </c>
      <c r="O74" s="11"/>
      <c r="P74" s="2">
        <f>-118.7</f>
        <v>-118.7</v>
      </c>
      <c r="Q74" s="2"/>
      <c r="R74" s="22"/>
      <c r="S74" s="2"/>
      <c r="T74" s="2"/>
      <c r="U74" s="2"/>
      <c r="V74" s="22"/>
      <c r="W74" s="2"/>
      <c r="X74" s="2">
        <f t="shared" si="2"/>
        <v>-118.7</v>
      </c>
      <c r="Y74" s="2"/>
      <c r="Z74" s="22">
        <f t="shared" si="3"/>
        <v>0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collapsed="1" x14ac:dyDescent="0.25">
      <c r="A76" s="10"/>
      <c r="B76" s="26" t="s">
        <v>8</v>
      </c>
      <c r="C76" s="10"/>
      <c r="D76" s="4">
        <f>SUM(OSRRefD16x_0)</f>
        <v>132849.4</v>
      </c>
      <c r="E76" s="4"/>
      <c r="F76" s="12">
        <f t="shared" ref="F76:F110" si="9">IF(D$12=0,0,D76/D$12)</f>
        <v>0.56862736201853403</v>
      </c>
      <c r="G76" s="4"/>
      <c r="H76" s="4">
        <f>SUM(OSRRefH16x_0)</f>
        <v>178672</v>
      </c>
      <c r="I76" s="4"/>
      <c r="J76" s="12">
        <f t="shared" ref="J76:J110" si="10">IF(H$12=0,0,H76/H$12)</f>
        <v>0.48174761312866859</v>
      </c>
      <c r="K76" s="4"/>
      <c r="L76" s="4">
        <f t="shared" ref="L76:L110" si="11">+D76-H76</f>
        <v>-45822.600000000006</v>
      </c>
      <c r="M76" s="4"/>
      <c r="N76" s="12">
        <f t="shared" ref="N76:N110" si="12">IF(H76=0,0,L76/H76)</f>
        <v>-0.25646212053371542</v>
      </c>
      <c r="O76" s="10"/>
      <c r="P76" s="4">
        <f>SUM(OSRRefP16x_0)</f>
        <v>1734623.4300000002</v>
      </c>
      <c r="Q76" s="4"/>
      <c r="R76" s="12">
        <f t="shared" ref="R76:R110" si="13">IF(P$12=0,0,P76/P$12)</f>
        <v>0.64278292700003359</v>
      </c>
      <c r="S76" s="4"/>
      <c r="T76" s="4">
        <f>SUM(OSRRefT16x_0)</f>
        <v>2813092</v>
      </c>
      <c r="U76" s="4"/>
      <c r="V76" s="12">
        <f t="shared" ref="V76:V110" si="14">IF(T$12=0,0,T76/T$12)</f>
        <v>0.59707119942014031</v>
      </c>
      <c r="W76" s="4"/>
      <c r="X76" s="4">
        <f t="shared" ref="X76:X110" si="15">+P76-T76</f>
        <v>-1078468.5699999998</v>
      </c>
      <c r="Y76" s="4"/>
      <c r="Z76" s="12">
        <f t="shared" ref="Z76:Z110" si="16">IF(T76=0,0,X76/T76)</f>
        <v>-0.38337479542083935</v>
      </c>
    </row>
    <row r="77" spans="1:26" s="24" customFormat="1" hidden="1" outlineLevel="1" x14ac:dyDescent="0.25">
      <c r="A77" s="51"/>
      <c r="B77" s="11" t="str">
        <f>CONCATENATE("          ", "5000", " - ", "PURCHASES @ COST")</f>
        <v xml:space="preserve">          5000 - PURCHASES @ COST</v>
      </c>
      <c r="C77" s="11"/>
      <c r="D77" s="2"/>
      <c r="E77" s="2"/>
      <c r="F77" s="22">
        <f t="shared" si="9"/>
        <v>0</v>
      </c>
      <c r="G77" s="2"/>
      <c r="H77" s="2">
        <v>178672</v>
      </c>
      <c r="I77" s="2"/>
      <c r="J77" s="22">
        <f t="shared" si="10"/>
        <v>0.48174761312866859</v>
      </c>
      <c r="K77" s="2"/>
      <c r="L77" s="2">
        <f t="shared" si="11"/>
        <v>-178672</v>
      </c>
      <c r="M77" s="2"/>
      <c r="N77" s="22">
        <f t="shared" si="12"/>
        <v>-1</v>
      </c>
      <c r="O77" s="11"/>
      <c r="P77" s="2"/>
      <c r="Q77" s="2"/>
      <c r="R77" s="22">
        <f t="shared" si="13"/>
        <v>0</v>
      </c>
      <c r="S77" s="2"/>
      <c r="T77" s="2">
        <v>2813092</v>
      </c>
      <c r="U77" s="2"/>
      <c r="V77" s="22">
        <f t="shared" si="14"/>
        <v>0.59707119942014031</v>
      </c>
      <c r="W77" s="2"/>
      <c r="X77" s="2">
        <f t="shared" si="15"/>
        <v>-2813092</v>
      </c>
      <c r="Y77" s="2"/>
      <c r="Z77" s="22">
        <f t="shared" si="16"/>
        <v>-1</v>
      </c>
    </row>
    <row r="78" spans="1:26" s="24" customFormat="1" hidden="1" outlineLevel="1" x14ac:dyDescent="0.25">
      <c r="A78" s="51"/>
      <c r="B78" s="11" t="str">
        <f>CONCATENATE("          ", "5001", " - ", "PURCHASES @ COST-NEW TEXT")</f>
        <v xml:space="preserve">          5001 - PURCHASES @ COST-NEW TEXT</v>
      </c>
      <c r="C78" s="11"/>
      <c r="D78" s="2">
        <v>37317.56</v>
      </c>
      <c r="E78" s="2"/>
      <c r="F78" s="22">
        <f t="shared" si="9"/>
        <v>0.15972812598151262</v>
      </c>
      <c r="G78" s="2"/>
      <c r="H78" s="2"/>
      <c r="I78" s="2"/>
      <c r="J78" s="22">
        <f t="shared" si="10"/>
        <v>0</v>
      </c>
      <c r="K78" s="2"/>
      <c r="L78" s="2">
        <f t="shared" si="11"/>
        <v>37317.56</v>
      </c>
      <c r="M78" s="2"/>
      <c r="N78" s="22">
        <f t="shared" si="12"/>
        <v>0</v>
      </c>
      <c r="O78" s="11"/>
      <c r="P78" s="2">
        <v>1277913.04</v>
      </c>
      <c r="Q78" s="2"/>
      <c r="R78" s="22">
        <f t="shared" si="13"/>
        <v>0.47354409614005438</v>
      </c>
      <c r="S78" s="2"/>
      <c r="T78" s="2"/>
      <c r="U78" s="2"/>
      <c r="V78" s="22">
        <f t="shared" si="14"/>
        <v>0</v>
      </c>
      <c r="W78" s="2"/>
      <c r="X78" s="2">
        <f t="shared" si="15"/>
        <v>1277913.04</v>
      </c>
      <c r="Y78" s="2"/>
      <c r="Z78" s="22">
        <f t="shared" si="16"/>
        <v>0</v>
      </c>
    </row>
    <row r="79" spans="1:26" s="24" customFormat="1" hidden="1" outlineLevel="1" x14ac:dyDescent="0.25">
      <c r="A79" s="51"/>
      <c r="B79" s="11" t="str">
        <f>CONCATENATE("          ", "5002", " - ", "PURCHASES @ COST-USED TEXT")</f>
        <v xml:space="preserve">          5002 - PURCHASES @ COST-USED TEXT</v>
      </c>
      <c r="C79" s="11"/>
      <c r="D79" s="2">
        <v>70238.87</v>
      </c>
      <c r="E79" s="2"/>
      <c r="F79" s="22">
        <f t="shared" si="9"/>
        <v>0.30063924533541547</v>
      </c>
      <c r="G79" s="2"/>
      <c r="H79" s="2"/>
      <c r="I79" s="2"/>
      <c r="J79" s="22">
        <f t="shared" si="10"/>
        <v>0</v>
      </c>
      <c r="K79" s="2"/>
      <c r="L79" s="2">
        <f t="shared" si="11"/>
        <v>70238.87</v>
      </c>
      <c r="M79" s="2"/>
      <c r="N79" s="22">
        <f t="shared" si="12"/>
        <v>0</v>
      </c>
      <c r="O79" s="11"/>
      <c r="P79" s="2">
        <v>164472.92000000001</v>
      </c>
      <c r="Q79" s="2"/>
      <c r="R79" s="22">
        <f t="shared" si="13"/>
        <v>6.0947167610806659E-2</v>
      </c>
      <c r="S79" s="2"/>
      <c r="T79" s="2"/>
      <c r="U79" s="2"/>
      <c r="V79" s="22">
        <f t="shared" si="14"/>
        <v>0</v>
      </c>
      <c r="W79" s="2"/>
      <c r="X79" s="2">
        <f t="shared" si="15"/>
        <v>164472.92000000001</v>
      </c>
      <c r="Y79" s="2"/>
      <c r="Z79" s="22">
        <f t="shared" si="16"/>
        <v>0</v>
      </c>
    </row>
    <row r="80" spans="1:26" s="24" customFormat="1" hidden="1" outlineLevel="1" x14ac:dyDescent="0.25">
      <c r="A80" s="51"/>
      <c r="B80" s="11" t="str">
        <f>CONCATENATE("          ", "5003", " - ", "PURCHASES @ COST-RENTAL TEXT")</f>
        <v xml:space="preserve">          5003 - PURCHASES @ COST-RENTAL TEXT</v>
      </c>
      <c r="C80" s="11"/>
      <c r="D80" s="2"/>
      <c r="E80" s="2"/>
      <c r="F80" s="22">
        <f t="shared" si="9"/>
        <v>0</v>
      </c>
      <c r="G80" s="2"/>
      <c r="H80" s="2"/>
      <c r="I80" s="2"/>
      <c r="J80" s="22">
        <f t="shared" si="10"/>
        <v>0</v>
      </c>
      <c r="K80" s="2"/>
      <c r="L80" s="2">
        <f t="shared" si="11"/>
        <v>0</v>
      </c>
      <c r="M80" s="2"/>
      <c r="N80" s="22">
        <f t="shared" si="12"/>
        <v>0</v>
      </c>
      <c r="O80" s="11"/>
      <c r="P80" s="2">
        <v>32.520000000000003</v>
      </c>
      <c r="Q80" s="2"/>
      <c r="R80" s="22">
        <f t="shared" si="13"/>
        <v>1.2050627487512428E-5</v>
      </c>
      <c r="S80" s="2"/>
      <c r="T80" s="2"/>
      <c r="U80" s="2"/>
      <c r="V80" s="22">
        <f t="shared" si="14"/>
        <v>0</v>
      </c>
      <c r="W80" s="2"/>
      <c r="X80" s="2">
        <f t="shared" si="15"/>
        <v>32.520000000000003</v>
      </c>
      <c r="Y80" s="2"/>
      <c r="Z80" s="22">
        <f t="shared" si="16"/>
        <v>0</v>
      </c>
    </row>
    <row r="81" spans="1:26" s="24" customFormat="1" hidden="1" outlineLevel="1" x14ac:dyDescent="0.25">
      <c r="A81" s="51"/>
      <c r="B81" s="11" t="str">
        <f>CONCATENATE("          ", "5004", " - ", "PURCHASES @ COST-DIGITAL TEXT")</f>
        <v xml:space="preserve">          5004 - PURCHASES @ COST-DIGITAL TEXT</v>
      </c>
      <c r="C81" s="11"/>
      <c r="D81" s="2">
        <v>900</v>
      </c>
      <c r="E81" s="2"/>
      <c r="F81" s="22">
        <f t="shared" si="9"/>
        <v>3.852216312732166E-3</v>
      </c>
      <c r="G81" s="2"/>
      <c r="H81" s="2"/>
      <c r="I81" s="2"/>
      <c r="J81" s="22">
        <f t="shared" si="10"/>
        <v>0</v>
      </c>
      <c r="K81" s="2"/>
      <c r="L81" s="2">
        <f t="shared" si="11"/>
        <v>900</v>
      </c>
      <c r="M81" s="2"/>
      <c r="N81" s="22">
        <f t="shared" si="12"/>
        <v>0</v>
      </c>
      <c r="O81" s="11"/>
      <c r="P81" s="2">
        <v>197838.11000000002</v>
      </c>
      <c r="Q81" s="2"/>
      <c r="R81" s="22">
        <f t="shared" si="13"/>
        <v>7.3310989128029136E-2</v>
      </c>
      <c r="S81" s="2"/>
      <c r="T81" s="2"/>
      <c r="U81" s="2"/>
      <c r="V81" s="22">
        <f t="shared" si="14"/>
        <v>0</v>
      </c>
      <c r="W81" s="2"/>
      <c r="X81" s="2">
        <f t="shared" si="15"/>
        <v>197838.11000000002</v>
      </c>
      <c r="Y81" s="2"/>
      <c r="Z81" s="22">
        <f t="shared" si="16"/>
        <v>0</v>
      </c>
    </row>
    <row r="82" spans="1:26" s="24" customFormat="1" hidden="1" outlineLevel="1" x14ac:dyDescent="0.25">
      <c r="A82" s="51"/>
      <c r="B82" s="11" t="str">
        <f>CONCATENATE("          ", "5011", " - ", "PURCHASES @ COST-NO VALUE TEXT")</f>
        <v xml:space="preserve">          5011 - PURCHASES @ COST-NO VALUE TEXT</v>
      </c>
      <c r="C82" s="11"/>
      <c r="D82" s="2"/>
      <c r="E82" s="2"/>
      <c r="F82" s="22">
        <f t="shared" si="9"/>
        <v>0</v>
      </c>
      <c r="G82" s="2"/>
      <c r="H82" s="2"/>
      <c r="I82" s="2"/>
      <c r="J82" s="22">
        <f t="shared" si="10"/>
        <v>0</v>
      </c>
      <c r="K82" s="2"/>
      <c r="L82" s="2">
        <f t="shared" si="11"/>
        <v>0</v>
      </c>
      <c r="M82" s="2"/>
      <c r="N82" s="22">
        <f t="shared" si="12"/>
        <v>0</v>
      </c>
      <c r="O82" s="11"/>
      <c r="P82" s="2">
        <v>67.17</v>
      </c>
      <c r="Q82" s="2"/>
      <c r="R82" s="22">
        <f t="shared" si="13"/>
        <v>2.4890548841826869E-5</v>
      </c>
      <c r="S82" s="2"/>
      <c r="T82" s="2"/>
      <c r="U82" s="2"/>
      <c r="V82" s="22">
        <f t="shared" si="14"/>
        <v>0</v>
      </c>
      <c r="W82" s="2"/>
      <c r="X82" s="2">
        <f t="shared" si="15"/>
        <v>67.17</v>
      </c>
      <c r="Y82" s="2"/>
      <c r="Z82" s="22">
        <f t="shared" si="16"/>
        <v>0</v>
      </c>
    </row>
    <row r="83" spans="1:26" s="24" customFormat="1" hidden="1" outlineLevel="1" x14ac:dyDescent="0.25">
      <c r="A83" s="51"/>
      <c r="B83" s="11" t="str">
        <f>CONCATENATE("          ", "5013", " - ", "PURCHASES @ COST-TRADE BOOKS")</f>
        <v xml:space="preserve">          5013 - PURCHASES @ COST-TRADE BOOKS</v>
      </c>
      <c r="C83" s="11"/>
      <c r="D83" s="2">
        <v>31.11</v>
      </c>
      <c r="E83" s="2"/>
      <c r="F83" s="22">
        <f t="shared" si="9"/>
        <v>1.3315827721010855E-4</v>
      </c>
      <c r="G83" s="2"/>
      <c r="H83" s="2"/>
      <c r="I83" s="2"/>
      <c r="J83" s="22">
        <f t="shared" si="10"/>
        <v>0</v>
      </c>
      <c r="K83" s="2"/>
      <c r="L83" s="2">
        <f t="shared" si="11"/>
        <v>31.11</v>
      </c>
      <c r="M83" s="2"/>
      <c r="N83" s="22">
        <f t="shared" si="12"/>
        <v>0</v>
      </c>
      <c r="O83" s="11"/>
      <c r="P83" s="2">
        <v>2125.85</v>
      </c>
      <c r="Q83" s="2"/>
      <c r="R83" s="22">
        <f t="shared" si="13"/>
        <v>7.8775604072350229E-4</v>
      </c>
      <c r="S83" s="2"/>
      <c r="T83" s="2"/>
      <c r="U83" s="2"/>
      <c r="V83" s="22">
        <f t="shared" si="14"/>
        <v>0</v>
      </c>
      <c r="W83" s="2"/>
      <c r="X83" s="2">
        <f t="shared" si="15"/>
        <v>2125.85</v>
      </c>
      <c r="Y83" s="2"/>
      <c r="Z83" s="22">
        <f t="shared" si="16"/>
        <v>0</v>
      </c>
    </row>
    <row r="84" spans="1:26" s="24" customFormat="1" hidden="1" outlineLevel="1" x14ac:dyDescent="0.25">
      <c r="A84" s="51"/>
      <c r="B84" s="11" t="str">
        <f>CONCATENATE("          ", "5014", " - ", "PURCHASES @ COST-REMAINDERS")</f>
        <v xml:space="preserve">          5014 - PURCHASES @ COST-REMAINDERS</v>
      </c>
      <c r="C84" s="11"/>
      <c r="D84" s="2"/>
      <c r="E84" s="2"/>
      <c r="F84" s="22">
        <f t="shared" si="9"/>
        <v>0</v>
      </c>
      <c r="G84" s="2"/>
      <c r="H84" s="2"/>
      <c r="I84" s="2"/>
      <c r="J84" s="22">
        <f t="shared" si="10"/>
        <v>0</v>
      </c>
      <c r="K84" s="2"/>
      <c r="L84" s="2">
        <f t="shared" si="11"/>
        <v>0</v>
      </c>
      <c r="M84" s="2"/>
      <c r="N84" s="22">
        <f t="shared" si="12"/>
        <v>0</v>
      </c>
      <c r="O84" s="11"/>
      <c r="P84" s="2">
        <v>90.41</v>
      </c>
      <c r="Q84" s="2"/>
      <c r="R84" s="22">
        <f t="shared" si="13"/>
        <v>3.3502374881488271E-5</v>
      </c>
      <c r="S84" s="2"/>
      <c r="T84" s="2"/>
      <c r="U84" s="2"/>
      <c r="V84" s="22">
        <f t="shared" si="14"/>
        <v>0</v>
      </c>
      <c r="W84" s="2"/>
      <c r="X84" s="2">
        <f t="shared" si="15"/>
        <v>90.41</v>
      </c>
      <c r="Y84" s="2"/>
      <c r="Z84" s="22">
        <f t="shared" si="16"/>
        <v>0</v>
      </c>
    </row>
    <row r="85" spans="1:26" s="24" customFormat="1" hidden="1" outlineLevel="1" x14ac:dyDescent="0.25">
      <c r="A85" s="51"/>
      <c r="B85" s="11" t="str">
        <f>CONCATENATE("          ", "5018", " - ", "PURCHASES @ COST-STUDY GUIDES")</f>
        <v xml:space="preserve">          5018 - PURCHASES @ COST-STUDY GUIDES</v>
      </c>
      <c r="C85" s="11"/>
      <c r="D85" s="2"/>
      <c r="E85" s="2"/>
      <c r="F85" s="22">
        <f t="shared" si="9"/>
        <v>0</v>
      </c>
      <c r="G85" s="2"/>
      <c r="H85" s="2"/>
      <c r="I85" s="2"/>
      <c r="J85" s="22">
        <f t="shared" si="10"/>
        <v>0</v>
      </c>
      <c r="K85" s="2"/>
      <c r="L85" s="2">
        <f t="shared" si="11"/>
        <v>0</v>
      </c>
      <c r="M85" s="2"/>
      <c r="N85" s="22">
        <f t="shared" si="12"/>
        <v>0</v>
      </c>
      <c r="O85" s="11"/>
      <c r="P85" s="2">
        <v>106.34</v>
      </c>
      <c r="Q85" s="2"/>
      <c r="R85" s="22">
        <f t="shared" si="13"/>
        <v>3.9405403659965303E-5</v>
      </c>
      <c r="S85" s="2"/>
      <c r="T85" s="2"/>
      <c r="U85" s="2"/>
      <c r="V85" s="22">
        <f t="shared" si="14"/>
        <v>0</v>
      </c>
      <c r="W85" s="2"/>
      <c r="X85" s="2">
        <f t="shared" si="15"/>
        <v>106.34</v>
      </c>
      <c r="Y85" s="2"/>
      <c r="Z85" s="22">
        <f t="shared" si="16"/>
        <v>0</v>
      </c>
    </row>
    <row r="86" spans="1:26" s="24" customFormat="1" hidden="1" outlineLevel="1" x14ac:dyDescent="0.25">
      <c r="A86" s="51"/>
      <c r="B86" s="11" t="str">
        <f>CONCATENATE("          ", "5025", " - ", "PURCHASES @ COST-TEST FORMS")</f>
        <v xml:space="preserve">          5025 - PURCHASES @ COST-TEST FORMS</v>
      </c>
      <c r="C86" s="11"/>
      <c r="D86" s="2"/>
      <c r="E86" s="2"/>
      <c r="F86" s="22">
        <f t="shared" si="9"/>
        <v>0</v>
      </c>
      <c r="G86" s="2"/>
      <c r="H86" s="2"/>
      <c r="I86" s="2"/>
      <c r="J86" s="22">
        <f t="shared" si="10"/>
        <v>0</v>
      </c>
      <c r="K86" s="2"/>
      <c r="L86" s="2">
        <f t="shared" si="11"/>
        <v>0</v>
      </c>
      <c r="M86" s="2"/>
      <c r="N86" s="22">
        <f t="shared" si="12"/>
        <v>0</v>
      </c>
      <c r="O86" s="11"/>
      <c r="P86" s="2">
        <v>599.29</v>
      </c>
      <c r="Q86" s="2"/>
      <c r="R86" s="22">
        <f t="shared" si="13"/>
        <v>2.2207320255200868E-4</v>
      </c>
      <c r="S86" s="2"/>
      <c r="T86" s="2"/>
      <c r="U86" s="2"/>
      <c r="V86" s="22">
        <f t="shared" si="14"/>
        <v>0</v>
      </c>
      <c r="W86" s="2"/>
      <c r="X86" s="2">
        <f t="shared" si="15"/>
        <v>599.29</v>
      </c>
      <c r="Y86" s="2"/>
      <c r="Z86" s="22">
        <f t="shared" si="16"/>
        <v>0</v>
      </c>
    </row>
    <row r="87" spans="1:26" s="24" customFormat="1" hidden="1" outlineLevel="1" x14ac:dyDescent="0.25">
      <c r="A87" s="51"/>
      <c r="B87" s="11" t="str">
        <f>CONCATENATE("          ", "5026", " - ", "PURCHASES @ COST-WRITING INSTR")</f>
        <v xml:space="preserve">          5026 - PURCHASES @ COST-WRITING INSTR</v>
      </c>
      <c r="C87" s="11"/>
      <c r="D87" s="2">
        <v>-5.1100000000000003</v>
      </c>
      <c r="E87" s="2"/>
      <c r="F87" s="22">
        <f t="shared" si="9"/>
        <v>-2.1872028175623747E-5</v>
      </c>
      <c r="G87" s="2"/>
      <c r="H87" s="2"/>
      <c r="I87" s="2"/>
      <c r="J87" s="22">
        <f t="shared" si="10"/>
        <v>0</v>
      </c>
      <c r="K87" s="2"/>
      <c r="L87" s="2">
        <f t="shared" si="11"/>
        <v>-5.1100000000000003</v>
      </c>
      <c r="M87" s="2"/>
      <c r="N87" s="22">
        <f t="shared" si="12"/>
        <v>0</v>
      </c>
      <c r="O87" s="11"/>
      <c r="P87" s="2">
        <v>374.91</v>
      </c>
      <c r="Q87" s="2"/>
      <c r="R87" s="22">
        <f t="shared" si="13"/>
        <v>1.3892683737217973E-4</v>
      </c>
      <c r="S87" s="2"/>
      <c r="T87" s="2"/>
      <c r="U87" s="2"/>
      <c r="V87" s="22">
        <f t="shared" si="14"/>
        <v>0</v>
      </c>
      <c r="W87" s="2"/>
      <c r="X87" s="2">
        <f t="shared" si="15"/>
        <v>374.91</v>
      </c>
      <c r="Y87" s="2"/>
      <c r="Z87" s="22">
        <f t="shared" si="16"/>
        <v>0</v>
      </c>
    </row>
    <row r="88" spans="1:26" s="24" customFormat="1" hidden="1" outlineLevel="1" x14ac:dyDescent="0.25">
      <c r="A88" s="51"/>
      <c r="B88" s="11" t="str">
        <f>CONCATENATE("          ", "5027", " - ", "PURCHASES @ COST-SCHOOL SUPPLI")</f>
        <v xml:space="preserve">          5027 - PURCHASES @ COST-SCHOOL SUPPLI</v>
      </c>
      <c r="C88" s="11"/>
      <c r="D88" s="2"/>
      <c r="E88" s="2"/>
      <c r="F88" s="22">
        <f t="shared" si="9"/>
        <v>0</v>
      </c>
      <c r="G88" s="2"/>
      <c r="H88" s="2"/>
      <c r="I88" s="2"/>
      <c r="J88" s="22">
        <f t="shared" si="10"/>
        <v>0</v>
      </c>
      <c r="K88" s="2"/>
      <c r="L88" s="2">
        <f t="shared" si="11"/>
        <v>0</v>
      </c>
      <c r="M88" s="2"/>
      <c r="N88" s="22">
        <f t="shared" si="12"/>
        <v>0</v>
      </c>
      <c r="O88" s="11"/>
      <c r="P88" s="2">
        <v>19071.350000000002</v>
      </c>
      <c r="Q88" s="2"/>
      <c r="R88" s="22">
        <f t="shared" si="13"/>
        <v>7.0670890078096604E-3</v>
      </c>
      <c r="S88" s="2"/>
      <c r="T88" s="2"/>
      <c r="U88" s="2"/>
      <c r="V88" s="22">
        <f t="shared" si="14"/>
        <v>0</v>
      </c>
      <c r="W88" s="2"/>
      <c r="X88" s="2">
        <f t="shared" si="15"/>
        <v>19071.350000000002</v>
      </c>
      <c r="Y88" s="2"/>
      <c r="Z88" s="22">
        <f t="shared" si="16"/>
        <v>0</v>
      </c>
    </row>
    <row r="89" spans="1:26" s="24" customFormat="1" hidden="1" outlineLevel="1" x14ac:dyDescent="0.25">
      <c r="A89" s="51"/>
      <c r="B89" s="11" t="str">
        <f>CONCATENATE("          ", "5028", " - ", "PURCHASES @ COST-ART/TECH")</f>
        <v xml:space="preserve">          5028 - PURCHASES @ COST-ART/TECH</v>
      </c>
      <c r="C89" s="11"/>
      <c r="D89" s="2"/>
      <c r="E89" s="2"/>
      <c r="F89" s="22">
        <f t="shared" si="9"/>
        <v>0</v>
      </c>
      <c r="G89" s="2"/>
      <c r="H89" s="2"/>
      <c r="I89" s="2"/>
      <c r="J89" s="22">
        <f t="shared" si="10"/>
        <v>0</v>
      </c>
      <c r="K89" s="2"/>
      <c r="L89" s="2">
        <f t="shared" si="11"/>
        <v>0</v>
      </c>
      <c r="M89" s="2"/>
      <c r="N89" s="22">
        <f t="shared" si="12"/>
        <v>0</v>
      </c>
      <c r="O89" s="11"/>
      <c r="P89" s="2">
        <v>41358.449999999997</v>
      </c>
      <c r="Q89" s="2"/>
      <c r="R89" s="22">
        <f t="shared" si="13"/>
        <v>1.5325807946214893E-2</v>
      </c>
      <c r="S89" s="2"/>
      <c r="T89" s="2"/>
      <c r="U89" s="2"/>
      <c r="V89" s="22">
        <f t="shared" si="14"/>
        <v>0</v>
      </c>
      <c r="W89" s="2"/>
      <c r="X89" s="2">
        <f t="shared" si="15"/>
        <v>41358.449999999997</v>
      </c>
      <c r="Y89" s="2"/>
      <c r="Z89" s="22">
        <f t="shared" si="16"/>
        <v>0</v>
      </c>
    </row>
    <row r="90" spans="1:26" s="24" customFormat="1" hidden="1" outlineLevel="1" x14ac:dyDescent="0.25">
      <c r="A90" s="51"/>
      <c r="B90" s="11" t="str">
        <f>CONCATENATE("          ", "5031", " - ", "PURCHASES @ COST-FOOD")</f>
        <v xml:space="preserve">          5031 - PURCHASES @ COST-FOOD</v>
      </c>
      <c r="C90" s="11"/>
      <c r="D90" s="2">
        <v>-1260</v>
      </c>
      <c r="E90" s="2"/>
      <c r="F90" s="22">
        <f t="shared" si="9"/>
        <v>-5.3931028378250328E-3</v>
      </c>
      <c r="G90" s="2"/>
      <c r="H90" s="2"/>
      <c r="I90" s="2"/>
      <c r="J90" s="22">
        <f t="shared" si="10"/>
        <v>0</v>
      </c>
      <c r="K90" s="2"/>
      <c r="L90" s="2">
        <f t="shared" si="11"/>
        <v>-1260</v>
      </c>
      <c r="M90" s="2"/>
      <c r="N90" s="22">
        <f t="shared" si="12"/>
        <v>0</v>
      </c>
      <c r="O90" s="11"/>
      <c r="P90" s="2">
        <v>7275.1</v>
      </c>
      <c r="Q90" s="2"/>
      <c r="R90" s="22">
        <f t="shared" si="13"/>
        <v>2.6958646997048484E-3</v>
      </c>
      <c r="S90" s="2"/>
      <c r="T90" s="2"/>
      <c r="U90" s="2"/>
      <c r="V90" s="22">
        <f t="shared" si="14"/>
        <v>0</v>
      </c>
      <c r="W90" s="2"/>
      <c r="X90" s="2">
        <f t="shared" si="15"/>
        <v>7275.1</v>
      </c>
      <c r="Y90" s="2"/>
      <c r="Z90" s="22">
        <f t="shared" si="16"/>
        <v>0</v>
      </c>
    </row>
    <row r="91" spans="1:26" s="24" customFormat="1" hidden="1" outlineLevel="1" x14ac:dyDescent="0.25">
      <c r="A91" s="51"/>
      <c r="B91" s="11" t="str">
        <f>CONCATENATE("          ", "5040", " - ", "PURCHASES @ COST-LOGO CLOTHING")</f>
        <v xml:space="preserve">          5040 - PURCHASES @ COST-LOGO CLOTHING</v>
      </c>
      <c r="C91" s="11"/>
      <c r="D91" s="2">
        <v>38175.120000000003</v>
      </c>
      <c r="E91" s="2"/>
      <c r="F91" s="22">
        <f t="shared" si="9"/>
        <v>0.16339868889389775</v>
      </c>
      <c r="G91" s="2"/>
      <c r="H91" s="2"/>
      <c r="I91" s="2"/>
      <c r="J91" s="22">
        <f t="shared" si="10"/>
        <v>0</v>
      </c>
      <c r="K91" s="2"/>
      <c r="L91" s="2">
        <f t="shared" si="11"/>
        <v>38175.120000000003</v>
      </c>
      <c r="M91" s="2"/>
      <c r="N91" s="22">
        <f t="shared" si="12"/>
        <v>0</v>
      </c>
      <c r="O91" s="11"/>
      <c r="P91" s="2">
        <v>132470.39999999999</v>
      </c>
      <c r="Q91" s="2"/>
      <c r="R91" s="22">
        <f t="shared" si="13"/>
        <v>4.9088297771272021E-2</v>
      </c>
      <c r="S91" s="2"/>
      <c r="T91" s="2"/>
      <c r="U91" s="2"/>
      <c r="V91" s="22">
        <f t="shared" si="14"/>
        <v>0</v>
      </c>
      <c r="W91" s="2"/>
      <c r="X91" s="2">
        <f t="shared" si="15"/>
        <v>132470.39999999999</v>
      </c>
      <c r="Y91" s="2"/>
      <c r="Z91" s="22">
        <f t="shared" si="16"/>
        <v>0</v>
      </c>
    </row>
    <row r="92" spans="1:26" s="24" customFormat="1" hidden="1" outlineLevel="1" x14ac:dyDescent="0.25">
      <c r="A92" s="51"/>
      <c r="B92" s="11" t="str">
        <f>CONCATENATE("          ", "5041", " - ", "PURCHASES @ COST-LOGO GIFTS")</f>
        <v xml:space="preserve">          5041 - PURCHASES @ COST-LOGO GIFTS</v>
      </c>
      <c r="C92" s="11"/>
      <c r="D92" s="2">
        <v>5559.99</v>
      </c>
      <c r="E92" s="2"/>
      <c r="F92" s="22">
        <f t="shared" si="9"/>
        <v>2.379809352958635E-2</v>
      </c>
      <c r="G92" s="2"/>
      <c r="H92" s="2"/>
      <c r="I92" s="2"/>
      <c r="J92" s="22">
        <f t="shared" si="10"/>
        <v>0</v>
      </c>
      <c r="K92" s="2"/>
      <c r="L92" s="2">
        <f t="shared" si="11"/>
        <v>5559.99</v>
      </c>
      <c r="M92" s="2"/>
      <c r="N92" s="22">
        <f t="shared" si="12"/>
        <v>0</v>
      </c>
      <c r="O92" s="11"/>
      <c r="P92" s="2">
        <v>32201.759999999998</v>
      </c>
      <c r="Q92" s="2"/>
      <c r="R92" s="22">
        <f t="shared" si="13"/>
        <v>1.1932700313723191E-2</v>
      </c>
      <c r="S92" s="2"/>
      <c r="T92" s="2"/>
      <c r="U92" s="2"/>
      <c r="V92" s="22">
        <f t="shared" si="14"/>
        <v>0</v>
      </c>
      <c r="W92" s="2"/>
      <c r="X92" s="2">
        <f t="shared" si="15"/>
        <v>32201.759999999998</v>
      </c>
      <c r="Y92" s="2"/>
      <c r="Z92" s="22">
        <f t="shared" si="16"/>
        <v>0</v>
      </c>
    </row>
    <row r="93" spans="1:26" s="24" customFormat="1" hidden="1" outlineLevel="1" x14ac:dyDescent="0.25">
      <c r="A93" s="51"/>
      <c r="B93" s="11" t="str">
        <f>CONCATENATE("          ", "5042", " - ", "PURCHASES @ COST-EVERYDAY GIFT")</f>
        <v xml:space="preserve">          5042 - PURCHASES @ COST-EVERYDAY GIFT</v>
      </c>
      <c r="C93" s="11"/>
      <c r="D93" s="2">
        <v>148.6</v>
      </c>
      <c r="E93" s="2"/>
      <c r="F93" s="22">
        <f t="shared" si="9"/>
        <v>6.3604371563555546E-4</v>
      </c>
      <c r="G93" s="2"/>
      <c r="H93" s="2"/>
      <c r="I93" s="2"/>
      <c r="J93" s="22">
        <f t="shared" si="10"/>
        <v>0</v>
      </c>
      <c r="K93" s="2"/>
      <c r="L93" s="2">
        <f t="shared" si="11"/>
        <v>148.6</v>
      </c>
      <c r="M93" s="2"/>
      <c r="N93" s="22">
        <f t="shared" si="12"/>
        <v>0</v>
      </c>
      <c r="O93" s="11"/>
      <c r="P93" s="2">
        <v>11061.28</v>
      </c>
      <c r="Q93" s="2"/>
      <c r="R93" s="22">
        <f t="shared" si="13"/>
        <v>4.0988734567980155E-3</v>
      </c>
      <c r="S93" s="2"/>
      <c r="T93" s="2"/>
      <c r="U93" s="2"/>
      <c r="V93" s="22">
        <f t="shared" si="14"/>
        <v>0</v>
      </c>
      <c r="W93" s="2"/>
      <c r="X93" s="2">
        <f t="shared" si="15"/>
        <v>11061.28</v>
      </c>
      <c r="Y93" s="2"/>
      <c r="Z93" s="22">
        <f t="shared" si="16"/>
        <v>0</v>
      </c>
    </row>
    <row r="94" spans="1:26" s="24" customFormat="1" hidden="1" outlineLevel="1" x14ac:dyDescent="0.25">
      <c r="A94" s="51"/>
      <c r="B94" s="11" t="str">
        <f>CONCATENATE("          ", "5043", " - ", "PURCHASES @ COST-CARDS")</f>
        <v xml:space="preserve">          5043 - PURCHASES @ COST-CARDS</v>
      </c>
      <c r="C94" s="11"/>
      <c r="D94" s="2">
        <v>2448</v>
      </c>
      <c r="E94" s="2"/>
      <c r="F94" s="22">
        <f t="shared" si="9"/>
        <v>1.0478028370631493E-2</v>
      </c>
      <c r="G94" s="2"/>
      <c r="H94" s="2"/>
      <c r="I94" s="2"/>
      <c r="J94" s="22">
        <f t="shared" si="10"/>
        <v>0</v>
      </c>
      <c r="K94" s="2"/>
      <c r="L94" s="2">
        <f t="shared" si="11"/>
        <v>2448</v>
      </c>
      <c r="M94" s="2"/>
      <c r="N94" s="22">
        <f t="shared" si="12"/>
        <v>0</v>
      </c>
      <c r="O94" s="11"/>
      <c r="P94" s="2">
        <v>46621.23</v>
      </c>
      <c r="Q94" s="2"/>
      <c r="R94" s="22">
        <f t="shared" si="13"/>
        <v>1.727598633885729E-2</v>
      </c>
      <c r="S94" s="2"/>
      <c r="T94" s="2"/>
      <c r="U94" s="2"/>
      <c r="V94" s="22">
        <f t="shared" si="14"/>
        <v>0</v>
      </c>
      <c r="W94" s="2"/>
      <c r="X94" s="2">
        <f t="shared" si="15"/>
        <v>46621.23</v>
      </c>
      <c r="Y94" s="2"/>
      <c r="Z94" s="22">
        <f t="shared" si="16"/>
        <v>0</v>
      </c>
    </row>
    <row r="95" spans="1:26" s="24" customFormat="1" hidden="1" outlineLevel="1" x14ac:dyDescent="0.25">
      <c r="A95" s="51"/>
      <c r="B95" s="11" t="str">
        <f>CONCATENATE("          ", "5044", " - ", "PURCHASES @ COST-ACCESSORIES")</f>
        <v xml:space="preserve">          5044 - PURCHASES @ COST-ACCESSORIES</v>
      </c>
      <c r="C95" s="11"/>
      <c r="D95" s="2"/>
      <c r="E95" s="2"/>
      <c r="F95" s="22">
        <f t="shared" si="9"/>
        <v>0</v>
      </c>
      <c r="G95" s="2"/>
      <c r="H95" s="2"/>
      <c r="I95" s="2"/>
      <c r="J95" s="22">
        <f t="shared" si="10"/>
        <v>0</v>
      </c>
      <c r="K95" s="2"/>
      <c r="L95" s="2">
        <f t="shared" si="11"/>
        <v>0</v>
      </c>
      <c r="M95" s="2"/>
      <c r="N95" s="22">
        <f t="shared" si="12"/>
        <v>0</v>
      </c>
      <c r="O95" s="11"/>
      <c r="P95" s="2">
        <v>282.33</v>
      </c>
      <c r="Q95" s="2"/>
      <c r="R95" s="22">
        <f t="shared" si="13"/>
        <v>1.0462034620385558E-4</v>
      </c>
      <c r="S95" s="2"/>
      <c r="T95" s="2"/>
      <c r="U95" s="2"/>
      <c r="V95" s="22">
        <f t="shared" si="14"/>
        <v>0</v>
      </c>
      <c r="W95" s="2"/>
      <c r="X95" s="2">
        <f t="shared" si="15"/>
        <v>282.33</v>
      </c>
      <c r="Y95" s="2"/>
      <c r="Z95" s="22">
        <f t="shared" si="16"/>
        <v>0</v>
      </c>
    </row>
    <row r="96" spans="1:26" s="24" customFormat="1" hidden="1" outlineLevel="1" x14ac:dyDescent="0.25">
      <c r="A96" s="51"/>
      <c r="B96" s="11" t="str">
        <f>CONCATENATE("          ", "5045", " - ", "PURCHASES @ COST-SPECIAL ORDER")</f>
        <v xml:space="preserve">          5045 - PURCHASES @ COST-SPECIAL ORDER</v>
      </c>
      <c r="C96" s="11"/>
      <c r="D96" s="2">
        <v>10676.48</v>
      </c>
      <c r="E96" s="2"/>
      <c r="F96" s="22">
        <f t="shared" si="9"/>
        <v>4.5697900465065243E-2</v>
      </c>
      <c r="G96" s="2"/>
      <c r="H96" s="2"/>
      <c r="I96" s="2"/>
      <c r="J96" s="22">
        <f t="shared" si="10"/>
        <v>0</v>
      </c>
      <c r="K96" s="2"/>
      <c r="L96" s="2">
        <f t="shared" si="11"/>
        <v>10676.48</v>
      </c>
      <c r="M96" s="2"/>
      <c r="N96" s="22">
        <f t="shared" si="12"/>
        <v>0</v>
      </c>
      <c r="O96" s="11"/>
      <c r="P96" s="2">
        <v>87609</v>
      </c>
      <c r="Q96" s="2"/>
      <c r="R96" s="22">
        <f t="shared" si="13"/>
        <v>3.2464434918618584E-2</v>
      </c>
      <c r="S96" s="2"/>
      <c r="T96" s="2"/>
      <c r="U96" s="2"/>
      <c r="V96" s="22">
        <f t="shared" si="14"/>
        <v>0</v>
      </c>
      <c r="W96" s="2"/>
      <c r="X96" s="2">
        <f t="shared" si="15"/>
        <v>87609</v>
      </c>
      <c r="Y96" s="2"/>
      <c r="Z96" s="22">
        <f t="shared" si="16"/>
        <v>0</v>
      </c>
    </row>
    <row r="97" spans="1:26" s="24" customFormat="1" hidden="1" outlineLevel="1" x14ac:dyDescent="0.25">
      <c r="A97" s="51"/>
      <c r="B97" s="11" t="str">
        <f>CONCATENATE("          ", "5200", " - ", "PURCHASES OFFSET")</f>
        <v xml:space="preserve">          5200 - PURCHASES OFFSET</v>
      </c>
      <c r="C97" s="11"/>
      <c r="D97" s="2">
        <v>-172627.15</v>
      </c>
      <c r="E97" s="2"/>
      <c r="F97" s="22">
        <f t="shared" si="9"/>
        <v>-0.73888569250051395</v>
      </c>
      <c r="G97" s="2"/>
      <c r="H97" s="2"/>
      <c r="I97" s="2"/>
      <c r="J97" s="22">
        <f t="shared" si="10"/>
        <v>0</v>
      </c>
      <c r="K97" s="2"/>
      <c r="L97" s="2">
        <f t="shared" si="11"/>
        <v>-172627.15</v>
      </c>
      <c r="M97" s="2"/>
      <c r="N97" s="22">
        <f t="shared" si="12"/>
        <v>0</v>
      </c>
      <c r="O97" s="11"/>
      <c r="P97" s="2">
        <v>-1745022.43</v>
      </c>
      <c r="Q97" s="2"/>
      <c r="R97" s="22">
        <f t="shared" si="13"/>
        <v>-0.64663638564833115</v>
      </c>
      <c r="S97" s="2"/>
      <c r="T97" s="2"/>
      <c r="U97" s="2"/>
      <c r="V97" s="22">
        <f t="shared" si="14"/>
        <v>0</v>
      </c>
      <c r="W97" s="2"/>
      <c r="X97" s="2">
        <f t="shared" si="15"/>
        <v>-1745022.43</v>
      </c>
      <c r="Y97" s="2"/>
      <c r="Z97" s="22">
        <f t="shared" si="16"/>
        <v>0</v>
      </c>
    </row>
    <row r="98" spans="1:26" s="24" customFormat="1" hidden="1" outlineLevel="1" x14ac:dyDescent="0.25">
      <c r="A98" s="51"/>
      <c r="B98" s="11" t="str">
        <f>CONCATENATE("          ", "5300", " - ", "COG$ OFFSET")</f>
        <v xml:space="preserve">          5300 - COG$ OFFSET</v>
      </c>
      <c r="C98" s="11"/>
      <c r="D98" s="2">
        <v>134493</v>
      </c>
      <c r="E98" s="2"/>
      <c r="F98" s="22">
        <f t="shared" si="9"/>
        <v>0.57566236505365243</v>
      </c>
      <c r="G98" s="2"/>
      <c r="H98" s="2"/>
      <c r="I98" s="2"/>
      <c r="J98" s="22">
        <f t="shared" si="10"/>
        <v>0</v>
      </c>
      <c r="K98" s="2"/>
      <c r="L98" s="2">
        <f t="shared" si="11"/>
        <v>134493</v>
      </c>
      <c r="M98" s="2"/>
      <c r="N98" s="22">
        <f t="shared" si="12"/>
        <v>0</v>
      </c>
      <c r="O98" s="11"/>
      <c r="P98" s="2">
        <v>1391133</v>
      </c>
      <c r="Q98" s="2"/>
      <c r="R98" s="22">
        <f t="shared" si="13"/>
        <v>0.51549894122342022</v>
      </c>
      <c r="S98" s="2"/>
      <c r="T98" s="2"/>
      <c r="U98" s="2"/>
      <c r="V98" s="22">
        <f t="shared" si="14"/>
        <v>0</v>
      </c>
      <c r="W98" s="2"/>
      <c r="X98" s="2">
        <f t="shared" si="15"/>
        <v>1391133</v>
      </c>
      <c r="Y98" s="2"/>
      <c r="Z98" s="22">
        <f t="shared" si="16"/>
        <v>0</v>
      </c>
    </row>
    <row r="99" spans="1:26" s="24" customFormat="1" hidden="1" outlineLevel="1" x14ac:dyDescent="0.25">
      <c r="A99" s="51"/>
      <c r="B99" s="11" t="str">
        <f>CONCATENATE("          ", "5501", " - ", "FREIGHT-IN-NEW TEXT")</f>
        <v xml:space="preserve">          5501 - FREIGHT-IN-NEW TEXT</v>
      </c>
      <c r="C99" s="11"/>
      <c r="D99" s="2">
        <v>2414.77</v>
      </c>
      <c r="E99" s="2"/>
      <c r="F99" s="22">
        <f t="shared" si="9"/>
        <v>1.0335795983884725E-2</v>
      </c>
      <c r="G99" s="2"/>
      <c r="H99" s="2"/>
      <c r="I99" s="2"/>
      <c r="J99" s="22">
        <f t="shared" si="10"/>
        <v>0</v>
      </c>
      <c r="K99" s="2"/>
      <c r="L99" s="2">
        <f t="shared" si="11"/>
        <v>2414.77</v>
      </c>
      <c r="M99" s="2"/>
      <c r="N99" s="22">
        <f t="shared" si="12"/>
        <v>0</v>
      </c>
      <c r="O99" s="11"/>
      <c r="P99" s="2">
        <v>37463.58</v>
      </c>
      <c r="Q99" s="2"/>
      <c r="R99" s="22">
        <f t="shared" si="13"/>
        <v>1.3882522968284775E-2</v>
      </c>
      <c r="S99" s="2"/>
      <c r="T99" s="2"/>
      <c r="U99" s="2"/>
      <c r="V99" s="22">
        <f t="shared" si="14"/>
        <v>0</v>
      </c>
      <c r="W99" s="2"/>
      <c r="X99" s="2">
        <f t="shared" si="15"/>
        <v>37463.58</v>
      </c>
      <c r="Y99" s="2"/>
      <c r="Z99" s="22">
        <f t="shared" si="16"/>
        <v>0</v>
      </c>
    </row>
    <row r="100" spans="1:26" s="24" customFormat="1" hidden="1" outlineLevel="1" x14ac:dyDescent="0.25">
      <c r="A100" s="51"/>
      <c r="B100" s="11" t="str">
        <f>CONCATENATE("          ", "5502", " - ", "FREIGHT-IN-USED TEXT")</f>
        <v xml:space="preserve">          5502 - FREIGHT-IN-USED TEXT</v>
      </c>
      <c r="C100" s="11"/>
      <c r="D100" s="2">
        <v>2389.48</v>
      </c>
      <c r="E100" s="2"/>
      <c r="F100" s="22">
        <f t="shared" si="9"/>
        <v>1.0227548705496952E-2</v>
      </c>
      <c r="G100" s="2"/>
      <c r="H100" s="2"/>
      <c r="I100" s="2"/>
      <c r="J100" s="22">
        <f t="shared" si="10"/>
        <v>0</v>
      </c>
      <c r="K100" s="2"/>
      <c r="L100" s="2">
        <f t="shared" si="11"/>
        <v>2389.48</v>
      </c>
      <c r="M100" s="2"/>
      <c r="N100" s="22">
        <f t="shared" si="12"/>
        <v>0</v>
      </c>
      <c r="O100" s="11"/>
      <c r="P100" s="2">
        <v>13522.57</v>
      </c>
      <c r="Q100" s="2"/>
      <c r="R100" s="22">
        <f t="shared" si="13"/>
        <v>5.0109303119253053E-3</v>
      </c>
      <c r="S100" s="2"/>
      <c r="T100" s="2"/>
      <c r="U100" s="2"/>
      <c r="V100" s="22">
        <f t="shared" si="14"/>
        <v>0</v>
      </c>
      <c r="W100" s="2"/>
      <c r="X100" s="2">
        <f t="shared" si="15"/>
        <v>13522.57</v>
      </c>
      <c r="Y100" s="2"/>
      <c r="Z100" s="22">
        <f t="shared" si="16"/>
        <v>0</v>
      </c>
    </row>
    <row r="101" spans="1:26" s="24" customFormat="1" hidden="1" outlineLevel="1" x14ac:dyDescent="0.25">
      <c r="A101" s="51"/>
      <c r="B101" s="11" t="str">
        <f>CONCATENATE("          ", "5504", " - ", "FREIGHT-IN-DIGITAL TEXT")</f>
        <v xml:space="preserve">          5504 - FREIGHT-IN-DIGITAL TEXT</v>
      </c>
      <c r="C101" s="11"/>
      <c r="D101" s="2"/>
      <c r="E101" s="2"/>
      <c r="F101" s="22">
        <f t="shared" si="9"/>
        <v>0</v>
      </c>
      <c r="G101" s="2"/>
      <c r="H101" s="2"/>
      <c r="I101" s="2"/>
      <c r="J101" s="22">
        <f t="shared" si="10"/>
        <v>0</v>
      </c>
      <c r="K101" s="2"/>
      <c r="L101" s="2">
        <f t="shared" si="11"/>
        <v>0</v>
      </c>
      <c r="M101" s="2"/>
      <c r="N101" s="22">
        <f t="shared" si="12"/>
        <v>0</v>
      </c>
      <c r="O101" s="11"/>
      <c r="P101" s="2">
        <v>21.98</v>
      </c>
      <c r="Q101" s="2"/>
      <c r="R101" s="22">
        <f t="shared" si="13"/>
        <v>8.1449198085954231E-6</v>
      </c>
      <c r="S101" s="2"/>
      <c r="T101" s="2"/>
      <c r="U101" s="2"/>
      <c r="V101" s="22">
        <f t="shared" si="14"/>
        <v>0</v>
      </c>
      <c r="W101" s="2"/>
      <c r="X101" s="2">
        <f t="shared" si="15"/>
        <v>21.98</v>
      </c>
      <c r="Y101" s="2"/>
      <c r="Z101" s="22">
        <f t="shared" si="16"/>
        <v>0</v>
      </c>
    </row>
    <row r="102" spans="1:26" s="24" customFormat="1" hidden="1" outlineLevel="1" x14ac:dyDescent="0.25">
      <c r="A102" s="51"/>
      <c r="B102" s="11" t="str">
        <f>CONCATENATE("          ", "5513", " - ", "FREIGHT-IN-TRADE BOOKS")</f>
        <v xml:space="preserve">          5513 - FREIGHT-IN-TRADE BOOKS</v>
      </c>
      <c r="C102" s="11"/>
      <c r="D102" s="2"/>
      <c r="E102" s="2"/>
      <c r="F102" s="22">
        <f t="shared" si="9"/>
        <v>0</v>
      </c>
      <c r="G102" s="2"/>
      <c r="H102" s="2"/>
      <c r="I102" s="2"/>
      <c r="J102" s="22">
        <f t="shared" si="10"/>
        <v>0</v>
      </c>
      <c r="K102" s="2"/>
      <c r="L102" s="2">
        <f t="shared" si="11"/>
        <v>0</v>
      </c>
      <c r="M102" s="2"/>
      <c r="N102" s="22">
        <f t="shared" si="12"/>
        <v>0</v>
      </c>
      <c r="O102" s="11"/>
      <c r="P102" s="2">
        <v>26.46</v>
      </c>
      <c r="Q102" s="2"/>
      <c r="R102" s="22">
        <f t="shared" si="13"/>
        <v>9.8050308523855726E-6</v>
      </c>
      <c r="S102" s="2"/>
      <c r="T102" s="2"/>
      <c r="U102" s="2"/>
      <c r="V102" s="22">
        <f t="shared" si="14"/>
        <v>0</v>
      </c>
      <c r="W102" s="2"/>
      <c r="X102" s="2">
        <f t="shared" si="15"/>
        <v>26.46</v>
      </c>
      <c r="Y102" s="2"/>
      <c r="Z102" s="22">
        <f t="shared" si="16"/>
        <v>0</v>
      </c>
    </row>
    <row r="103" spans="1:26" s="24" customFormat="1" hidden="1" outlineLevel="1" x14ac:dyDescent="0.25">
      <c r="A103" s="51"/>
      <c r="B103" s="11" t="str">
        <f>CONCATENATE("          ", "5525", " - ", "FREIGHT-IN-TEST FORMS")</f>
        <v xml:space="preserve">          5525 - FREIGHT-IN-TEST FORMS</v>
      </c>
      <c r="C103" s="11"/>
      <c r="D103" s="2"/>
      <c r="E103" s="2"/>
      <c r="F103" s="22">
        <f t="shared" si="9"/>
        <v>0</v>
      </c>
      <c r="G103" s="2"/>
      <c r="H103" s="2"/>
      <c r="I103" s="2"/>
      <c r="J103" s="22">
        <f t="shared" si="10"/>
        <v>0</v>
      </c>
      <c r="K103" s="2"/>
      <c r="L103" s="2">
        <f t="shared" si="11"/>
        <v>0</v>
      </c>
      <c r="M103" s="2"/>
      <c r="N103" s="22">
        <f t="shared" si="12"/>
        <v>0</v>
      </c>
      <c r="O103" s="11"/>
      <c r="P103" s="2">
        <v>48.14</v>
      </c>
      <c r="Q103" s="2"/>
      <c r="R103" s="22">
        <f t="shared" si="13"/>
        <v>1.7838782510727193E-5</v>
      </c>
      <c r="S103" s="2"/>
      <c r="T103" s="2"/>
      <c r="U103" s="2"/>
      <c r="V103" s="22">
        <f t="shared" si="14"/>
        <v>0</v>
      </c>
      <c r="W103" s="2"/>
      <c r="X103" s="2">
        <f t="shared" si="15"/>
        <v>48.14</v>
      </c>
      <c r="Y103" s="2"/>
      <c r="Z103" s="22">
        <f t="shared" si="16"/>
        <v>0</v>
      </c>
    </row>
    <row r="104" spans="1:26" s="24" customFormat="1" hidden="1" outlineLevel="1" x14ac:dyDescent="0.25">
      <c r="A104" s="51"/>
      <c r="B104" s="11" t="str">
        <f>CONCATENATE("          ", "5527", " - ", "FREIGHT-IN-SCHOOL SUPPLIES")</f>
        <v xml:space="preserve">          5527 - FREIGHT-IN-SCHOOL SUPPLIES</v>
      </c>
      <c r="C104" s="11"/>
      <c r="D104" s="2">
        <v>121.5</v>
      </c>
      <c r="E104" s="2"/>
      <c r="F104" s="22">
        <f t="shared" si="9"/>
        <v>5.2004920221884244E-4</v>
      </c>
      <c r="G104" s="2"/>
      <c r="H104" s="2"/>
      <c r="I104" s="2"/>
      <c r="J104" s="22">
        <f t="shared" si="10"/>
        <v>0</v>
      </c>
      <c r="K104" s="2"/>
      <c r="L104" s="2">
        <f t="shared" si="11"/>
        <v>121.5</v>
      </c>
      <c r="M104" s="2"/>
      <c r="N104" s="22">
        <f t="shared" si="12"/>
        <v>0</v>
      </c>
      <c r="O104" s="11"/>
      <c r="P104" s="2">
        <v>177.5</v>
      </c>
      <c r="Q104" s="2"/>
      <c r="R104" s="22">
        <f t="shared" si="13"/>
        <v>6.577448890016777E-5</v>
      </c>
      <c r="S104" s="2"/>
      <c r="T104" s="2"/>
      <c r="U104" s="2"/>
      <c r="V104" s="22">
        <f t="shared" si="14"/>
        <v>0</v>
      </c>
      <c r="W104" s="2"/>
      <c r="X104" s="2">
        <f t="shared" si="15"/>
        <v>177.5</v>
      </c>
      <c r="Y104" s="2"/>
      <c r="Z104" s="22">
        <f t="shared" si="16"/>
        <v>0</v>
      </c>
    </row>
    <row r="105" spans="1:26" s="24" customFormat="1" hidden="1" outlineLevel="1" x14ac:dyDescent="0.25">
      <c r="A105" s="51"/>
      <c r="B105" s="11" t="str">
        <f>CONCATENATE("          ", "5528", " - ", "FREIGHT-IN-ART/TECH")</f>
        <v xml:space="preserve">          5528 - FREIGHT-IN-ART/TECH</v>
      </c>
      <c r="C105" s="11"/>
      <c r="D105" s="2">
        <v>4.29</v>
      </c>
      <c r="E105" s="2"/>
      <c r="F105" s="22">
        <f t="shared" si="9"/>
        <v>1.8362231090689991E-5</v>
      </c>
      <c r="G105" s="2"/>
      <c r="H105" s="2"/>
      <c r="I105" s="2"/>
      <c r="J105" s="22">
        <f t="shared" si="10"/>
        <v>0</v>
      </c>
      <c r="K105" s="2"/>
      <c r="L105" s="2">
        <f t="shared" si="11"/>
        <v>4.29</v>
      </c>
      <c r="M105" s="2"/>
      <c r="N105" s="22">
        <f t="shared" si="12"/>
        <v>0</v>
      </c>
      <c r="O105" s="11"/>
      <c r="P105" s="2">
        <v>290.20999999999998</v>
      </c>
      <c r="Q105" s="2"/>
      <c r="R105" s="22">
        <f t="shared" si="13"/>
        <v>1.0754036295052218E-4</v>
      </c>
      <c r="S105" s="2"/>
      <c r="T105" s="2"/>
      <c r="U105" s="2"/>
      <c r="V105" s="22">
        <f t="shared" si="14"/>
        <v>0</v>
      </c>
      <c r="W105" s="2"/>
      <c r="X105" s="2">
        <f t="shared" si="15"/>
        <v>290.20999999999998</v>
      </c>
      <c r="Y105" s="2"/>
      <c r="Z105" s="22">
        <f t="shared" si="16"/>
        <v>0</v>
      </c>
    </row>
    <row r="106" spans="1:26" s="24" customFormat="1" hidden="1" outlineLevel="1" x14ac:dyDescent="0.25">
      <c r="A106" s="51"/>
      <c r="B106" s="11" t="str">
        <f>CONCATENATE("          ", "5540", " - ", "FREIGHT-IN-LOGO CLOTHING")</f>
        <v xml:space="preserve">          5540 - FREIGHT-IN-LOGO CLOTHING</v>
      </c>
      <c r="C106" s="11"/>
      <c r="D106" s="2">
        <v>907.48</v>
      </c>
      <c r="E106" s="2"/>
      <c r="F106" s="22">
        <f t="shared" si="9"/>
        <v>3.8842325105313182E-3</v>
      </c>
      <c r="G106" s="2"/>
      <c r="H106" s="2"/>
      <c r="I106" s="2"/>
      <c r="J106" s="22">
        <f t="shared" si="10"/>
        <v>0</v>
      </c>
      <c r="K106" s="2"/>
      <c r="L106" s="2">
        <f t="shared" si="11"/>
        <v>907.48</v>
      </c>
      <c r="M106" s="2"/>
      <c r="N106" s="22">
        <f t="shared" si="12"/>
        <v>0</v>
      </c>
      <c r="O106" s="11"/>
      <c r="P106" s="2">
        <v>5442.96</v>
      </c>
      <c r="Q106" s="2"/>
      <c r="R106" s="22">
        <f t="shared" si="13"/>
        <v>2.0169459836848289E-3</v>
      </c>
      <c r="S106" s="2"/>
      <c r="T106" s="2"/>
      <c r="U106" s="2"/>
      <c r="V106" s="22">
        <f t="shared" si="14"/>
        <v>0</v>
      </c>
      <c r="W106" s="2"/>
      <c r="X106" s="2">
        <f t="shared" si="15"/>
        <v>5442.96</v>
      </c>
      <c r="Y106" s="2"/>
      <c r="Z106" s="22">
        <f t="shared" si="16"/>
        <v>0</v>
      </c>
    </row>
    <row r="107" spans="1:26" s="24" customFormat="1" hidden="1" outlineLevel="1" x14ac:dyDescent="0.25">
      <c r="A107" s="51"/>
      <c r="B107" s="11" t="str">
        <f>CONCATENATE("          ", "5541", " - ", "FREIGHT-IN-LOGO GIFTS")</f>
        <v xml:space="preserve">          5541 - FREIGHT-IN-LOGO GIFTS</v>
      </c>
      <c r="C107" s="11"/>
      <c r="D107" s="2">
        <v>84.07</v>
      </c>
      <c r="E107" s="2"/>
      <c r="F107" s="22">
        <f t="shared" si="9"/>
        <v>3.598398060126591E-4</v>
      </c>
      <c r="G107" s="2"/>
      <c r="H107" s="2"/>
      <c r="I107" s="2"/>
      <c r="J107" s="22">
        <f t="shared" si="10"/>
        <v>0</v>
      </c>
      <c r="K107" s="2"/>
      <c r="L107" s="2">
        <f t="shared" si="11"/>
        <v>84.07</v>
      </c>
      <c r="M107" s="2"/>
      <c r="N107" s="22">
        <f t="shared" si="12"/>
        <v>0</v>
      </c>
      <c r="O107" s="11"/>
      <c r="P107" s="2">
        <v>1519.94</v>
      </c>
      <c r="Q107" s="2"/>
      <c r="R107" s="22">
        <f t="shared" si="13"/>
        <v>5.6322972765589295E-4</v>
      </c>
      <c r="S107" s="2"/>
      <c r="T107" s="2"/>
      <c r="U107" s="2"/>
      <c r="V107" s="22">
        <f t="shared" si="14"/>
        <v>0</v>
      </c>
      <c r="W107" s="2"/>
      <c r="X107" s="2">
        <f t="shared" si="15"/>
        <v>1519.94</v>
      </c>
      <c r="Y107" s="2"/>
      <c r="Z107" s="22">
        <f t="shared" si="16"/>
        <v>0</v>
      </c>
    </row>
    <row r="108" spans="1:26" s="24" customFormat="1" hidden="1" outlineLevel="1" x14ac:dyDescent="0.25">
      <c r="A108" s="51"/>
      <c r="B108" s="11" t="str">
        <f>CONCATENATE("          ", "5542", " - ", "FREIGHT-IN-EVERYDAY GIFTS")</f>
        <v xml:space="preserve">          5542 - FREIGHT-IN-EVERYDAY GIFTS</v>
      </c>
      <c r="C108" s="11"/>
      <c r="D108" s="2"/>
      <c r="E108" s="2"/>
      <c r="F108" s="22">
        <f t="shared" si="9"/>
        <v>0</v>
      </c>
      <c r="G108" s="2"/>
      <c r="H108" s="2"/>
      <c r="I108" s="2"/>
      <c r="J108" s="22">
        <f t="shared" si="10"/>
        <v>0</v>
      </c>
      <c r="K108" s="2"/>
      <c r="L108" s="2">
        <f t="shared" si="11"/>
        <v>0</v>
      </c>
      <c r="M108" s="2"/>
      <c r="N108" s="22">
        <f t="shared" si="12"/>
        <v>0</v>
      </c>
      <c r="O108" s="11"/>
      <c r="P108" s="2">
        <v>196.55</v>
      </c>
      <c r="Q108" s="2"/>
      <c r="R108" s="22">
        <f t="shared" si="13"/>
        <v>7.2833666441284373E-5</v>
      </c>
      <c r="S108" s="2"/>
      <c r="T108" s="2"/>
      <c r="U108" s="2"/>
      <c r="V108" s="22">
        <f t="shared" si="14"/>
        <v>0</v>
      </c>
      <c r="W108" s="2"/>
      <c r="X108" s="2">
        <f t="shared" si="15"/>
        <v>196.55</v>
      </c>
      <c r="Y108" s="2"/>
      <c r="Z108" s="22">
        <f t="shared" si="16"/>
        <v>0</v>
      </c>
    </row>
    <row r="109" spans="1:26" s="24" customFormat="1" hidden="1" outlineLevel="1" x14ac:dyDescent="0.25">
      <c r="A109" s="51"/>
      <c r="B109" s="11" t="str">
        <f>CONCATENATE("          ", "5543", " - ", "FREIGHT-IN-CARDS")</f>
        <v xml:space="preserve">          5543 - FREIGHT-IN-CARDS</v>
      </c>
      <c r="C109" s="11"/>
      <c r="D109" s="2">
        <v>605.41</v>
      </c>
      <c r="E109" s="2"/>
      <c r="F109" s="22">
        <f t="shared" si="9"/>
        <v>2.5913003087679786E-3</v>
      </c>
      <c r="G109" s="2"/>
      <c r="H109" s="2"/>
      <c r="I109" s="2"/>
      <c r="J109" s="22">
        <f t="shared" si="10"/>
        <v>0</v>
      </c>
      <c r="K109" s="2"/>
      <c r="L109" s="2">
        <f t="shared" si="11"/>
        <v>605.41</v>
      </c>
      <c r="M109" s="2"/>
      <c r="N109" s="22">
        <f t="shared" si="12"/>
        <v>0</v>
      </c>
      <c r="O109" s="11"/>
      <c r="P109" s="2">
        <v>7117.72</v>
      </c>
      <c r="Q109" s="2"/>
      <c r="R109" s="22">
        <f t="shared" si="13"/>
        <v>2.6375458880817022E-3</v>
      </c>
      <c r="S109" s="2"/>
      <c r="T109" s="2"/>
      <c r="U109" s="2"/>
      <c r="V109" s="22">
        <f t="shared" si="14"/>
        <v>0</v>
      </c>
      <c r="W109" s="2"/>
      <c r="X109" s="2">
        <f t="shared" si="15"/>
        <v>7117.72</v>
      </c>
      <c r="Y109" s="2"/>
      <c r="Z109" s="22">
        <f t="shared" si="16"/>
        <v>0</v>
      </c>
    </row>
    <row r="110" spans="1:26" s="24" customFormat="1" hidden="1" outlineLevel="1" x14ac:dyDescent="0.25">
      <c r="A110" s="51"/>
      <c r="B110" s="11" t="str">
        <f>CONCATENATE("          ", "5545", " - ", "FREIGHT-IN-SPECIAL ORDERS")</f>
        <v xml:space="preserve">          5545 - FREIGHT-IN-SPECIAL ORDERS</v>
      </c>
      <c r="C110" s="11"/>
      <c r="D110" s="2">
        <v>225.93</v>
      </c>
      <c r="E110" s="2"/>
      <c r="F110" s="22">
        <f t="shared" si="9"/>
        <v>9.6703470170619811E-4</v>
      </c>
      <c r="G110" s="2"/>
      <c r="H110" s="2"/>
      <c r="I110" s="2"/>
      <c r="J110" s="22">
        <f t="shared" si="10"/>
        <v>0</v>
      </c>
      <c r="K110" s="2"/>
      <c r="L110" s="2">
        <f t="shared" si="11"/>
        <v>225.93</v>
      </c>
      <c r="M110" s="2"/>
      <c r="N110" s="22">
        <f t="shared" si="12"/>
        <v>0</v>
      </c>
      <c r="O110" s="11"/>
      <c r="P110" s="2">
        <v>1113.79</v>
      </c>
      <c r="Q110" s="2"/>
      <c r="R110" s="22">
        <f t="shared" si="13"/>
        <v>4.1272658023728371E-4</v>
      </c>
      <c r="S110" s="2"/>
      <c r="T110" s="2"/>
      <c r="U110" s="2"/>
      <c r="V110" s="22">
        <f t="shared" si="14"/>
        <v>0</v>
      </c>
      <c r="W110" s="2"/>
      <c r="X110" s="2">
        <f t="shared" si="15"/>
        <v>1113.79</v>
      </c>
      <c r="Y110" s="2"/>
      <c r="Z110" s="22">
        <f t="shared" si="16"/>
        <v>0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5" t="s">
        <v>6</v>
      </c>
      <c r="C112" s="25"/>
      <c r="D112" s="21">
        <f>D12-D76</f>
        <v>100782.33999999997</v>
      </c>
      <c r="E112" s="13"/>
      <c r="F112" s="19">
        <f>IF(D$12=0,0,D112/D$12)</f>
        <v>0.43137263798146597</v>
      </c>
      <c r="G112" s="13"/>
      <c r="H112" s="21">
        <f>H12-H76</f>
        <v>192211</v>
      </c>
      <c r="I112" s="13"/>
      <c r="J112" s="19">
        <f>IF(H$12=0,0,H112/H$12)</f>
        <v>0.51825238687133135</v>
      </c>
      <c r="K112" s="16"/>
      <c r="L112" s="21">
        <f>+D112-H112</f>
        <v>-91428.660000000033</v>
      </c>
      <c r="M112" s="16"/>
      <c r="N112" s="19">
        <f>IF(H112=0,0,L112/H112)</f>
        <v>-0.47566819796993948</v>
      </c>
      <c r="O112" s="26"/>
      <c r="P112" s="21">
        <f>P12-P76</f>
        <v>963991.22999999952</v>
      </c>
      <c r="Q112" s="13"/>
      <c r="R112" s="19">
        <f>IF(P$12=0,0,P112/P$12)</f>
        <v>0.35721707299996647</v>
      </c>
      <c r="S112" s="13"/>
      <c r="T112" s="21">
        <f>T12-T76</f>
        <v>1898393</v>
      </c>
      <c r="U112" s="13"/>
      <c r="V112" s="19">
        <f>IF(T$12=0,0,T112/T$12)</f>
        <v>0.40292880057985964</v>
      </c>
      <c r="W112" s="16"/>
      <c r="X112" s="21">
        <f>+P112-T112</f>
        <v>-934401.77000000048</v>
      </c>
      <c r="Y112" s="16"/>
      <c r="Z112" s="19">
        <f>IF(T112=0,0,X112/T112)</f>
        <v>-0.49220670851609782</v>
      </c>
    </row>
    <row r="113" spans="1:26" x14ac:dyDescent="0.25">
      <c r="A113" s="9"/>
      <c r="B113" s="10"/>
      <c r="C113" s="9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6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x14ac:dyDescent="0.25">
      <c r="A114" s="10"/>
      <c r="B114" s="26" t="s">
        <v>9</v>
      </c>
      <c r="C114" s="10"/>
      <c r="D114" s="20">
        <f>SUM(OSRRefD22x_0)</f>
        <v>248625.32000000004</v>
      </c>
      <c r="E114" s="20"/>
      <c r="F114" s="30">
        <f t="shared" ref="F114:F125" si="17">IF(D$12=0,0,D114/D$12)</f>
        <v>1.0641761260691722</v>
      </c>
      <c r="G114" s="20"/>
      <c r="H114" s="20">
        <f>SUM(OSRRefH22x_0)</f>
        <v>346255.67777511541</v>
      </c>
      <c r="I114" s="20"/>
      <c r="J114" s="30">
        <f t="shared" ref="J114:J125" si="18">IF(H$12=0,0,H114/H$12)</f>
        <v>0.9335981368116506</v>
      </c>
      <c r="K114" s="4"/>
      <c r="L114" s="20">
        <f t="shared" ref="L114:L125" si="19">+D114-H114</f>
        <v>-97630.357775115379</v>
      </c>
      <c r="M114" s="4"/>
      <c r="N114" s="30">
        <f t="shared" ref="N114:N125" si="20">IF(H114=0,0,L114/H114)</f>
        <v>-0.28196030864372973</v>
      </c>
      <c r="O114" s="10"/>
      <c r="P114" s="20">
        <f>SUM(OSRRefP22x_0)</f>
        <v>1607425.1699999985</v>
      </c>
      <c r="Q114" s="20"/>
      <c r="R114" s="30">
        <f t="shared" ref="R114:R125" si="21">IF(P$12=0,0,P114/P$12)</f>
        <v>0.59564827606769122</v>
      </c>
      <c r="S114" s="20"/>
      <c r="T114" s="20">
        <f>SUM(OSRRefT22x_0)</f>
        <v>2229138.7153767501</v>
      </c>
      <c r="U114" s="20"/>
      <c r="V114" s="30">
        <f t="shared" ref="V114:V125" si="22">IF(T$12=0,0,T114/T$12)</f>
        <v>0.47312868774425687</v>
      </c>
      <c r="W114" s="4"/>
      <c r="X114" s="20">
        <f t="shared" ref="X114:X125" si="23">+P114-T114</f>
        <v>-621713.54537675157</v>
      </c>
      <c r="Y114" s="4"/>
      <c r="Z114" s="30">
        <f t="shared" ref="Z114:Z125" si="24">IF(T114=0,0,X114/T114)</f>
        <v>-0.2789030315108384</v>
      </c>
    </row>
    <row r="115" spans="1:26" s="28" customFormat="1" outlineLevel="1" collapsed="1" x14ac:dyDescent="0.25">
      <c r="A115" s="27"/>
      <c r="B115" s="14" t="str">
        <f>CONCATENATE("     ","*Benefits                                         ")</f>
        <v xml:space="preserve">     *Benefits                                         </v>
      </c>
      <c r="C115" s="14"/>
      <c r="D115" s="1">
        <f>SUM(OSRRefD22_0x_0)</f>
        <v>43322.830000000009</v>
      </c>
      <c r="E115" s="1"/>
      <c r="F115" s="5">
        <f t="shared" si="17"/>
        <v>0.18543212493302502</v>
      </c>
      <c r="G115" s="1"/>
      <c r="H115" s="1">
        <f>SUM(OSRRefH22_0x_0)</f>
        <v>40956.039992961538</v>
      </c>
      <c r="I115" s="1"/>
      <c r="J115" s="5">
        <f t="shared" si="18"/>
        <v>0.11042846394405119</v>
      </c>
      <c r="K115" s="1"/>
      <c r="L115" s="1">
        <f t="shared" si="19"/>
        <v>2366.7900070384712</v>
      </c>
      <c r="M115" s="1"/>
      <c r="N115" s="5">
        <f t="shared" si="20"/>
        <v>5.7788546144725263E-2</v>
      </c>
      <c r="O115" s="14"/>
      <c r="P115" s="1">
        <f>SUM(OSRRefP22_0x_0)</f>
        <v>267864.59999999998</v>
      </c>
      <c r="Q115" s="1"/>
      <c r="R115" s="5">
        <f t="shared" si="21"/>
        <v>9.9260040334917629E-2</v>
      </c>
      <c r="S115" s="1"/>
      <c r="T115" s="1">
        <f>SUM(OSRRefT22_0x_0)</f>
        <v>270781.57979274995</v>
      </c>
      <c r="U115" s="1"/>
      <c r="V115" s="5">
        <f t="shared" si="22"/>
        <v>5.7472660911103389E-2</v>
      </c>
      <c r="W115" s="1"/>
      <c r="X115" s="1">
        <f t="shared" si="23"/>
        <v>-2916.9797927499749</v>
      </c>
      <c r="Y115" s="1"/>
      <c r="Z115" s="5">
        <f t="shared" si="24"/>
        <v>-1.0772445433631655E-2</v>
      </c>
    </row>
    <row r="116" spans="1:26" s="24" customFormat="1" hidden="1" outlineLevel="2" x14ac:dyDescent="0.25">
      <c r="A116" s="29"/>
      <c r="B116" s="11" t="str">
        <f>CONCATENATE("          ", "6111", " - ", "F.I.C.A.")</f>
        <v xml:space="preserve">          6111 - F.I.C.A.</v>
      </c>
      <c r="C116" s="11"/>
      <c r="D116" s="7">
        <v>7317.04</v>
      </c>
      <c r="E116" s="2"/>
      <c r="F116" s="6">
        <f t="shared" si="17"/>
        <v>3.1318689832126413E-2</v>
      </c>
      <c r="G116" s="2"/>
      <c r="H116" s="7">
        <v>6343.0227444230786</v>
      </c>
      <c r="I116" s="2"/>
      <c r="J116" s="6">
        <f t="shared" si="18"/>
        <v>1.7102489853735758E-2</v>
      </c>
      <c r="K116" s="2"/>
      <c r="L116" s="7">
        <f t="shared" si="19"/>
        <v>974.01725557692134</v>
      </c>
      <c r="M116" s="2"/>
      <c r="N116" s="6">
        <f t="shared" si="20"/>
        <v>0.15355726990468357</v>
      </c>
      <c r="O116" s="11"/>
      <c r="P116" s="7">
        <v>55517.24</v>
      </c>
      <c r="Q116" s="2"/>
      <c r="R116" s="6">
        <f t="shared" si="21"/>
        <v>2.057249625998845E-2</v>
      </c>
      <c r="S116" s="2"/>
      <c r="T116" s="7">
        <v>51578.352038249999</v>
      </c>
      <c r="U116" s="2"/>
      <c r="V116" s="6">
        <f t="shared" si="22"/>
        <v>1.0947366284356205E-2</v>
      </c>
      <c r="W116" s="2"/>
      <c r="X116" s="7">
        <f t="shared" si="23"/>
        <v>3938.8879617499988</v>
      </c>
      <c r="Y116" s="2"/>
      <c r="Z116" s="6">
        <f t="shared" si="24"/>
        <v>7.6367076614409043E-2</v>
      </c>
    </row>
    <row r="117" spans="1:26" s="24" customFormat="1" hidden="1" outlineLevel="2" x14ac:dyDescent="0.25">
      <c r="A117" s="29"/>
      <c r="B117" s="11" t="str">
        <f>CONCATENATE("          ", "6112", " - ", "COMPENSATION INSURANCE")</f>
        <v xml:space="preserve">          6112 - COMPENSATION INSURANCE</v>
      </c>
      <c r="C117" s="11"/>
      <c r="D117" s="7">
        <v>2948.75</v>
      </c>
      <c r="E117" s="2"/>
      <c r="F117" s="6">
        <f t="shared" si="17"/>
        <v>1.2621358724632195E-2</v>
      </c>
      <c r="G117" s="2"/>
      <c r="H117" s="7">
        <v>2714.5095680769241</v>
      </c>
      <c r="I117" s="2"/>
      <c r="J117" s="6">
        <f t="shared" si="18"/>
        <v>7.3190455428718063E-3</v>
      </c>
      <c r="K117" s="2"/>
      <c r="L117" s="7">
        <f t="shared" si="19"/>
        <v>234.2404319230759</v>
      </c>
      <c r="M117" s="2"/>
      <c r="N117" s="6">
        <f t="shared" si="20"/>
        <v>8.6291989786214662E-2</v>
      </c>
      <c r="O117" s="11"/>
      <c r="P117" s="7">
        <v>15685.409999999998</v>
      </c>
      <c r="Q117" s="2"/>
      <c r="R117" s="6">
        <f t="shared" si="21"/>
        <v>5.8123933855751013E-3</v>
      </c>
      <c r="S117" s="2"/>
      <c r="T117" s="7">
        <v>18542.033757499994</v>
      </c>
      <c r="U117" s="2"/>
      <c r="V117" s="6">
        <f t="shared" si="22"/>
        <v>3.935496718656643E-3</v>
      </c>
      <c r="W117" s="2"/>
      <c r="X117" s="7">
        <f t="shared" si="23"/>
        <v>-2856.6237574999959</v>
      </c>
      <c r="Y117" s="2"/>
      <c r="Z117" s="6">
        <f t="shared" si="24"/>
        <v>-0.15406205138336196</v>
      </c>
    </row>
    <row r="118" spans="1:26" s="24" customFormat="1" hidden="1" outlineLevel="2" x14ac:dyDescent="0.25">
      <c r="A118" s="29"/>
      <c r="B118" s="11" t="str">
        <f>CONCATENATE("          ", "6113", " - ", "GROUP INSURANCE")</f>
        <v xml:space="preserve">          6113 - GROUP INSURANCE</v>
      </c>
      <c r="C118" s="11"/>
      <c r="D118" s="7">
        <v>15010.270000000002</v>
      </c>
      <c r="E118" s="2"/>
      <c r="F118" s="6">
        <f t="shared" si="17"/>
        <v>6.4247563280571407E-2</v>
      </c>
      <c r="G118" s="2"/>
      <c r="H118" s="7">
        <v>17287.5</v>
      </c>
      <c r="I118" s="2"/>
      <c r="J118" s="6">
        <f t="shared" si="18"/>
        <v>4.6611734698004489E-2</v>
      </c>
      <c r="K118" s="2"/>
      <c r="L118" s="7">
        <f t="shared" si="19"/>
        <v>-2277.2299999999977</v>
      </c>
      <c r="M118" s="2"/>
      <c r="N118" s="6">
        <f t="shared" si="20"/>
        <v>-0.13172697035430211</v>
      </c>
      <c r="O118" s="11"/>
      <c r="P118" s="7">
        <v>88397.7</v>
      </c>
      <c r="Q118" s="2"/>
      <c r="R118" s="6">
        <f t="shared" si="21"/>
        <v>3.2756695985635832E-2</v>
      </c>
      <c r="S118" s="2"/>
      <c r="T118" s="7">
        <v>105284.99999999999</v>
      </c>
      <c r="U118" s="2"/>
      <c r="V118" s="6">
        <f t="shared" si="22"/>
        <v>2.2346457645519402E-2</v>
      </c>
      <c r="W118" s="2"/>
      <c r="X118" s="7">
        <f t="shared" si="23"/>
        <v>-16887.299999999988</v>
      </c>
      <c r="Y118" s="2"/>
      <c r="Z118" s="6">
        <f t="shared" si="24"/>
        <v>-0.16039606781592811</v>
      </c>
    </row>
    <row r="119" spans="1:26" s="24" customFormat="1" hidden="1" outlineLevel="2" x14ac:dyDescent="0.25">
      <c r="A119" s="29"/>
      <c r="B119" s="11" t="str">
        <f>CONCATENATE("          ", "6114", " - ", "STATE UNEMPLOYMENT INSURANCE")</f>
        <v xml:space="preserve">          6114 - STATE UNEMPLOYMENT INSURANCE</v>
      </c>
      <c r="C119" s="11"/>
      <c r="D119" s="7"/>
      <c r="E119" s="2"/>
      <c r="F119" s="6">
        <f t="shared" si="17"/>
        <v>0</v>
      </c>
      <c r="G119" s="2"/>
      <c r="H119" s="7">
        <v>385.79124200000001</v>
      </c>
      <c r="I119" s="2"/>
      <c r="J119" s="6">
        <f t="shared" si="18"/>
        <v>1.0401966172620476E-3</v>
      </c>
      <c r="K119" s="2"/>
      <c r="L119" s="7">
        <f t="shared" si="19"/>
        <v>-385.79124200000001</v>
      </c>
      <c r="M119" s="2"/>
      <c r="N119" s="6">
        <f t="shared" si="20"/>
        <v>-1</v>
      </c>
      <c r="O119" s="11"/>
      <c r="P119" s="7">
        <v>1948.27</v>
      </c>
      <c r="Q119" s="2"/>
      <c r="R119" s="6">
        <f t="shared" si="21"/>
        <v>7.2195190698326678E-4</v>
      </c>
      <c r="S119" s="2"/>
      <c r="T119" s="7">
        <v>2627.032447</v>
      </c>
      <c r="U119" s="2"/>
      <c r="V119" s="6">
        <f t="shared" si="22"/>
        <v>5.5758056048146182E-4</v>
      </c>
      <c r="W119" s="2"/>
      <c r="X119" s="7">
        <f t="shared" si="23"/>
        <v>-678.76244700000007</v>
      </c>
      <c r="Y119" s="2"/>
      <c r="Z119" s="6">
        <f t="shared" si="24"/>
        <v>-0.25837611856493375</v>
      </c>
    </row>
    <row r="120" spans="1:26" s="24" customFormat="1" hidden="1" outlineLevel="2" x14ac:dyDescent="0.25">
      <c r="A120" s="29"/>
      <c r="B120" s="11" t="str">
        <f>CONCATENATE("          ", "6115", " - ", "P.E.R.S.")</f>
        <v xml:space="preserve">          6115 - P.E.R.S.</v>
      </c>
      <c r="C120" s="11"/>
      <c r="D120" s="7">
        <v>6456.79</v>
      </c>
      <c r="E120" s="2"/>
      <c r="F120" s="6">
        <f t="shared" si="17"/>
        <v>2.7636613073206581E-2</v>
      </c>
      <c r="G120" s="2"/>
      <c r="H120" s="7">
        <v>4692.7557153846165</v>
      </c>
      <c r="I120" s="2"/>
      <c r="J120" s="6">
        <f t="shared" si="18"/>
        <v>1.2652927514565555E-2</v>
      </c>
      <c r="K120" s="2"/>
      <c r="L120" s="7">
        <f t="shared" si="19"/>
        <v>1764.0342846153835</v>
      </c>
      <c r="M120" s="2"/>
      <c r="N120" s="6">
        <f t="shared" si="20"/>
        <v>0.37590584117392184</v>
      </c>
      <c r="O120" s="11"/>
      <c r="P120" s="7">
        <v>40018.049999999996</v>
      </c>
      <c r="Q120" s="2"/>
      <c r="R120" s="6">
        <f t="shared" si="21"/>
        <v>1.4829108650880893E-2</v>
      </c>
      <c r="S120" s="2"/>
      <c r="T120" s="7">
        <v>30502.912150000004</v>
      </c>
      <c r="U120" s="2"/>
      <c r="V120" s="6">
        <f t="shared" si="22"/>
        <v>6.474160938642488E-3</v>
      </c>
      <c r="W120" s="2"/>
      <c r="X120" s="7">
        <f t="shared" si="23"/>
        <v>9515.1378499999919</v>
      </c>
      <c r="Y120" s="2"/>
      <c r="Z120" s="6">
        <f t="shared" si="24"/>
        <v>0.31194194846736922</v>
      </c>
    </row>
    <row r="121" spans="1:26" s="24" customFormat="1" hidden="1" outlineLevel="2" x14ac:dyDescent="0.25">
      <c r="A121" s="29"/>
      <c r="B121" s="11" t="str">
        <f>CONCATENATE("          ", "6116", " - ", "EDUCATIONAL BENEFITS")</f>
        <v xml:space="preserve">          6116 - EDUCATIONAL BENEFITS</v>
      </c>
      <c r="C121" s="11"/>
      <c r="D121" s="7"/>
      <c r="E121" s="2"/>
      <c r="F121" s="6">
        <f t="shared" si="17"/>
        <v>0</v>
      </c>
      <c r="G121" s="2"/>
      <c r="H121" s="7">
        <v>0</v>
      </c>
      <c r="I121" s="2"/>
      <c r="J121" s="6">
        <f t="shared" si="18"/>
        <v>0</v>
      </c>
      <c r="K121" s="2"/>
      <c r="L121" s="7">
        <f t="shared" si="19"/>
        <v>0</v>
      </c>
      <c r="M121" s="2"/>
      <c r="N121" s="6">
        <f t="shared" si="20"/>
        <v>0</v>
      </c>
      <c r="O121" s="11"/>
      <c r="P121" s="7">
        <v>0</v>
      </c>
      <c r="Q121" s="2"/>
      <c r="R121" s="6">
        <f t="shared" si="21"/>
        <v>0</v>
      </c>
      <c r="S121" s="2"/>
      <c r="T121" s="7">
        <v>0</v>
      </c>
      <c r="U121" s="2"/>
      <c r="V121" s="6">
        <f t="shared" si="22"/>
        <v>0</v>
      </c>
      <c r="W121" s="2"/>
      <c r="X121" s="7">
        <f t="shared" si="23"/>
        <v>0</v>
      </c>
      <c r="Y121" s="2"/>
      <c r="Z121" s="6">
        <f t="shared" si="24"/>
        <v>0</v>
      </c>
    </row>
    <row r="122" spans="1:26" s="24" customFormat="1" hidden="1" outlineLevel="2" x14ac:dyDescent="0.25">
      <c r="A122" s="29"/>
      <c r="B122" s="11" t="str">
        <f>CONCATENATE("          ", "6117", " - ", "RETIREMENT STAFF HOURLY")</f>
        <v xml:space="preserve">          6117 - RETIREMENT STAFF HOURLY</v>
      </c>
      <c r="C122" s="11"/>
      <c r="D122" s="7">
        <v>440.47</v>
      </c>
      <c r="E122" s="2"/>
      <c r="F122" s="6">
        <f t="shared" si="17"/>
        <v>1.8853174658545972E-3</v>
      </c>
      <c r="G122" s="2"/>
      <c r="H122" s="7"/>
      <c r="I122" s="2"/>
      <c r="J122" s="6">
        <f t="shared" si="18"/>
        <v>0</v>
      </c>
      <c r="K122" s="2"/>
      <c r="L122" s="7">
        <f t="shared" si="19"/>
        <v>440.47</v>
      </c>
      <c r="M122" s="2"/>
      <c r="N122" s="6">
        <f t="shared" si="20"/>
        <v>0</v>
      </c>
      <c r="O122" s="11"/>
      <c r="P122" s="7">
        <v>1734.12</v>
      </c>
      <c r="Q122" s="2"/>
      <c r="R122" s="6">
        <f t="shared" si="21"/>
        <v>6.425963757270925E-4</v>
      </c>
      <c r="S122" s="2"/>
      <c r="T122" s="7"/>
      <c r="U122" s="2"/>
      <c r="V122" s="6">
        <f t="shared" si="22"/>
        <v>0</v>
      </c>
      <c r="W122" s="2"/>
      <c r="X122" s="7">
        <f t="shared" si="23"/>
        <v>1734.12</v>
      </c>
      <c r="Y122" s="2"/>
      <c r="Z122" s="6">
        <f t="shared" si="24"/>
        <v>0</v>
      </c>
    </row>
    <row r="123" spans="1:26" s="24" customFormat="1" hidden="1" outlineLevel="2" x14ac:dyDescent="0.25">
      <c r="A123" s="29"/>
      <c r="B123" s="11" t="str">
        <f>CONCATENATE("          ", "6118", " - ", "VACATION")</f>
        <v xml:space="preserve">          6118 - VACATION</v>
      </c>
      <c r="C123" s="11"/>
      <c r="D123" s="7">
        <v>5850.94</v>
      </c>
      <c r="E123" s="2"/>
      <c r="F123" s="6">
        <f t="shared" si="17"/>
        <v>2.504342945868571E-2</v>
      </c>
      <c r="G123" s="2"/>
      <c r="H123" s="7">
        <v>3945.7434200000012</v>
      </c>
      <c r="I123" s="2"/>
      <c r="J123" s="6">
        <f t="shared" si="18"/>
        <v>1.0638782095701342E-2</v>
      </c>
      <c r="K123" s="2"/>
      <c r="L123" s="7">
        <f t="shared" si="19"/>
        <v>1905.1965799999984</v>
      </c>
      <c r="M123" s="2"/>
      <c r="N123" s="6">
        <f t="shared" si="20"/>
        <v>0.48284857305800127</v>
      </c>
      <c r="O123" s="11"/>
      <c r="P123" s="7">
        <v>32286.25</v>
      </c>
      <c r="Q123" s="2"/>
      <c r="R123" s="6">
        <f t="shared" si="21"/>
        <v>1.1964008970439671E-2</v>
      </c>
      <c r="S123" s="2"/>
      <c r="T123" s="7">
        <v>25647.332229999996</v>
      </c>
      <c r="U123" s="2"/>
      <c r="V123" s="6">
        <f t="shared" si="22"/>
        <v>5.4435771800186135E-3</v>
      </c>
      <c r="W123" s="2"/>
      <c r="X123" s="7">
        <f t="shared" si="23"/>
        <v>6638.9177700000037</v>
      </c>
      <c r="Y123" s="2"/>
      <c r="Z123" s="6">
        <f t="shared" si="24"/>
        <v>0.25885412605348407</v>
      </c>
    </row>
    <row r="124" spans="1:26" s="24" customFormat="1" hidden="1" outlineLevel="2" x14ac:dyDescent="0.25">
      <c r="A124" s="29"/>
      <c r="B124" s="11" t="str">
        <f>CONCATENATE("          ", "6119", " - ", "SICK LEAVE")</f>
        <v xml:space="preserve">          6119 - SICK LEAVE</v>
      </c>
      <c r="C124" s="11"/>
      <c r="D124" s="7">
        <v>4031.99</v>
      </c>
      <c r="E124" s="2"/>
      <c r="F124" s="6">
        <f t="shared" si="17"/>
        <v>1.7257886278636628E-2</v>
      </c>
      <c r="G124" s="2"/>
      <c r="H124" s="7">
        <v>3961.7173030769195</v>
      </c>
      <c r="I124" s="2"/>
      <c r="J124" s="6">
        <f t="shared" si="18"/>
        <v>1.0681851967000158E-2</v>
      </c>
      <c r="K124" s="2"/>
      <c r="L124" s="7">
        <f t="shared" si="19"/>
        <v>70.272696923080275</v>
      </c>
      <c r="M124" s="2"/>
      <c r="N124" s="6">
        <f t="shared" si="20"/>
        <v>1.7737938259376071E-2</v>
      </c>
      <c r="O124" s="11"/>
      <c r="P124" s="7">
        <v>23381.11</v>
      </c>
      <c r="Q124" s="2"/>
      <c r="R124" s="6">
        <f t="shared" si="21"/>
        <v>8.6641158319357842E-3</v>
      </c>
      <c r="S124" s="2"/>
      <c r="T124" s="7">
        <v>26848.917169999979</v>
      </c>
      <c r="U124" s="2"/>
      <c r="V124" s="6">
        <f t="shared" si="22"/>
        <v>5.698610346843931E-3</v>
      </c>
      <c r="W124" s="2"/>
      <c r="X124" s="7">
        <f t="shared" si="23"/>
        <v>-3467.8071699999782</v>
      </c>
      <c r="Y124" s="2"/>
      <c r="Z124" s="6">
        <f t="shared" si="24"/>
        <v>-0.12916003830034464</v>
      </c>
    </row>
    <row r="125" spans="1:26" s="24" customFormat="1" hidden="1" outlineLevel="2" x14ac:dyDescent="0.25">
      <c r="A125" s="29"/>
      <c r="B125" s="11" t="str">
        <f>CONCATENATE("          ", "6156", " - ", "EMPLOYEE MEALS")</f>
        <v xml:space="preserve">          6156 - EMPLOYEE MEALS</v>
      </c>
      <c r="C125" s="11"/>
      <c r="D125" s="7">
        <v>1266.58</v>
      </c>
      <c r="E125" s="2"/>
      <c r="F125" s="6">
        <f t="shared" si="17"/>
        <v>5.4212668193114521E-3</v>
      </c>
      <c r="G125" s="2"/>
      <c r="H125" s="7">
        <v>1625</v>
      </c>
      <c r="I125" s="2"/>
      <c r="J125" s="6">
        <f t="shared" si="18"/>
        <v>4.3814356549100389E-3</v>
      </c>
      <c r="K125" s="2"/>
      <c r="L125" s="7">
        <f t="shared" si="19"/>
        <v>-358.42000000000007</v>
      </c>
      <c r="M125" s="2"/>
      <c r="N125" s="6">
        <f t="shared" si="20"/>
        <v>-0.22056615384615388</v>
      </c>
      <c r="O125" s="11"/>
      <c r="P125" s="7">
        <v>8896.4500000000007</v>
      </c>
      <c r="Q125" s="2"/>
      <c r="R125" s="6">
        <f t="shared" si="21"/>
        <v>3.2966729677515356E-3</v>
      </c>
      <c r="S125" s="2"/>
      <c r="T125" s="7">
        <v>9750</v>
      </c>
      <c r="U125" s="2"/>
      <c r="V125" s="6">
        <f t="shared" si="22"/>
        <v>2.0694112365846435E-3</v>
      </c>
      <c r="W125" s="2"/>
      <c r="X125" s="7">
        <f t="shared" si="23"/>
        <v>-853.54999999999927</v>
      </c>
      <c r="Y125" s="2"/>
      <c r="Z125" s="6">
        <f t="shared" si="24"/>
        <v>-8.7543589743589667E-2</v>
      </c>
    </row>
    <row r="126" spans="1:26" s="28" customFormat="1" outlineLevel="1" collapsed="1" x14ac:dyDescent="0.25">
      <c r="A126" s="27"/>
      <c r="B126" s="14" t="str">
        <f>CONCATENATE("     ","*Payroll                                          ")</f>
        <v xml:space="preserve">     *Payroll                                          </v>
      </c>
      <c r="C126" s="14"/>
      <c r="D126" s="1">
        <f>SUM(OSRRefD22_1x_0)</f>
        <v>119812.64000000001</v>
      </c>
      <c r="E126" s="1"/>
      <c r="F126" s="5">
        <f t="shared" ref="F126:F136" si="25">IF(D$12=0,0,D126/D$12)</f>
        <v>0.51282689586611829</v>
      </c>
      <c r="G126" s="1"/>
      <c r="H126" s="1">
        <f>SUM(OSRRefH22_1x_0)</f>
        <v>136838.63778215385</v>
      </c>
      <c r="I126" s="1"/>
      <c r="J126" s="5">
        <f t="shared" ref="J126:J136" si="26">IF(H$12=0,0,H126/H$12)</f>
        <v>0.36895365326033774</v>
      </c>
      <c r="K126" s="1"/>
      <c r="L126" s="1">
        <f t="shared" ref="L126:L136" si="27">+D126-H126</f>
        <v>-17025.997782153834</v>
      </c>
      <c r="M126" s="1"/>
      <c r="N126" s="5">
        <f t="shared" ref="N126:N136" si="28">IF(H126=0,0,L126/H126)</f>
        <v>-0.12442390583615062</v>
      </c>
      <c r="O126" s="14"/>
      <c r="P126" s="1">
        <f>SUM(OSRRefP22_1x_0)</f>
        <v>730222.49999999977</v>
      </c>
      <c r="Q126" s="1"/>
      <c r="R126" s="5">
        <f t="shared" ref="R126:R136" si="29">IF(P$12=0,0,P126/P$12)</f>
        <v>0.27059161532902953</v>
      </c>
      <c r="S126" s="1"/>
      <c r="T126" s="1">
        <f>SUM(OSRRefT22_1x_0)</f>
        <v>937530.13558400027</v>
      </c>
      <c r="U126" s="1"/>
      <c r="V126" s="5">
        <f t="shared" ref="V126:V136" si="30">IF(T$12=0,0,T126/T$12)</f>
        <v>0.19898824586812869</v>
      </c>
      <c r="W126" s="1"/>
      <c r="X126" s="1">
        <f t="shared" ref="X126:X136" si="31">+P126-T126</f>
        <v>-207307.6355840005</v>
      </c>
      <c r="Y126" s="1"/>
      <c r="Z126" s="5">
        <f t="shared" ref="Z126:Z136" si="32">IF(T126=0,0,X126/T126)</f>
        <v>-0.22112103677058417</v>
      </c>
    </row>
    <row r="127" spans="1:26" s="24" customFormat="1" hidden="1" outlineLevel="2" x14ac:dyDescent="0.25">
      <c r="A127" s="29"/>
      <c r="B127" s="11" t="str">
        <f>CONCATENATE("          ", "6001", " - ", "ADMINISTRATIVE SALARIES")</f>
        <v xml:space="preserve">          6001 - ADMINISTRATIVE SALARIES</v>
      </c>
      <c r="C127" s="11"/>
      <c r="D127" s="7">
        <v>3745.16</v>
      </c>
      <c r="E127" s="2"/>
      <c r="F127" s="6">
        <f t="shared" si="25"/>
        <v>1.6030184939768887E-2</v>
      </c>
      <c r="G127" s="2"/>
      <c r="H127" s="7">
        <v>7759.6923076923094</v>
      </c>
      <c r="I127" s="2"/>
      <c r="J127" s="6">
        <f t="shared" si="26"/>
        <v>2.0922210798802614E-2</v>
      </c>
      <c r="K127" s="2"/>
      <c r="L127" s="7">
        <f t="shared" si="27"/>
        <v>-4014.5323076923096</v>
      </c>
      <c r="M127" s="2"/>
      <c r="N127" s="6">
        <f t="shared" si="28"/>
        <v>-0.51735715135413785</v>
      </c>
      <c r="O127" s="11"/>
      <c r="P127" s="7">
        <v>24883.11</v>
      </c>
      <c r="Q127" s="2"/>
      <c r="R127" s="6">
        <f t="shared" si="29"/>
        <v>9.2206977042065003E-3</v>
      </c>
      <c r="S127" s="2"/>
      <c r="T127" s="7">
        <v>50438.000000000022</v>
      </c>
      <c r="U127" s="2"/>
      <c r="V127" s="6">
        <f t="shared" si="30"/>
        <v>1.0705329635985262E-2</v>
      </c>
      <c r="W127" s="2"/>
      <c r="X127" s="7">
        <f t="shared" si="31"/>
        <v>-25554.890000000021</v>
      </c>
      <c r="Y127" s="2"/>
      <c r="Z127" s="6">
        <f t="shared" si="32"/>
        <v>-0.50665946310321608</v>
      </c>
    </row>
    <row r="128" spans="1:26" s="24" customFormat="1" hidden="1" outlineLevel="2" x14ac:dyDescent="0.25">
      <c r="A128" s="29"/>
      <c r="B128" s="11" t="str">
        <f>CONCATENATE("          ", "6002", " - ", "STAFF SALARIES")</f>
        <v xml:space="preserve">          6002 - STAFF SALARIES</v>
      </c>
      <c r="C128" s="11"/>
      <c r="D128" s="7">
        <v>60554.25</v>
      </c>
      <c r="E128" s="2"/>
      <c r="F128" s="6">
        <f t="shared" si="25"/>
        <v>0.25918674406140196</v>
      </c>
      <c r="G128" s="2"/>
      <c r="H128" s="7">
        <v>41207.275394461554</v>
      </c>
      <c r="I128" s="2"/>
      <c r="J128" s="6">
        <f t="shared" si="26"/>
        <v>0.11110586194153292</v>
      </c>
      <c r="K128" s="2"/>
      <c r="L128" s="7">
        <f t="shared" si="27"/>
        <v>19346.974605538446</v>
      </c>
      <c r="M128" s="2"/>
      <c r="N128" s="6">
        <f t="shared" si="28"/>
        <v>0.46950385387864707</v>
      </c>
      <c r="O128" s="11"/>
      <c r="P128" s="7">
        <v>335512.19</v>
      </c>
      <c r="Q128" s="2"/>
      <c r="R128" s="6">
        <f t="shared" si="29"/>
        <v>0.12432756516634355</v>
      </c>
      <c r="S128" s="2"/>
      <c r="T128" s="7">
        <v>267847.29006400018</v>
      </c>
      <c r="U128" s="2"/>
      <c r="V128" s="6">
        <f t="shared" si="30"/>
        <v>5.6849865820224443E-2</v>
      </c>
      <c r="W128" s="2"/>
      <c r="X128" s="7">
        <f t="shared" si="31"/>
        <v>67664.899935999827</v>
      </c>
      <c r="Y128" s="2"/>
      <c r="Z128" s="6">
        <f t="shared" si="32"/>
        <v>0.25262491892238964</v>
      </c>
    </row>
    <row r="129" spans="1:26" s="24" customFormat="1" hidden="1" outlineLevel="2" x14ac:dyDescent="0.25">
      <c r="A129" s="29"/>
      <c r="B129" s="11" t="str">
        <f>CONCATENATE("          ", "6003", " - ", "STAFF HOURLY-9 MONTH")</f>
        <v xml:space="preserve">          6003 - STAFF HOURLY-9 MONTH</v>
      </c>
      <c r="C129" s="11"/>
      <c r="D129" s="7"/>
      <c r="E129" s="2"/>
      <c r="F129" s="6">
        <f t="shared" si="25"/>
        <v>0</v>
      </c>
      <c r="G129" s="2"/>
      <c r="H129" s="7">
        <v>0</v>
      </c>
      <c r="I129" s="2"/>
      <c r="J129" s="6">
        <f t="shared" si="26"/>
        <v>0</v>
      </c>
      <c r="K129" s="2"/>
      <c r="L129" s="7">
        <f t="shared" si="27"/>
        <v>0</v>
      </c>
      <c r="M129" s="2"/>
      <c r="N129" s="6">
        <f t="shared" si="28"/>
        <v>0</v>
      </c>
      <c r="O129" s="11"/>
      <c r="P129" s="7"/>
      <c r="Q129" s="2"/>
      <c r="R129" s="6">
        <f t="shared" si="29"/>
        <v>0</v>
      </c>
      <c r="S129" s="2"/>
      <c r="T129" s="7">
        <v>0</v>
      </c>
      <c r="U129" s="2"/>
      <c r="V129" s="6">
        <f t="shared" si="30"/>
        <v>0</v>
      </c>
      <c r="W129" s="2"/>
      <c r="X129" s="7">
        <f t="shared" si="31"/>
        <v>0</v>
      </c>
      <c r="Y129" s="2"/>
      <c r="Z129" s="6">
        <f t="shared" si="32"/>
        <v>0</v>
      </c>
    </row>
    <row r="130" spans="1:26" s="24" customFormat="1" hidden="1" outlineLevel="2" x14ac:dyDescent="0.25">
      <c r="A130" s="29"/>
      <c r="B130" s="11" t="str">
        <f>CONCATENATE("          ", "6004", " - ", "STAFF HOURLY")</f>
        <v xml:space="preserve">          6004 - STAFF HOURLY</v>
      </c>
      <c r="C130" s="11"/>
      <c r="D130" s="7">
        <v>15520.769999999999</v>
      </c>
      <c r="E130" s="2"/>
      <c r="F130" s="6">
        <f t="shared" si="25"/>
        <v>6.6432625977960014E-2</v>
      </c>
      <c r="G130" s="2"/>
      <c r="H130" s="7">
        <v>24711.250080000002</v>
      </c>
      <c r="I130" s="2"/>
      <c r="J130" s="6">
        <f t="shared" si="26"/>
        <v>6.6628155186406496E-2</v>
      </c>
      <c r="K130" s="2"/>
      <c r="L130" s="7">
        <f t="shared" si="27"/>
        <v>-9190.480080000003</v>
      </c>
      <c r="M130" s="2"/>
      <c r="N130" s="6">
        <f t="shared" si="28"/>
        <v>-0.37191481815961625</v>
      </c>
      <c r="O130" s="11"/>
      <c r="P130" s="7">
        <v>91036.909999999989</v>
      </c>
      <c r="Q130" s="2"/>
      <c r="R130" s="6">
        <f t="shared" si="29"/>
        <v>3.3734682965073641E-2</v>
      </c>
      <c r="S130" s="2"/>
      <c r="T130" s="7">
        <v>160018.77552</v>
      </c>
      <c r="U130" s="2"/>
      <c r="V130" s="6">
        <f t="shared" si="30"/>
        <v>3.3963554064164479E-2</v>
      </c>
      <c r="W130" s="2"/>
      <c r="X130" s="7">
        <f t="shared" si="31"/>
        <v>-68981.865520000007</v>
      </c>
      <c r="Y130" s="2"/>
      <c r="Z130" s="6">
        <f t="shared" si="32"/>
        <v>-0.43108607284261019</v>
      </c>
    </row>
    <row r="131" spans="1:26" s="24" customFormat="1" hidden="1" outlineLevel="2" x14ac:dyDescent="0.25">
      <c r="A131" s="29"/>
      <c r="B131" s="11" t="str">
        <f>CONCATENATE("          ", "6005", " - ", "TEMPORARY WAGES-HOURLY")</f>
        <v xml:space="preserve">          6005 - TEMPORARY WAGES-HOURLY</v>
      </c>
      <c r="C131" s="11"/>
      <c r="D131" s="7">
        <v>9577.32</v>
      </c>
      <c r="E131" s="2"/>
      <c r="F131" s="6">
        <f t="shared" si="25"/>
        <v>4.0993231484728922E-2</v>
      </c>
      <c r="G131" s="2"/>
      <c r="H131" s="7">
        <v>3819</v>
      </c>
      <c r="I131" s="2"/>
      <c r="J131" s="6">
        <f t="shared" si="26"/>
        <v>1.0297047856062424E-2</v>
      </c>
      <c r="K131" s="2"/>
      <c r="L131" s="7">
        <f t="shared" si="27"/>
        <v>5758.32</v>
      </c>
      <c r="M131" s="2"/>
      <c r="N131" s="6">
        <f t="shared" si="28"/>
        <v>1.507808326787117</v>
      </c>
      <c r="O131" s="11"/>
      <c r="P131" s="7">
        <v>97643.45</v>
      </c>
      <c r="Q131" s="2"/>
      <c r="R131" s="6">
        <f t="shared" si="29"/>
        <v>3.6182805736332882E-2</v>
      </c>
      <c r="S131" s="2"/>
      <c r="T131" s="7">
        <v>20919</v>
      </c>
      <c r="U131" s="2"/>
      <c r="V131" s="6">
        <f t="shared" si="30"/>
        <v>4.4400014008322214E-3</v>
      </c>
      <c r="W131" s="2"/>
      <c r="X131" s="7">
        <f t="shared" si="31"/>
        <v>76724.45</v>
      </c>
      <c r="Y131" s="2"/>
      <c r="Z131" s="6">
        <f t="shared" si="32"/>
        <v>3.6676920502892107</v>
      </c>
    </row>
    <row r="132" spans="1:26" s="24" customFormat="1" hidden="1" outlineLevel="2" x14ac:dyDescent="0.25">
      <c r="A132" s="29"/>
      <c r="B132" s="11" t="str">
        <f>CONCATENATE("          ", "6006", " - ", "TEMPORARY PART TIME")</f>
        <v xml:space="preserve">          6006 - TEMPORARY PART TIME</v>
      </c>
      <c r="C132" s="11"/>
      <c r="D132" s="7">
        <v>1432.35</v>
      </c>
      <c r="E132" s="2"/>
      <c r="F132" s="6">
        <f t="shared" si="25"/>
        <v>6.1308022617132425E-3</v>
      </c>
      <c r="G132" s="2"/>
      <c r="H132" s="7">
        <v>0</v>
      </c>
      <c r="I132" s="2"/>
      <c r="J132" s="6">
        <f t="shared" si="26"/>
        <v>0</v>
      </c>
      <c r="K132" s="2"/>
      <c r="L132" s="7">
        <f t="shared" si="27"/>
        <v>1432.35</v>
      </c>
      <c r="M132" s="2"/>
      <c r="N132" s="6">
        <f t="shared" si="28"/>
        <v>0</v>
      </c>
      <c r="O132" s="11"/>
      <c r="P132" s="7">
        <v>9987.9599999999991</v>
      </c>
      <c r="Q132" s="2"/>
      <c r="R132" s="6">
        <f t="shared" si="29"/>
        <v>3.7011434600299699E-3</v>
      </c>
      <c r="S132" s="2"/>
      <c r="T132" s="7">
        <v>0</v>
      </c>
      <c r="U132" s="2"/>
      <c r="V132" s="6">
        <f t="shared" si="30"/>
        <v>0</v>
      </c>
      <c r="W132" s="2"/>
      <c r="X132" s="7">
        <f t="shared" si="31"/>
        <v>9987.9599999999991</v>
      </c>
      <c r="Y132" s="2"/>
      <c r="Z132" s="6">
        <f t="shared" si="32"/>
        <v>0</v>
      </c>
    </row>
    <row r="133" spans="1:26" s="24" customFormat="1" hidden="1" outlineLevel="2" x14ac:dyDescent="0.25">
      <c r="A133" s="29"/>
      <c r="B133" s="11" t="str">
        <f>CONCATENATE("          ", "6007", " - ", "STUDENT HOURLY")</f>
        <v xml:space="preserve">          6007 - STUDENT HOURLY</v>
      </c>
      <c r="C133" s="11"/>
      <c r="D133" s="7">
        <v>27899.63</v>
      </c>
      <c r="E133" s="2"/>
      <c r="F133" s="6">
        <f t="shared" si="25"/>
        <v>0.11941712200576859</v>
      </c>
      <c r="G133" s="2"/>
      <c r="H133" s="7">
        <v>275</v>
      </c>
      <c r="I133" s="2"/>
      <c r="J133" s="6">
        <f t="shared" si="26"/>
        <v>7.4147372621554504E-4</v>
      </c>
      <c r="K133" s="2"/>
      <c r="L133" s="7">
        <f t="shared" si="27"/>
        <v>27624.63</v>
      </c>
      <c r="M133" s="2"/>
      <c r="N133" s="6">
        <f t="shared" si="28"/>
        <v>100.45320000000001</v>
      </c>
      <c r="O133" s="11"/>
      <c r="P133" s="7">
        <v>166228.43</v>
      </c>
      <c r="Q133" s="2"/>
      <c r="R133" s="6">
        <f t="shared" si="29"/>
        <v>6.1597690275646842E-2</v>
      </c>
      <c r="S133" s="2"/>
      <c r="T133" s="7">
        <v>137020</v>
      </c>
      <c r="U133" s="2"/>
      <c r="V133" s="6">
        <f t="shared" si="30"/>
        <v>2.9082125911469525E-2</v>
      </c>
      <c r="W133" s="2"/>
      <c r="X133" s="7">
        <f t="shared" si="31"/>
        <v>29208.429999999993</v>
      </c>
      <c r="Y133" s="2"/>
      <c r="Z133" s="6">
        <f t="shared" si="32"/>
        <v>0.21316909940154716</v>
      </c>
    </row>
    <row r="134" spans="1:26" s="24" customFormat="1" hidden="1" outlineLevel="2" x14ac:dyDescent="0.25">
      <c r="A134" s="29"/>
      <c r="B134" s="11" t="str">
        <f>CONCATENATE("          ", "6008", " - ", "STUDENT HOURLY-FICA EXEMPT")</f>
        <v xml:space="preserve">          6008 - STUDENT HOURLY-FICA EXEMPT</v>
      </c>
      <c r="C134" s="11"/>
      <c r="D134" s="7">
        <v>1083.1600000000001</v>
      </c>
      <c r="E134" s="2"/>
      <c r="F134" s="6">
        <f t="shared" si="25"/>
        <v>4.636185134776637E-3</v>
      </c>
      <c r="G134" s="2"/>
      <c r="H134" s="7">
        <v>59066.42</v>
      </c>
      <c r="I134" s="2"/>
      <c r="J134" s="6">
        <f t="shared" si="26"/>
        <v>0.15925890375131779</v>
      </c>
      <c r="K134" s="2"/>
      <c r="L134" s="7">
        <f t="shared" si="27"/>
        <v>-57983.259999999995</v>
      </c>
      <c r="M134" s="2"/>
      <c r="N134" s="6">
        <f t="shared" si="28"/>
        <v>-0.98166200016862371</v>
      </c>
      <c r="O134" s="11"/>
      <c r="P134" s="7">
        <v>4930.45</v>
      </c>
      <c r="Q134" s="2"/>
      <c r="R134" s="6">
        <f t="shared" si="29"/>
        <v>1.8270300213962375E-3</v>
      </c>
      <c r="S134" s="2"/>
      <c r="T134" s="7">
        <v>301287.07</v>
      </c>
      <c r="U134" s="2"/>
      <c r="V134" s="6">
        <f t="shared" si="30"/>
        <v>6.3947369035452728E-2</v>
      </c>
      <c r="W134" s="2"/>
      <c r="X134" s="7">
        <f t="shared" si="31"/>
        <v>-296356.62</v>
      </c>
      <c r="Y134" s="2"/>
      <c r="Z134" s="6">
        <f t="shared" si="32"/>
        <v>-0.98363537472749818</v>
      </c>
    </row>
    <row r="135" spans="1:26" s="24" customFormat="1" hidden="1" outlineLevel="2" x14ac:dyDescent="0.25">
      <c r="A135" s="29"/>
      <c r="B135" s="11" t="str">
        <f>CONCATENATE("          ", "6009", " - ", "TEMPORARY-SEASONAL")</f>
        <v xml:space="preserve">          6009 - TEMPORARY-SEASONAL</v>
      </c>
      <c r="C135" s="11"/>
      <c r="D135" s="7"/>
      <c r="E135" s="2"/>
      <c r="F135" s="6">
        <f t="shared" si="25"/>
        <v>0</v>
      </c>
      <c r="G135" s="2"/>
      <c r="H135" s="7">
        <v>0</v>
      </c>
      <c r="I135" s="2"/>
      <c r="J135" s="6">
        <f t="shared" si="26"/>
        <v>0</v>
      </c>
      <c r="K135" s="2"/>
      <c r="L135" s="7">
        <f t="shared" si="27"/>
        <v>0</v>
      </c>
      <c r="M135" s="2"/>
      <c r="N135" s="6">
        <f t="shared" si="28"/>
        <v>0</v>
      </c>
      <c r="O135" s="11"/>
      <c r="P135" s="7"/>
      <c r="Q135" s="2"/>
      <c r="R135" s="6">
        <f t="shared" si="29"/>
        <v>0</v>
      </c>
      <c r="S135" s="2"/>
      <c r="T135" s="7">
        <v>0</v>
      </c>
      <c r="U135" s="2"/>
      <c r="V135" s="6">
        <f t="shared" si="30"/>
        <v>0</v>
      </c>
      <c r="W135" s="2"/>
      <c r="X135" s="7">
        <f t="shared" si="31"/>
        <v>0</v>
      </c>
      <c r="Y135" s="2"/>
      <c r="Z135" s="6">
        <f t="shared" si="32"/>
        <v>0</v>
      </c>
    </row>
    <row r="136" spans="1:26" s="24" customFormat="1" hidden="1" outlineLevel="2" x14ac:dyDescent="0.25">
      <c r="A136" s="29"/>
      <c r="B136" s="11" t="str">
        <f>CONCATENATE("          ", "6010", " - ", "GRATUITY")</f>
        <v xml:space="preserve">          6010 - GRATUITY</v>
      </c>
      <c r="C136" s="11"/>
      <c r="D136" s="7"/>
      <c r="E136" s="2"/>
      <c r="F136" s="6">
        <f t="shared" si="25"/>
        <v>0</v>
      </c>
      <c r="G136" s="2"/>
      <c r="H136" s="7">
        <v>0</v>
      </c>
      <c r="I136" s="2"/>
      <c r="J136" s="6">
        <f t="shared" si="26"/>
        <v>0</v>
      </c>
      <c r="K136" s="2"/>
      <c r="L136" s="7">
        <f t="shared" si="27"/>
        <v>0</v>
      </c>
      <c r="M136" s="2"/>
      <c r="N136" s="6">
        <f t="shared" si="28"/>
        <v>0</v>
      </c>
      <c r="O136" s="11"/>
      <c r="P136" s="7"/>
      <c r="Q136" s="2"/>
      <c r="R136" s="6">
        <f t="shared" si="29"/>
        <v>0</v>
      </c>
      <c r="S136" s="2"/>
      <c r="T136" s="7">
        <v>0</v>
      </c>
      <c r="U136" s="2"/>
      <c r="V136" s="6">
        <f t="shared" si="30"/>
        <v>0</v>
      </c>
      <c r="W136" s="2"/>
      <c r="X136" s="7">
        <f t="shared" si="31"/>
        <v>0</v>
      </c>
      <c r="Y136" s="2"/>
      <c r="Z136" s="6">
        <f t="shared" si="32"/>
        <v>0</v>
      </c>
    </row>
    <row r="137" spans="1:26" s="28" customFormat="1" outlineLevel="1" collapsed="1" x14ac:dyDescent="0.25">
      <c r="A137" s="27"/>
      <c r="B137" s="14" t="str">
        <f>CONCATENATE("     ","Advertising/Promo                                 ")</f>
        <v xml:space="preserve">     Advertising/Promo                                 </v>
      </c>
      <c r="C137" s="14"/>
      <c r="D137" s="1">
        <f>SUM(OSRRefD22_2x_0)</f>
        <v>343.98</v>
      </c>
      <c r="E137" s="1"/>
      <c r="F137" s="5">
        <f t="shared" ref="F137:F141" si="33">IF(D$12=0,0,D137/D$12)</f>
        <v>1.472317074726234E-3</v>
      </c>
      <c r="G137" s="1"/>
      <c r="H137" s="1">
        <f>SUM(OSRRefH22_2x_0)</f>
        <v>1280</v>
      </c>
      <c r="I137" s="1"/>
      <c r="J137" s="5">
        <f t="shared" ref="J137:J141" si="34">IF(H$12=0,0,H137/H$12)</f>
        <v>3.451223162021446E-3</v>
      </c>
      <c r="K137" s="1"/>
      <c r="L137" s="1">
        <f t="shared" ref="L137:L141" si="35">+D137-H137</f>
        <v>-936.02</v>
      </c>
      <c r="M137" s="1"/>
      <c r="N137" s="5">
        <f t="shared" ref="N137:N141" si="36">IF(H137=0,0,L137/H137)</f>
        <v>-0.73126562500000003</v>
      </c>
      <c r="O137" s="14"/>
      <c r="P137" s="1">
        <f>SUM(OSRRefP22_2x_0)</f>
        <v>14702.51</v>
      </c>
      <c r="Q137" s="1"/>
      <c r="R137" s="5">
        <f t="shared" ref="R137:R141" si="37">IF(P$12=0,0,P137/P$12)</f>
        <v>5.4481694692935529E-3</v>
      </c>
      <c r="S137" s="1"/>
      <c r="T137" s="1">
        <f>SUM(OSRRefT22_2x_0)</f>
        <v>6930</v>
      </c>
      <c r="U137" s="1"/>
      <c r="V137" s="5">
        <f t="shared" ref="V137:V141" si="38">IF(T$12=0,0,T137/T$12)</f>
        <v>1.4708738327724698E-3</v>
      </c>
      <c r="W137" s="1"/>
      <c r="X137" s="1">
        <f t="shared" ref="X137:X141" si="39">+P137-T137</f>
        <v>7772.51</v>
      </c>
      <c r="Y137" s="1"/>
      <c r="Z137" s="5">
        <f t="shared" ref="Z137:Z141" si="40">IF(T137=0,0,X137/T137)</f>
        <v>1.1215743145743147</v>
      </c>
    </row>
    <row r="138" spans="1:26" s="24" customFormat="1" hidden="1" outlineLevel="2" x14ac:dyDescent="0.25">
      <c r="A138" s="29"/>
      <c r="B138" s="11" t="str">
        <f>CONCATENATE("          ", "6362", " - ", "ADVERTISING EXPENSE")</f>
        <v xml:space="preserve">          6362 - ADVERTISING EXPENSE</v>
      </c>
      <c r="C138" s="11"/>
      <c r="D138" s="7">
        <v>343.98</v>
      </c>
      <c r="E138" s="2"/>
      <c r="F138" s="6">
        <f t="shared" si="33"/>
        <v>1.472317074726234E-3</v>
      </c>
      <c r="G138" s="2"/>
      <c r="H138" s="7">
        <v>1280</v>
      </c>
      <c r="I138" s="2"/>
      <c r="J138" s="6">
        <f t="shared" si="34"/>
        <v>3.451223162021446E-3</v>
      </c>
      <c r="K138" s="2"/>
      <c r="L138" s="7">
        <f t="shared" si="35"/>
        <v>-936.02</v>
      </c>
      <c r="M138" s="2"/>
      <c r="N138" s="6">
        <f t="shared" si="36"/>
        <v>-0.73126562500000003</v>
      </c>
      <c r="O138" s="11"/>
      <c r="P138" s="7">
        <v>14702.51</v>
      </c>
      <c r="Q138" s="2"/>
      <c r="R138" s="6">
        <f t="shared" si="37"/>
        <v>5.4481694692935529E-3</v>
      </c>
      <c r="S138" s="2"/>
      <c r="T138" s="7">
        <v>6930</v>
      </c>
      <c r="U138" s="2"/>
      <c r="V138" s="6">
        <f t="shared" si="38"/>
        <v>1.4708738327724698E-3</v>
      </c>
      <c r="W138" s="2"/>
      <c r="X138" s="7">
        <f t="shared" si="39"/>
        <v>7772.51</v>
      </c>
      <c r="Y138" s="2"/>
      <c r="Z138" s="6">
        <f t="shared" si="40"/>
        <v>1.1215743145743147</v>
      </c>
    </row>
    <row r="139" spans="1:26" s="28" customFormat="1" outlineLevel="1" collapsed="1" x14ac:dyDescent="0.25">
      <c r="A139" s="27"/>
      <c r="B139" s="14" t="str">
        <f>CONCATENATE("     ","Bad Debts/Over/Short                              ")</f>
        <v xml:space="preserve">     Bad Debts/Over/Short                              </v>
      </c>
      <c r="C139" s="14"/>
      <c r="D139" s="1">
        <f>SUM(OSRRefD22_3x_0)</f>
        <v>-5.34</v>
      </c>
      <c r="E139" s="1"/>
      <c r="F139" s="5">
        <f t="shared" si="33"/>
        <v>-2.2856483455544186E-5</v>
      </c>
      <c r="G139" s="1"/>
      <c r="H139" s="1">
        <f>SUM(OSRRefH22_3x_0)</f>
        <v>110</v>
      </c>
      <c r="I139" s="1"/>
      <c r="J139" s="5">
        <f t="shared" si="34"/>
        <v>2.9658949048621804E-4</v>
      </c>
      <c r="K139" s="1"/>
      <c r="L139" s="1">
        <f t="shared" si="35"/>
        <v>-115.34</v>
      </c>
      <c r="M139" s="1"/>
      <c r="N139" s="5">
        <f t="shared" si="36"/>
        <v>-1.0485454545454547</v>
      </c>
      <c r="O139" s="14"/>
      <c r="P139" s="1">
        <f>SUM(OSRRefP22_3x_0)</f>
        <v>45.96</v>
      </c>
      <c r="Q139" s="1"/>
      <c r="R139" s="5">
        <f t="shared" si="37"/>
        <v>1.7030960618882879E-5</v>
      </c>
      <c r="S139" s="1"/>
      <c r="T139" s="1">
        <f>SUM(OSRRefT22_3x_0)</f>
        <v>660</v>
      </c>
      <c r="U139" s="1"/>
      <c r="V139" s="5">
        <f t="shared" si="38"/>
        <v>1.4008322216880665E-4</v>
      </c>
      <c r="W139" s="1"/>
      <c r="X139" s="1">
        <f t="shared" si="39"/>
        <v>-614.04</v>
      </c>
      <c r="Y139" s="1"/>
      <c r="Z139" s="5">
        <f t="shared" si="40"/>
        <v>-0.93036363636363628</v>
      </c>
    </row>
    <row r="140" spans="1:26" s="24" customFormat="1" hidden="1" outlineLevel="2" x14ac:dyDescent="0.25">
      <c r="A140" s="29"/>
      <c r="B140" s="11" t="str">
        <f>CONCATENATE("          ", "6272", " - ", "CASH (OVER/SHORT)")</f>
        <v xml:space="preserve">          6272 - CASH (OVER/SHORT)</v>
      </c>
      <c r="C140" s="11"/>
      <c r="D140" s="7">
        <v>-5.34</v>
      </c>
      <c r="E140" s="2"/>
      <c r="F140" s="6">
        <f t="shared" si="33"/>
        <v>-2.2856483455544186E-5</v>
      </c>
      <c r="G140" s="2"/>
      <c r="H140" s="7">
        <v>60</v>
      </c>
      <c r="I140" s="2"/>
      <c r="J140" s="6">
        <f t="shared" si="34"/>
        <v>1.617760857197553E-4</v>
      </c>
      <c r="K140" s="2"/>
      <c r="L140" s="7">
        <f t="shared" si="35"/>
        <v>-65.34</v>
      </c>
      <c r="M140" s="2"/>
      <c r="N140" s="6">
        <f t="shared" si="36"/>
        <v>-1.089</v>
      </c>
      <c r="O140" s="11"/>
      <c r="P140" s="7">
        <v>45.96</v>
      </c>
      <c r="Q140" s="2"/>
      <c r="R140" s="6">
        <f t="shared" si="37"/>
        <v>1.7030960618882879E-5</v>
      </c>
      <c r="S140" s="2"/>
      <c r="T140" s="7">
        <v>360</v>
      </c>
      <c r="U140" s="2"/>
      <c r="V140" s="6">
        <f t="shared" si="38"/>
        <v>7.6409030273894536E-5</v>
      </c>
      <c r="W140" s="2"/>
      <c r="X140" s="7">
        <f t="shared" si="39"/>
        <v>-314.04000000000002</v>
      </c>
      <c r="Y140" s="2"/>
      <c r="Z140" s="6">
        <f t="shared" si="40"/>
        <v>-0.8723333333333334</v>
      </c>
    </row>
    <row r="141" spans="1:26" s="24" customFormat="1" hidden="1" outlineLevel="2" x14ac:dyDescent="0.25">
      <c r="A141" s="29"/>
      <c r="B141" s="11" t="str">
        <f>CONCATENATE("          ", "6342", " - ", "BAD DEBT")</f>
        <v xml:space="preserve">          6342 - BAD DEBT</v>
      </c>
      <c r="C141" s="11"/>
      <c r="D141" s="7"/>
      <c r="E141" s="2"/>
      <c r="F141" s="6">
        <f t="shared" si="33"/>
        <v>0</v>
      </c>
      <c r="G141" s="2"/>
      <c r="H141" s="7">
        <v>50</v>
      </c>
      <c r="I141" s="2"/>
      <c r="J141" s="6">
        <f t="shared" si="34"/>
        <v>1.3481340476646274E-4</v>
      </c>
      <c r="K141" s="2"/>
      <c r="L141" s="7">
        <f t="shared" si="35"/>
        <v>-50</v>
      </c>
      <c r="M141" s="2"/>
      <c r="N141" s="6">
        <f t="shared" si="36"/>
        <v>-1</v>
      </c>
      <c r="O141" s="11"/>
      <c r="P141" s="7"/>
      <c r="Q141" s="2"/>
      <c r="R141" s="6">
        <f t="shared" si="37"/>
        <v>0</v>
      </c>
      <c r="S141" s="2"/>
      <c r="T141" s="7">
        <v>300</v>
      </c>
      <c r="U141" s="2"/>
      <c r="V141" s="6">
        <f t="shared" si="38"/>
        <v>6.3674191894912111E-5</v>
      </c>
      <c r="W141" s="2"/>
      <c r="X141" s="7">
        <f t="shared" si="39"/>
        <v>-300</v>
      </c>
      <c r="Y141" s="2"/>
      <c r="Z141" s="6">
        <f t="shared" si="40"/>
        <v>-1</v>
      </c>
    </row>
    <row r="142" spans="1:26" s="28" customFormat="1" outlineLevel="1" collapsed="1" x14ac:dyDescent="0.25">
      <c r="A142" s="27"/>
      <c r="B142" s="14" t="str">
        <f>CONCATENATE("     ","Bank/card Fees                                    ")</f>
        <v xml:space="preserve">     Bank/card Fees                                    </v>
      </c>
      <c r="C142" s="14"/>
      <c r="D142" s="1">
        <f>SUM(OSRRefD22_4x_0)</f>
        <v>5214.3999999999996</v>
      </c>
      <c r="E142" s="1"/>
      <c r="F142" s="5">
        <f t="shared" ref="F142:F146" si="41">IF(D$12=0,0,D142/D$12)</f>
        <v>2.2318885267900674E-2</v>
      </c>
      <c r="G142" s="1"/>
      <c r="H142" s="1">
        <f>SUM(OSRRefH22_4x_0)</f>
        <v>31650</v>
      </c>
      <c r="I142" s="1"/>
      <c r="J142" s="5">
        <f t="shared" ref="J142:J146" si="42">IF(H$12=0,0,H142/H$12)</f>
        <v>8.5336885217170907E-2</v>
      </c>
      <c r="K142" s="1"/>
      <c r="L142" s="1">
        <f t="shared" ref="L142:L146" si="43">+D142-H142</f>
        <v>-26435.599999999999</v>
      </c>
      <c r="M142" s="1"/>
      <c r="N142" s="5">
        <f t="shared" ref="N142:N146" si="44">IF(H142=0,0,L142/H142)</f>
        <v>-0.83524802527646125</v>
      </c>
      <c r="O142" s="14"/>
      <c r="P142" s="1">
        <f>SUM(OSRRefP22_4x_0)</f>
        <v>46796.780000000006</v>
      </c>
      <c r="Q142" s="1"/>
      <c r="R142" s="5">
        <f t="shared" ref="R142:R146" si="45">IF(P$12=0,0,P142/P$12)</f>
        <v>1.7341038234780809E-2</v>
      </c>
      <c r="S142" s="1"/>
      <c r="T142" s="1">
        <f>SUM(OSRRefT22_4x_0)</f>
        <v>121293</v>
      </c>
      <c r="U142" s="1"/>
      <c r="V142" s="5">
        <f t="shared" ref="V142:V146" si="46">IF(T$12=0,0,T142/T$12)</f>
        <v>2.5744112525031917E-2</v>
      </c>
      <c r="W142" s="1"/>
      <c r="X142" s="1">
        <f t="shared" ref="X142:X146" si="47">+P142-T142</f>
        <v>-74496.22</v>
      </c>
      <c r="Y142" s="1"/>
      <c r="Z142" s="5">
        <f t="shared" ref="Z142:Z146" si="48">IF(T142=0,0,X142/T142)</f>
        <v>-0.61418400072551593</v>
      </c>
    </row>
    <row r="143" spans="1:26" s="24" customFormat="1" hidden="1" outlineLevel="2" x14ac:dyDescent="0.25">
      <c r="A143" s="29"/>
      <c r="B143" s="11" t="str">
        <f>CONCATENATE("          ", "6381", " - ", "BANK/CREDIT CARD FEES")</f>
        <v xml:space="preserve">          6381 - BANK/CREDIT CARD FEES</v>
      </c>
      <c r="C143" s="11"/>
      <c r="D143" s="7">
        <v>5214.3999999999996</v>
      </c>
      <c r="E143" s="2"/>
      <c r="F143" s="6">
        <f t="shared" si="41"/>
        <v>2.2318885267900674E-2</v>
      </c>
      <c r="G143" s="2"/>
      <c r="H143" s="7">
        <v>31650</v>
      </c>
      <c r="I143" s="2"/>
      <c r="J143" s="6">
        <f t="shared" si="42"/>
        <v>8.5336885217170907E-2</v>
      </c>
      <c r="K143" s="2"/>
      <c r="L143" s="7">
        <f t="shared" si="43"/>
        <v>-26435.599999999999</v>
      </c>
      <c r="M143" s="2"/>
      <c r="N143" s="6">
        <f t="shared" si="44"/>
        <v>-0.83524802527646125</v>
      </c>
      <c r="O143" s="11"/>
      <c r="P143" s="7">
        <v>46796.780000000006</v>
      </c>
      <c r="Q143" s="2"/>
      <c r="R143" s="6">
        <f t="shared" si="45"/>
        <v>1.7341038234780809E-2</v>
      </c>
      <c r="S143" s="2"/>
      <c r="T143" s="7">
        <v>121293</v>
      </c>
      <c r="U143" s="2"/>
      <c r="V143" s="6">
        <f t="shared" si="46"/>
        <v>2.5744112525031917E-2</v>
      </c>
      <c r="W143" s="2"/>
      <c r="X143" s="7">
        <f t="shared" si="47"/>
        <v>-74496.22</v>
      </c>
      <c r="Y143" s="2"/>
      <c r="Z143" s="6">
        <f t="shared" si="48"/>
        <v>-0.61418400072551593</v>
      </c>
    </row>
    <row r="144" spans="1:26" s="28" customFormat="1" outlineLevel="1" collapsed="1" x14ac:dyDescent="0.25">
      <c r="A144" s="27"/>
      <c r="B144" s="14" t="str">
        <f>CONCATENATE("     ","Depreciation                                      ")</f>
        <v xml:space="preserve">     Depreciation                                      </v>
      </c>
      <c r="C144" s="14"/>
      <c r="D144" s="1">
        <f>SUM(OSRRefD22_5x_0)</f>
        <v>30735.85</v>
      </c>
      <c r="E144" s="1"/>
      <c r="F144" s="5">
        <f t="shared" si="41"/>
        <v>0.13155682528409882</v>
      </c>
      <c r="G144" s="1"/>
      <c r="H144" s="1">
        <f>SUM(OSRRefH22_5x_0)</f>
        <v>30294</v>
      </c>
      <c r="I144" s="1"/>
      <c r="J144" s="5">
        <f t="shared" si="42"/>
        <v>8.1680745679904437E-2</v>
      </c>
      <c r="K144" s="1"/>
      <c r="L144" s="1">
        <f t="shared" si="43"/>
        <v>441.84999999999854</v>
      </c>
      <c r="M144" s="1"/>
      <c r="N144" s="5">
        <f t="shared" si="44"/>
        <v>1.4585396448141498E-2</v>
      </c>
      <c r="O144" s="14"/>
      <c r="P144" s="1">
        <f>SUM(OSRRefP22_5x_0)</f>
        <v>184710.59</v>
      </c>
      <c r="Q144" s="1"/>
      <c r="R144" s="5">
        <f t="shared" si="45"/>
        <v>6.844644874196304E-2</v>
      </c>
      <c r="S144" s="1"/>
      <c r="T144" s="1">
        <f>SUM(OSRRefT22_5x_0)</f>
        <v>182772</v>
      </c>
      <c r="U144" s="1"/>
      <c r="V144" s="5">
        <f t="shared" si="46"/>
        <v>3.8792864670056257E-2</v>
      </c>
      <c r="W144" s="1"/>
      <c r="X144" s="1">
        <f t="shared" si="47"/>
        <v>1938.5899999999965</v>
      </c>
      <c r="Y144" s="1"/>
      <c r="Z144" s="5">
        <f t="shared" si="48"/>
        <v>1.0606602761910996E-2</v>
      </c>
    </row>
    <row r="145" spans="1:26" s="24" customFormat="1" hidden="1" outlineLevel="2" x14ac:dyDescent="0.25">
      <c r="A145" s="29"/>
      <c r="B145" s="11" t="str">
        <f>CONCATENATE("          ", "6321", " - ", "BUILDING DEPRECIATION")</f>
        <v xml:space="preserve">          6321 - BUILDING DEPRECIATION</v>
      </c>
      <c r="C145" s="11"/>
      <c r="D145" s="7">
        <v>16396.52</v>
      </c>
      <c r="E145" s="2"/>
      <c r="F145" s="6">
        <f t="shared" si="41"/>
        <v>7.0181046462265806E-2</v>
      </c>
      <c r="G145" s="2"/>
      <c r="H145" s="7"/>
      <c r="I145" s="2"/>
      <c r="J145" s="6">
        <f t="shared" si="42"/>
        <v>0</v>
      </c>
      <c r="K145" s="2"/>
      <c r="L145" s="7">
        <f t="shared" si="43"/>
        <v>16396.52</v>
      </c>
      <c r="M145" s="2"/>
      <c r="N145" s="6">
        <f t="shared" si="44"/>
        <v>0</v>
      </c>
      <c r="O145" s="11"/>
      <c r="P145" s="7">
        <v>98379.12</v>
      </c>
      <c r="Q145" s="2"/>
      <c r="R145" s="6">
        <f t="shared" si="45"/>
        <v>3.6455415979990267E-2</v>
      </c>
      <c r="S145" s="2"/>
      <c r="T145" s="7"/>
      <c r="U145" s="2"/>
      <c r="V145" s="6">
        <f t="shared" si="46"/>
        <v>0</v>
      </c>
      <c r="W145" s="2"/>
      <c r="X145" s="7">
        <f t="shared" si="47"/>
        <v>98379.12</v>
      </c>
      <c r="Y145" s="2"/>
      <c r="Z145" s="6">
        <f t="shared" si="48"/>
        <v>0</v>
      </c>
    </row>
    <row r="146" spans="1:26" s="24" customFormat="1" hidden="1" outlineLevel="2" x14ac:dyDescent="0.25">
      <c r="A146" s="29"/>
      <c r="B146" s="11" t="str">
        <f>CONCATENATE("          ", "6322", " - ", "EQUIPMENT DEPRECIATION EXPENSE")</f>
        <v xml:space="preserve">          6322 - EQUIPMENT DEPRECIATION EXPENSE</v>
      </c>
      <c r="C146" s="11"/>
      <c r="D146" s="7">
        <v>14339.33</v>
      </c>
      <c r="E146" s="2"/>
      <c r="F146" s="6">
        <f t="shared" si="41"/>
        <v>6.1375778821833038E-2</v>
      </c>
      <c r="G146" s="2"/>
      <c r="H146" s="7">
        <v>30294</v>
      </c>
      <c r="I146" s="2"/>
      <c r="J146" s="6">
        <f t="shared" si="42"/>
        <v>8.1680745679904437E-2</v>
      </c>
      <c r="K146" s="2"/>
      <c r="L146" s="7">
        <f t="shared" si="43"/>
        <v>-15954.67</v>
      </c>
      <c r="M146" s="2"/>
      <c r="N146" s="6">
        <f t="shared" si="44"/>
        <v>-0.52666105499438831</v>
      </c>
      <c r="O146" s="11"/>
      <c r="P146" s="7">
        <v>86331.47</v>
      </c>
      <c r="Q146" s="2"/>
      <c r="R146" s="6">
        <f t="shared" si="45"/>
        <v>3.1991032761972772E-2</v>
      </c>
      <c r="S146" s="2"/>
      <c r="T146" s="7">
        <v>182772</v>
      </c>
      <c r="U146" s="2"/>
      <c r="V146" s="6">
        <f t="shared" si="46"/>
        <v>3.8792864670056257E-2</v>
      </c>
      <c r="W146" s="2"/>
      <c r="X146" s="7">
        <f t="shared" si="47"/>
        <v>-96440.53</v>
      </c>
      <c r="Y146" s="2"/>
      <c r="Z146" s="6">
        <f t="shared" si="48"/>
        <v>-0.52765483772131394</v>
      </c>
    </row>
    <row r="147" spans="1:26" s="28" customFormat="1" outlineLevel="1" collapsed="1" x14ac:dyDescent="0.25">
      <c r="A147" s="27"/>
      <c r="B147" s="14" t="str">
        <f>CONCATENATE("     ","Discounts and Markdowns                           ")</f>
        <v xml:space="preserve">     Discounts and Markdowns                           </v>
      </c>
      <c r="C147" s="14"/>
      <c r="D147" s="1">
        <f>SUM(OSRRefD22_6x_0)</f>
        <v>0</v>
      </c>
      <c r="E147" s="1"/>
      <c r="F147" s="5">
        <f t="shared" ref="F147:F149" si="49">IF(D$12=0,0,D147/D$12)</f>
        <v>0</v>
      </c>
      <c r="G147" s="1"/>
      <c r="H147" s="1">
        <f>SUM(OSRRefH22_6x_0)</f>
        <v>24697</v>
      </c>
      <c r="I147" s="1"/>
      <c r="J147" s="5">
        <f t="shared" ref="J147:J149" si="50">IF(H$12=0,0,H147/H$12)</f>
        <v>6.6589733150346608E-2</v>
      </c>
      <c r="K147" s="1"/>
      <c r="L147" s="1">
        <f t="shared" ref="L147:L149" si="51">+D147-H147</f>
        <v>-24697</v>
      </c>
      <c r="M147" s="1"/>
      <c r="N147" s="5">
        <f t="shared" ref="N147:N149" si="52">IF(H147=0,0,L147/H147)</f>
        <v>-1</v>
      </c>
      <c r="O147" s="14"/>
      <c r="P147" s="1">
        <f>SUM(OSRRefP22_6x_0)</f>
        <v>0</v>
      </c>
      <c r="Q147" s="1"/>
      <c r="R147" s="5">
        <f t="shared" ref="R147:R149" si="53">IF(P$12=0,0,P147/P$12)</f>
        <v>0</v>
      </c>
      <c r="S147" s="1"/>
      <c r="T147" s="1">
        <f>SUM(OSRRefT22_6x_0)</f>
        <v>159823</v>
      </c>
      <c r="U147" s="1"/>
      <c r="V147" s="5">
        <f t="shared" ref="V147:V149" si="54">IF(T$12=0,0,T147/T$12)</f>
        <v>3.3922001237401793E-2</v>
      </c>
      <c r="W147" s="1"/>
      <c r="X147" s="1">
        <f t="shared" ref="X147:X149" si="55">+P147-T147</f>
        <v>-159823</v>
      </c>
      <c r="Y147" s="1"/>
      <c r="Z147" s="5">
        <f t="shared" ref="Z147:Z149" si="56">IF(T147=0,0,X147/T147)</f>
        <v>-1</v>
      </c>
    </row>
    <row r="148" spans="1:26" s="24" customFormat="1" hidden="1" outlineLevel="2" x14ac:dyDescent="0.25">
      <c r="A148" s="29"/>
      <c r="B148" s="11" t="str">
        <f>CONCATENATE("          ", "6382", " - ", "DISCOUNTS/MARK DOWNS")</f>
        <v xml:space="preserve">          6382 - DISCOUNTS/MARK DOWNS</v>
      </c>
      <c r="C148" s="11"/>
      <c r="D148" s="7"/>
      <c r="E148" s="2"/>
      <c r="F148" s="6">
        <f t="shared" si="49"/>
        <v>0</v>
      </c>
      <c r="G148" s="2"/>
      <c r="H148" s="7">
        <v>24697</v>
      </c>
      <c r="I148" s="2"/>
      <c r="J148" s="6">
        <f t="shared" si="50"/>
        <v>6.6589733150346608E-2</v>
      </c>
      <c r="K148" s="2"/>
      <c r="L148" s="7">
        <f t="shared" si="51"/>
        <v>-24697</v>
      </c>
      <c r="M148" s="2"/>
      <c r="N148" s="6">
        <f t="shared" si="52"/>
        <v>-1</v>
      </c>
      <c r="O148" s="11"/>
      <c r="P148" s="7">
        <v>0</v>
      </c>
      <c r="Q148" s="2"/>
      <c r="R148" s="6">
        <f t="shared" si="53"/>
        <v>0</v>
      </c>
      <c r="S148" s="2"/>
      <c r="T148" s="7">
        <v>159823</v>
      </c>
      <c r="U148" s="2"/>
      <c r="V148" s="6">
        <f t="shared" si="54"/>
        <v>3.3922001237401793E-2</v>
      </c>
      <c r="W148" s="2"/>
      <c r="X148" s="7">
        <f t="shared" si="55"/>
        <v>-159823</v>
      </c>
      <c r="Y148" s="2"/>
      <c r="Z148" s="6">
        <f t="shared" si="56"/>
        <v>-1</v>
      </c>
    </row>
    <row r="149" spans="1:26" s="24" customFormat="1" hidden="1" outlineLevel="2" x14ac:dyDescent="0.25">
      <c r="A149" s="29"/>
      <c r="B149" s="11" t="str">
        <f>CONCATENATE("          ", "9175", " - ", "EARNED DISCOUNTS")</f>
        <v xml:space="preserve">          9175 - EARNED DISCOUNTS</v>
      </c>
      <c r="C149" s="11"/>
      <c r="D149" s="7"/>
      <c r="E149" s="2"/>
      <c r="F149" s="6">
        <f t="shared" si="49"/>
        <v>0</v>
      </c>
      <c r="G149" s="2"/>
      <c r="H149" s="7"/>
      <c r="I149" s="2"/>
      <c r="J149" s="6">
        <f t="shared" si="50"/>
        <v>0</v>
      </c>
      <c r="K149" s="2"/>
      <c r="L149" s="7">
        <f t="shared" si="51"/>
        <v>0</v>
      </c>
      <c r="M149" s="2"/>
      <c r="N149" s="6">
        <f t="shared" si="52"/>
        <v>0</v>
      </c>
      <c r="O149" s="11"/>
      <c r="P149" s="7">
        <v>0</v>
      </c>
      <c r="Q149" s="2"/>
      <c r="R149" s="6">
        <f t="shared" si="53"/>
        <v>0</v>
      </c>
      <c r="S149" s="2"/>
      <c r="T149" s="7"/>
      <c r="U149" s="2"/>
      <c r="V149" s="6">
        <f t="shared" si="54"/>
        <v>0</v>
      </c>
      <c r="W149" s="2"/>
      <c r="X149" s="7">
        <f t="shared" si="55"/>
        <v>0</v>
      </c>
      <c r="Y149" s="2"/>
      <c r="Z149" s="6">
        <f t="shared" si="56"/>
        <v>0</v>
      </c>
    </row>
    <row r="150" spans="1:26" s="28" customFormat="1" outlineLevel="1" collapsed="1" x14ac:dyDescent="0.25">
      <c r="A150" s="27"/>
      <c r="B150" s="14" t="str">
        <f>CONCATENATE("     ","Donations                                         ")</f>
        <v xml:space="preserve">     Donations                                         </v>
      </c>
      <c r="C150" s="14"/>
      <c r="D150" s="1">
        <f>SUM(OSRRefD22_7x_0)</f>
        <v>0</v>
      </c>
      <c r="E150" s="1"/>
      <c r="F150" s="5">
        <f t="shared" ref="F150:F152" si="57">IF(D$12=0,0,D150/D$12)</f>
        <v>0</v>
      </c>
      <c r="G150" s="1"/>
      <c r="H150" s="1">
        <f>SUM(OSRRefH22_7x_0)</f>
        <v>1000</v>
      </c>
      <c r="I150" s="1"/>
      <c r="J150" s="5">
        <f t="shared" ref="J150:J152" si="58">IF(H$12=0,0,H150/H$12)</f>
        <v>2.6962680953292548E-3</v>
      </c>
      <c r="K150" s="1"/>
      <c r="L150" s="1">
        <f t="shared" ref="L150:L152" si="59">+D150-H150</f>
        <v>-1000</v>
      </c>
      <c r="M150" s="1"/>
      <c r="N150" s="5">
        <f t="shared" ref="N150:N152" si="60">IF(H150=0,0,L150/H150)</f>
        <v>-1</v>
      </c>
      <c r="O150" s="14"/>
      <c r="P150" s="1">
        <f>SUM(OSRRefP22_7x_0)</f>
        <v>0</v>
      </c>
      <c r="Q150" s="1"/>
      <c r="R150" s="5">
        <f t="shared" ref="R150:R152" si="61">IF(P$12=0,0,P150/P$12)</f>
        <v>0</v>
      </c>
      <c r="S150" s="1"/>
      <c r="T150" s="1">
        <f>SUM(OSRRefT22_7x_0)</f>
        <v>6000</v>
      </c>
      <c r="U150" s="1"/>
      <c r="V150" s="5">
        <f t="shared" ref="V150:V152" si="62">IF(T$12=0,0,T150/T$12)</f>
        <v>1.2734838378982423E-3</v>
      </c>
      <c r="W150" s="1"/>
      <c r="X150" s="1">
        <f t="shared" ref="X150:X152" si="63">+P150-T150</f>
        <v>-6000</v>
      </c>
      <c r="Y150" s="1"/>
      <c r="Z150" s="5">
        <f t="shared" ref="Z150:Z152" si="64">IF(T150=0,0,X150/T150)</f>
        <v>-1</v>
      </c>
    </row>
    <row r="151" spans="1:26" s="24" customFormat="1" hidden="1" outlineLevel="2" x14ac:dyDescent="0.25">
      <c r="A151" s="29"/>
      <c r="B151" s="11" t="str">
        <f>CONCATENATE("          ", "6395", " - ", "DONATION-OFF CAMPUS")</f>
        <v xml:space="preserve">          6395 - DONATION-OFF CAMPUS</v>
      </c>
      <c r="C151" s="11"/>
      <c r="D151" s="7"/>
      <c r="E151" s="2"/>
      <c r="F151" s="6">
        <f t="shared" si="57"/>
        <v>0</v>
      </c>
      <c r="G151" s="2"/>
      <c r="H151" s="7"/>
      <c r="I151" s="2"/>
      <c r="J151" s="6">
        <f t="shared" si="58"/>
        <v>0</v>
      </c>
      <c r="K151" s="2"/>
      <c r="L151" s="7">
        <f t="shared" si="59"/>
        <v>0</v>
      </c>
      <c r="M151" s="2"/>
      <c r="N151" s="6">
        <f t="shared" si="60"/>
        <v>0</v>
      </c>
      <c r="O151" s="11"/>
      <c r="P151" s="7"/>
      <c r="Q151" s="2"/>
      <c r="R151" s="6">
        <f t="shared" si="61"/>
        <v>0</v>
      </c>
      <c r="S151" s="2"/>
      <c r="T151" s="7">
        <v>0</v>
      </c>
      <c r="U151" s="2"/>
      <c r="V151" s="6">
        <f t="shared" si="62"/>
        <v>0</v>
      </c>
      <c r="W151" s="2"/>
      <c r="X151" s="7">
        <f t="shared" si="63"/>
        <v>0</v>
      </c>
      <c r="Y151" s="2"/>
      <c r="Z151" s="6">
        <f t="shared" si="64"/>
        <v>0</v>
      </c>
    </row>
    <row r="152" spans="1:26" s="24" customFormat="1" hidden="1" outlineLevel="2" x14ac:dyDescent="0.25">
      <c r="A152" s="29"/>
      <c r="B152" s="11" t="str">
        <f>CONCATENATE("          ", "6399", " - ", "DONATION-ON CAMPUS")</f>
        <v xml:space="preserve">          6399 - DONATION-ON CAMPUS</v>
      </c>
      <c r="C152" s="11"/>
      <c r="D152" s="7"/>
      <c r="E152" s="2"/>
      <c r="F152" s="6">
        <f t="shared" si="57"/>
        <v>0</v>
      </c>
      <c r="G152" s="2"/>
      <c r="H152" s="7">
        <v>1000</v>
      </c>
      <c r="I152" s="2"/>
      <c r="J152" s="6">
        <f t="shared" si="58"/>
        <v>2.6962680953292548E-3</v>
      </c>
      <c r="K152" s="2"/>
      <c r="L152" s="7">
        <f t="shared" si="59"/>
        <v>-1000</v>
      </c>
      <c r="M152" s="2"/>
      <c r="N152" s="6">
        <f t="shared" si="60"/>
        <v>-1</v>
      </c>
      <c r="O152" s="11"/>
      <c r="P152" s="7"/>
      <c r="Q152" s="2"/>
      <c r="R152" s="6">
        <f t="shared" si="61"/>
        <v>0</v>
      </c>
      <c r="S152" s="2"/>
      <c r="T152" s="7">
        <v>6000</v>
      </c>
      <c r="U152" s="2"/>
      <c r="V152" s="6">
        <f t="shared" si="62"/>
        <v>1.2734838378982423E-3</v>
      </c>
      <c r="W152" s="2"/>
      <c r="X152" s="7">
        <f t="shared" si="63"/>
        <v>-6000</v>
      </c>
      <c r="Y152" s="2"/>
      <c r="Z152" s="6">
        <f t="shared" si="64"/>
        <v>-1</v>
      </c>
    </row>
    <row r="153" spans="1:26" s="28" customFormat="1" outlineLevel="1" collapsed="1" x14ac:dyDescent="0.25">
      <c r="A153" s="27"/>
      <c r="B153" s="14" t="str">
        <f>CONCATENATE("     ","Employees' Appreciation                           ")</f>
        <v xml:space="preserve">     Employees' Appreciation                           </v>
      </c>
      <c r="C153" s="14"/>
      <c r="D153" s="1">
        <f>SUM(OSRRefD22_8x_0)</f>
        <v>0</v>
      </c>
      <c r="E153" s="1"/>
      <c r="F153" s="5">
        <f t="shared" ref="F153:F159" si="65">IF(D$12=0,0,D153/D$12)</f>
        <v>0</v>
      </c>
      <c r="G153" s="1"/>
      <c r="H153" s="1">
        <f>SUM(OSRRefH22_8x_0)</f>
        <v>400</v>
      </c>
      <c r="I153" s="1"/>
      <c r="J153" s="5">
        <f t="shared" ref="J153:J159" si="66">IF(H$12=0,0,H153/H$12)</f>
        <v>1.0785072381317019E-3</v>
      </c>
      <c r="K153" s="1"/>
      <c r="L153" s="1">
        <f t="shared" ref="L153:L159" si="67">+D153-H153</f>
        <v>-400</v>
      </c>
      <c r="M153" s="1"/>
      <c r="N153" s="5">
        <f t="shared" ref="N153:N159" si="68">IF(H153=0,0,L153/H153)</f>
        <v>-1</v>
      </c>
      <c r="O153" s="14"/>
      <c r="P153" s="1">
        <f>SUM(OSRRefP22_8x_0)</f>
        <v>107.7</v>
      </c>
      <c r="Q153" s="1"/>
      <c r="R153" s="5">
        <f t="shared" ref="R153:R159" si="69">IF(P$12=0,0,P153/P$12)</f>
        <v>3.9909365941115884E-5</v>
      </c>
      <c r="S153" s="1"/>
      <c r="T153" s="1">
        <f>SUM(OSRRefT22_8x_0)</f>
        <v>2450</v>
      </c>
      <c r="U153" s="1"/>
      <c r="V153" s="5">
        <f t="shared" ref="V153:V159" si="70">IF(T$12=0,0,T153/T$12)</f>
        <v>5.2000590047511562E-4</v>
      </c>
      <c r="W153" s="1"/>
      <c r="X153" s="1">
        <f t="shared" ref="X153:X159" si="71">+P153-T153</f>
        <v>-2342.3000000000002</v>
      </c>
      <c r="Y153" s="1"/>
      <c r="Z153" s="5">
        <f t="shared" ref="Z153:Z159" si="72">IF(T153=0,0,X153/T153)</f>
        <v>-0.95604081632653071</v>
      </c>
    </row>
    <row r="154" spans="1:26" s="24" customFormat="1" hidden="1" outlineLevel="2" x14ac:dyDescent="0.25">
      <c r="A154" s="29"/>
      <c r="B154" s="11" t="str">
        <f>CONCATENATE("          ", "6277", " - ", "EMPLOYEE APPRECIATION")</f>
        <v xml:space="preserve">          6277 - EMPLOYEE APPRECIATION</v>
      </c>
      <c r="C154" s="11"/>
      <c r="D154" s="7"/>
      <c r="E154" s="2"/>
      <c r="F154" s="6">
        <f t="shared" si="65"/>
        <v>0</v>
      </c>
      <c r="G154" s="2"/>
      <c r="H154" s="7">
        <v>400</v>
      </c>
      <c r="I154" s="2"/>
      <c r="J154" s="6">
        <f t="shared" si="66"/>
        <v>1.0785072381317019E-3</v>
      </c>
      <c r="K154" s="2"/>
      <c r="L154" s="7">
        <f t="shared" si="67"/>
        <v>-400</v>
      </c>
      <c r="M154" s="2"/>
      <c r="N154" s="6">
        <f t="shared" si="68"/>
        <v>-1</v>
      </c>
      <c r="O154" s="11"/>
      <c r="P154" s="7">
        <v>107.7</v>
      </c>
      <c r="Q154" s="2"/>
      <c r="R154" s="6">
        <f t="shared" si="69"/>
        <v>3.9909365941115884E-5</v>
      </c>
      <c r="S154" s="2"/>
      <c r="T154" s="7">
        <v>2450</v>
      </c>
      <c r="U154" s="2"/>
      <c r="V154" s="6">
        <f t="shared" si="70"/>
        <v>5.2000590047511562E-4</v>
      </c>
      <c r="W154" s="2"/>
      <c r="X154" s="7">
        <f t="shared" si="71"/>
        <v>-2342.3000000000002</v>
      </c>
      <c r="Y154" s="2"/>
      <c r="Z154" s="6">
        <f t="shared" si="72"/>
        <v>-0.95604081632653071</v>
      </c>
    </row>
    <row r="155" spans="1:26" s="28" customFormat="1" outlineLevel="1" collapsed="1" x14ac:dyDescent="0.25">
      <c r="A155" s="27"/>
      <c r="B155" s="14" t="str">
        <f>CONCATENATE("     ","Equipment Rental                                  ")</f>
        <v xml:space="preserve">     Equipment Rental                                  </v>
      </c>
      <c r="C155" s="14"/>
      <c r="D155" s="1">
        <f>SUM(OSRRefD22_9x_0)</f>
        <v>1296.9000000000001</v>
      </c>
      <c r="E155" s="1"/>
      <c r="F155" s="5">
        <f t="shared" si="65"/>
        <v>5.5510437066470519E-3</v>
      </c>
      <c r="G155" s="1"/>
      <c r="H155" s="1">
        <f>SUM(OSRRefH22_9x_0)</f>
        <v>3006</v>
      </c>
      <c r="I155" s="1"/>
      <c r="J155" s="5">
        <f t="shared" si="66"/>
        <v>8.1049818945597395E-3</v>
      </c>
      <c r="K155" s="1"/>
      <c r="L155" s="1">
        <f t="shared" si="67"/>
        <v>-1709.1</v>
      </c>
      <c r="M155" s="1"/>
      <c r="N155" s="5">
        <f t="shared" si="68"/>
        <v>-0.56856287425149699</v>
      </c>
      <c r="O155" s="14"/>
      <c r="P155" s="1">
        <f>SUM(OSRRefP22_9x_0)</f>
        <v>8976.74</v>
      </c>
      <c r="Q155" s="1"/>
      <c r="R155" s="5">
        <f t="shared" si="69"/>
        <v>3.3264252703644622E-3</v>
      </c>
      <c r="S155" s="1"/>
      <c r="T155" s="1">
        <f>SUM(OSRRefT22_9x_0)</f>
        <v>18036</v>
      </c>
      <c r="U155" s="1"/>
      <c r="V155" s="5">
        <f t="shared" si="70"/>
        <v>3.8280924167221164E-3</v>
      </c>
      <c r="W155" s="1"/>
      <c r="X155" s="1">
        <f t="shared" si="71"/>
        <v>-9059.26</v>
      </c>
      <c r="Y155" s="1"/>
      <c r="Z155" s="5">
        <f t="shared" si="72"/>
        <v>-0.50228764692836547</v>
      </c>
    </row>
    <row r="156" spans="1:26" s="24" customFormat="1" hidden="1" outlineLevel="2" x14ac:dyDescent="0.25">
      <c r="A156" s="29"/>
      <c r="B156" s="11" t="str">
        <f>CONCATENATE("          ", "6351", " - ", "EQUIPMENT RENTAL")</f>
        <v xml:space="preserve">          6351 - EQUIPMENT RENTAL</v>
      </c>
      <c r="C156" s="11"/>
      <c r="D156" s="7">
        <v>1296.9000000000001</v>
      </c>
      <c r="E156" s="2"/>
      <c r="F156" s="6">
        <f t="shared" si="65"/>
        <v>5.5510437066470519E-3</v>
      </c>
      <c r="G156" s="2"/>
      <c r="H156" s="7">
        <v>3006</v>
      </c>
      <c r="I156" s="2"/>
      <c r="J156" s="6">
        <f t="shared" si="66"/>
        <v>8.1049818945597395E-3</v>
      </c>
      <c r="K156" s="2"/>
      <c r="L156" s="7">
        <f t="shared" si="67"/>
        <v>-1709.1</v>
      </c>
      <c r="M156" s="2"/>
      <c r="N156" s="6">
        <f t="shared" si="68"/>
        <v>-0.56856287425149699</v>
      </c>
      <c r="O156" s="11"/>
      <c r="P156" s="7">
        <v>8976.74</v>
      </c>
      <c r="Q156" s="2"/>
      <c r="R156" s="6">
        <f t="shared" si="69"/>
        <v>3.3264252703644622E-3</v>
      </c>
      <c r="S156" s="2"/>
      <c r="T156" s="7">
        <v>18036</v>
      </c>
      <c r="U156" s="2"/>
      <c r="V156" s="6">
        <f t="shared" si="70"/>
        <v>3.8280924167221164E-3</v>
      </c>
      <c r="W156" s="2"/>
      <c r="X156" s="7">
        <f t="shared" si="71"/>
        <v>-9059.26</v>
      </c>
      <c r="Y156" s="2"/>
      <c r="Z156" s="6">
        <f t="shared" si="72"/>
        <v>-0.50228764692836547</v>
      </c>
    </row>
    <row r="157" spans="1:26" s="28" customFormat="1" outlineLevel="1" collapsed="1" x14ac:dyDescent="0.25">
      <c r="A157" s="27"/>
      <c r="B157" s="14" t="str">
        <f>CONCATENATE("     ","Freight out/Postage                               ")</f>
        <v xml:space="preserve">     Freight out/Postage                               </v>
      </c>
      <c r="C157" s="14"/>
      <c r="D157" s="1">
        <f>SUM(OSRRefD22_10x_0)</f>
        <v>4305.92</v>
      </c>
      <c r="E157" s="1"/>
      <c r="F157" s="5">
        <f t="shared" si="65"/>
        <v>1.8430372517021877E-2</v>
      </c>
      <c r="G157" s="1"/>
      <c r="H157" s="1">
        <f>SUM(OSRRefH22_10x_0)</f>
        <v>8578</v>
      </c>
      <c r="I157" s="1"/>
      <c r="J157" s="5">
        <f t="shared" si="66"/>
        <v>2.3128587721734348E-2</v>
      </c>
      <c r="K157" s="1"/>
      <c r="L157" s="1">
        <f t="shared" si="67"/>
        <v>-4272.08</v>
      </c>
      <c r="M157" s="1"/>
      <c r="N157" s="5">
        <f t="shared" si="68"/>
        <v>-0.49802751224061553</v>
      </c>
      <c r="O157" s="14"/>
      <c r="P157" s="1">
        <f>SUM(OSRRefP22_10x_0)</f>
        <v>-15048.86</v>
      </c>
      <c r="Q157" s="1"/>
      <c r="R157" s="5">
        <f t="shared" si="69"/>
        <v>-5.5765130987615709E-3</v>
      </c>
      <c r="S157" s="1"/>
      <c r="T157" s="1">
        <f>SUM(OSRRefT22_10x_0)</f>
        <v>52075</v>
      </c>
      <c r="U157" s="1"/>
      <c r="V157" s="5">
        <f t="shared" si="70"/>
        <v>1.1052778476425161E-2</v>
      </c>
      <c r="W157" s="1"/>
      <c r="X157" s="1">
        <f t="shared" si="71"/>
        <v>-67123.86</v>
      </c>
      <c r="Y157" s="1"/>
      <c r="Z157" s="5">
        <f t="shared" si="72"/>
        <v>-1.2889843494959194</v>
      </c>
    </row>
    <row r="158" spans="1:26" s="24" customFormat="1" hidden="1" outlineLevel="2" x14ac:dyDescent="0.25">
      <c r="A158" s="29"/>
      <c r="B158" s="11" t="str">
        <f>CONCATENATE("          ", "6305", " - ", "FREIGHT OUT")</f>
        <v xml:space="preserve">          6305 - FREIGHT OUT</v>
      </c>
      <c r="C158" s="11"/>
      <c r="D158" s="7">
        <v>13712.49</v>
      </c>
      <c r="E158" s="2"/>
      <c r="F158" s="6">
        <f t="shared" si="65"/>
        <v>5.8692752962418555E-2</v>
      </c>
      <c r="G158" s="2"/>
      <c r="H158" s="7">
        <v>5058</v>
      </c>
      <c r="I158" s="2"/>
      <c r="J158" s="6">
        <f t="shared" si="66"/>
        <v>1.3637724026175371E-2</v>
      </c>
      <c r="K158" s="2"/>
      <c r="L158" s="7">
        <f t="shared" si="67"/>
        <v>8654.49</v>
      </c>
      <c r="M158" s="2"/>
      <c r="N158" s="6">
        <f t="shared" si="68"/>
        <v>1.7110498220640569</v>
      </c>
      <c r="O158" s="11"/>
      <c r="P158" s="7">
        <v>116773.51</v>
      </c>
      <c r="Q158" s="2"/>
      <c r="R158" s="6">
        <f t="shared" si="69"/>
        <v>4.327165035114721E-2</v>
      </c>
      <c r="S158" s="2"/>
      <c r="T158" s="7">
        <v>32705</v>
      </c>
      <c r="U158" s="2"/>
      <c r="V158" s="6">
        <f t="shared" si="70"/>
        <v>6.9415481530770021E-3</v>
      </c>
      <c r="W158" s="2"/>
      <c r="X158" s="7">
        <f t="shared" si="71"/>
        <v>84068.51</v>
      </c>
      <c r="Y158" s="2"/>
      <c r="Z158" s="6">
        <f t="shared" si="72"/>
        <v>2.5705094022320742</v>
      </c>
    </row>
    <row r="159" spans="1:26" s="24" customFormat="1" hidden="1" outlineLevel="2" x14ac:dyDescent="0.25">
      <c r="A159" s="29"/>
      <c r="B159" s="11" t="str">
        <f>CONCATENATE("          ", "6307", " - ", "POSTAGE")</f>
        <v xml:space="preserve">          6307 - POSTAGE</v>
      </c>
      <c r="C159" s="11"/>
      <c r="D159" s="7">
        <v>-9406.57</v>
      </c>
      <c r="E159" s="2"/>
      <c r="F159" s="6">
        <f t="shared" si="65"/>
        <v>-4.0262380445396678E-2</v>
      </c>
      <c r="G159" s="2"/>
      <c r="H159" s="7">
        <v>3520</v>
      </c>
      <c r="I159" s="2"/>
      <c r="J159" s="6">
        <f t="shared" si="66"/>
        <v>9.4908636955589772E-3</v>
      </c>
      <c r="K159" s="2"/>
      <c r="L159" s="7">
        <f t="shared" si="67"/>
        <v>-12926.57</v>
      </c>
      <c r="M159" s="2"/>
      <c r="N159" s="6">
        <f t="shared" si="68"/>
        <v>-3.6723210227272727</v>
      </c>
      <c r="O159" s="11"/>
      <c r="P159" s="7">
        <v>-131822.37</v>
      </c>
      <c r="Q159" s="2"/>
      <c r="R159" s="6">
        <f t="shared" si="69"/>
        <v>-4.8848163449908784E-2</v>
      </c>
      <c r="S159" s="2"/>
      <c r="T159" s="7">
        <v>19370</v>
      </c>
      <c r="U159" s="2"/>
      <c r="V159" s="6">
        <f t="shared" si="70"/>
        <v>4.1112303233481586E-3</v>
      </c>
      <c r="W159" s="2"/>
      <c r="X159" s="7">
        <f t="shared" si="71"/>
        <v>-151192.37</v>
      </c>
      <c r="Y159" s="2"/>
      <c r="Z159" s="6">
        <f t="shared" si="72"/>
        <v>-7.8054914816726892</v>
      </c>
    </row>
    <row r="160" spans="1:26" s="28" customFormat="1" outlineLevel="1" collapsed="1" x14ac:dyDescent="0.25">
      <c r="A160" s="27"/>
      <c r="B160" s="14" t="str">
        <f>CONCATENATE("     ","General                                           ")</f>
        <v xml:space="preserve">     General                                           </v>
      </c>
      <c r="C160" s="14"/>
      <c r="D160" s="1">
        <f>SUM(OSRRefD22_11x_0)</f>
        <v>1744.47</v>
      </c>
      <c r="E160" s="1"/>
      <c r="F160" s="5">
        <f t="shared" ref="F160:F163" si="73">IF(D$12=0,0,D160/D$12)</f>
        <v>7.4667508789687583E-3</v>
      </c>
      <c r="G160" s="1"/>
      <c r="H160" s="1">
        <f>SUM(OSRRefH22_11x_0)</f>
        <v>700</v>
      </c>
      <c r="I160" s="1"/>
      <c r="J160" s="5">
        <f t="shared" ref="J160:J163" si="74">IF(H$12=0,0,H160/H$12)</f>
        <v>1.8873876667304783E-3</v>
      </c>
      <c r="K160" s="1"/>
      <c r="L160" s="1">
        <f t="shared" ref="L160:L163" si="75">+D160-H160</f>
        <v>1044.47</v>
      </c>
      <c r="M160" s="1"/>
      <c r="N160" s="5">
        <f t="shared" ref="N160:N163" si="76">IF(H160=0,0,L160/H160)</f>
        <v>1.4921</v>
      </c>
      <c r="O160" s="14"/>
      <c r="P160" s="1">
        <f>SUM(OSRRefP22_11x_0)</f>
        <v>2290.37</v>
      </c>
      <c r="Q160" s="1"/>
      <c r="R160" s="5">
        <f t="shared" ref="R160:R163" si="77">IF(P$12=0,0,P160/P$12)</f>
        <v>8.4872065432268877E-4</v>
      </c>
      <c r="S160" s="1"/>
      <c r="T160" s="1">
        <f>SUM(OSRRefT22_11x_0)</f>
        <v>7075</v>
      </c>
      <c r="U160" s="1"/>
      <c r="V160" s="5">
        <f t="shared" ref="V160:V163" si="78">IF(T$12=0,0,T160/T$12)</f>
        <v>1.5016496921883441E-3</v>
      </c>
      <c r="W160" s="1"/>
      <c r="X160" s="1">
        <f t="shared" ref="X160:X163" si="79">+P160-T160</f>
        <v>-4784.63</v>
      </c>
      <c r="Y160" s="1"/>
      <c r="Z160" s="5">
        <f t="shared" ref="Z160:Z163" si="80">IF(T160=0,0,X160/T160)</f>
        <v>-0.67627279151943465</v>
      </c>
    </row>
    <row r="161" spans="1:26" s="24" customFormat="1" hidden="1" outlineLevel="2" x14ac:dyDescent="0.25">
      <c r="A161" s="29"/>
      <c r="B161" s="11" t="str">
        <f>CONCATENATE("          ", "6269", " - ", "ENTERTAINMENT")</f>
        <v xml:space="preserve">          6269 - ENTERTAINMENT</v>
      </c>
      <c r="C161" s="11"/>
      <c r="D161" s="7"/>
      <c r="E161" s="2"/>
      <c r="F161" s="6">
        <f t="shared" si="73"/>
        <v>0</v>
      </c>
      <c r="G161" s="2"/>
      <c r="H161" s="7">
        <v>0</v>
      </c>
      <c r="I161" s="2"/>
      <c r="J161" s="6">
        <f t="shared" si="74"/>
        <v>0</v>
      </c>
      <c r="K161" s="2"/>
      <c r="L161" s="7">
        <f t="shared" si="75"/>
        <v>0</v>
      </c>
      <c r="M161" s="2"/>
      <c r="N161" s="6">
        <f t="shared" si="76"/>
        <v>0</v>
      </c>
      <c r="O161" s="11"/>
      <c r="P161" s="7"/>
      <c r="Q161" s="2"/>
      <c r="R161" s="6">
        <f t="shared" si="77"/>
        <v>0</v>
      </c>
      <c r="S161" s="2"/>
      <c r="T161" s="7">
        <v>1375</v>
      </c>
      <c r="U161" s="2"/>
      <c r="V161" s="6">
        <f t="shared" si="78"/>
        <v>2.9184004618501385E-4</v>
      </c>
      <c r="W161" s="2"/>
      <c r="X161" s="7">
        <f t="shared" si="79"/>
        <v>-1375</v>
      </c>
      <c r="Y161" s="2"/>
      <c r="Z161" s="6">
        <f t="shared" si="80"/>
        <v>-1</v>
      </c>
    </row>
    <row r="162" spans="1:26" s="24" customFormat="1" hidden="1" outlineLevel="2" x14ac:dyDescent="0.25">
      <c r="A162" s="29"/>
      <c r="B162" s="11" t="str">
        <f>CONCATENATE("          ", "6276", " - ", "PROPERTY TAX")</f>
        <v xml:space="preserve">          6276 - PROPERTY TAX</v>
      </c>
      <c r="C162" s="11"/>
      <c r="D162" s="7"/>
      <c r="E162" s="2"/>
      <c r="F162" s="6">
        <f t="shared" si="73"/>
        <v>0</v>
      </c>
      <c r="G162" s="2"/>
      <c r="H162" s="7"/>
      <c r="I162" s="2"/>
      <c r="J162" s="6">
        <f t="shared" si="74"/>
        <v>0</v>
      </c>
      <c r="K162" s="2"/>
      <c r="L162" s="7">
        <f t="shared" si="75"/>
        <v>0</v>
      </c>
      <c r="M162" s="2"/>
      <c r="N162" s="6">
        <f t="shared" si="76"/>
        <v>0</v>
      </c>
      <c r="O162" s="11"/>
      <c r="P162" s="7"/>
      <c r="Q162" s="2"/>
      <c r="R162" s="6">
        <f t="shared" si="77"/>
        <v>0</v>
      </c>
      <c r="S162" s="2"/>
      <c r="T162" s="7">
        <v>150</v>
      </c>
      <c r="U162" s="2"/>
      <c r="V162" s="6">
        <f t="shared" si="78"/>
        <v>3.1837095947456056E-5</v>
      </c>
      <c r="W162" s="2"/>
      <c r="X162" s="7">
        <f t="shared" si="79"/>
        <v>-150</v>
      </c>
      <c r="Y162" s="2"/>
      <c r="Z162" s="6">
        <f t="shared" si="80"/>
        <v>-1</v>
      </c>
    </row>
    <row r="163" spans="1:26" s="24" customFormat="1" hidden="1" outlineLevel="2" x14ac:dyDescent="0.25">
      <c r="A163" s="29"/>
      <c r="B163" s="11" t="str">
        <f>CONCATENATE("          ", "6279", " - ", "GENERAL EXPENSE")</f>
        <v xml:space="preserve">          6279 - GENERAL EXPENSE</v>
      </c>
      <c r="C163" s="11"/>
      <c r="D163" s="7">
        <v>1744.47</v>
      </c>
      <c r="E163" s="2"/>
      <c r="F163" s="6">
        <f t="shared" si="73"/>
        <v>7.4667508789687583E-3</v>
      </c>
      <c r="G163" s="2"/>
      <c r="H163" s="7">
        <v>700</v>
      </c>
      <c r="I163" s="2"/>
      <c r="J163" s="6">
        <f t="shared" si="74"/>
        <v>1.8873876667304783E-3</v>
      </c>
      <c r="K163" s="2"/>
      <c r="L163" s="7">
        <f t="shared" si="75"/>
        <v>1044.47</v>
      </c>
      <c r="M163" s="2"/>
      <c r="N163" s="6">
        <f t="shared" si="76"/>
        <v>1.4921</v>
      </c>
      <c r="O163" s="11"/>
      <c r="P163" s="7">
        <v>2290.37</v>
      </c>
      <c r="Q163" s="2"/>
      <c r="R163" s="6">
        <f t="shared" si="77"/>
        <v>8.4872065432268877E-4</v>
      </c>
      <c r="S163" s="2"/>
      <c r="T163" s="7">
        <v>5550</v>
      </c>
      <c r="U163" s="2"/>
      <c r="V163" s="6">
        <f t="shared" si="78"/>
        <v>1.1779725500558741E-3</v>
      </c>
      <c r="W163" s="2"/>
      <c r="X163" s="7">
        <f t="shared" si="79"/>
        <v>-3259.63</v>
      </c>
      <c r="Y163" s="2"/>
      <c r="Z163" s="6">
        <f t="shared" si="80"/>
        <v>-0.58732072072072072</v>
      </c>
    </row>
    <row r="164" spans="1:26" s="28" customFormat="1" outlineLevel="1" collapsed="1" x14ac:dyDescent="0.25">
      <c r="A164" s="27"/>
      <c r="B164" s="14" t="str">
        <f>CONCATENATE("     ","Insurance                                         ")</f>
        <v xml:space="preserve">     Insurance                                         </v>
      </c>
      <c r="C164" s="14"/>
      <c r="D164" s="1">
        <f>SUM(OSRRefD22_12x_0)</f>
        <v>4044.74</v>
      </c>
      <c r="E164" s="1"/>
      <c r="F164" s="5">
        <f t="shared" ref="F164:F176" si="81">IF(D$12=0,0,D164/D$12)</f>
        <v>1.7312459343067001E-2</v>
      </c>
      <c r="G164" s="1"/>
      <c r="H164" s="1">
        <f>SUM(OSRRefH22_12x_0)</f>
        <v>4446</v>
      </c>
      <c r="I164" s="1"/>
      <c r="J164" s="5">
        <f t="shared" ref="J164:J176" si="82">IF(H$12=0,0,H164/H$12)</f>
        <v>1.1987607951833866E-2</v>
      </c>
      <c r="K164" s="1"/>
      <c r="L164" s="1">
        <f t="shared" ref="L164:L176" si="83">+D164-H164</f>
        <v>-401.26000000000022</v>
      </c>
      <c r="M164" s="1"/>
      <c r="N164" s="5">
        <f t="shared" ref="N164:N176" si="84">IF(H164=0,0,L164/H164)</f>
        <v>-9.0251911830859247E-2</v>
      </c>
      <c r="O164" s="14"/>
      <c r="P164" s="1">
        <f>SUM(OSRRefP22_12x_0)</f>
        <v>24268.44</v>
      </c>
      <c r="Q164" s="1"/>
      <c r="R164" s="5">
        <f t="shared" ref="R164:R176" si="85">IF(P$12=0,0,P164/P$12)</f>
        <v>8.9929252811514777E-3</v>
      </c>
      <c r="S164" s="1"/>
      <c r="T164" s="1">
        <f>SUM(OSRRefT22_12x_0)</f>
        <v>26676</v>
      </c>
      <c r="U164" s="1"/>
      <c r="V164" s="5">
        <f t="shared" ref="V164:V176" si="86">IF(T$12=0,0,T164/T$12)</f>
        <v>5.6619091432955852E-3</v>
      </c>
      <c r="W164" s="1"/>
      <c r="X164" s="1">
        <f t="shared" ref="X164:X176" si="87">+P164-T164</f>
        <v>-2407.5600000000013</v>
      </c>
      <c r="Y164" s="1"/>
      <c r="Z164" s="5">
        <f t="shared" ref="Z164:Z176" si="88">IF(T164=0,0,X164/T164)</f>
        <v>-9.0251911830859247E-2</v>
      </c>
    </row>
    <row r="165" spans="1:26" s="24" customFormat="1" hidden="1" outlineLevel="2" x14ac:dyDescent="0.25">
      <c r="A165" s="29"/>
      <c r="B165" s="11" t="str">
        <f>CONCATENATE("          ", "6314", " - ", "LIABILITY INSURANCE")</f>
        <v xml:space="preserve">          6314 - LIABILITY INSURANCE</v>
      </c>
      <c r="C165" s="11"/>
      <c r="D165" s="7">
        <v>4044.74</v>
      </c>
      <c r="E165" s="2"/>
      <c r="F165" s="6">
        <f t="shared" si="81"/>
        <v>1.7312459343067001E-2</v>
      </c>
      <c r="G165" s="2"/>
      <c r="H165" s="7">
        <v>4446</v>
      </c>
      <c r="I165" s="2"/>
      <c r="J165" s="6">
        <f t="shared" si="82"/>
        <v>1.1987607951833866E-2</v>
      </c>
      <c r="K165" s="2"/>
      <c r="L165" s="7">
        <f t="shared" si="83"/>
        <v>-401.26000000000022</v>
      </c>
      <c r="M165" s="2"/>
      <c r="N165" s="6">
        <f t="shared" si="84"/>
        <v>-9.0251911830859247E-2</v>
      </c>
      <c r="O165" s="11"/>
      <c r="P165" s="7">
        <v>24268.44</v>
      </c>
      <c r="Q165" s="2"/>
      <c r="R165" s="6">
        <f t="shared" si="85"/>
        <v>8.9929252811514777E-3</v>
      </c>
      <c r="S165" s="2"/>
      <c r="T165" s="7">
        <v>26676</v>
      </c>
      <c r="U165" s="2"/>
      <c r="V165" s="6">
        <f t="shared" si="86"/>
        <v>5.6619091432955852E-3</v>
      </c>
      <c r="W165" s="2"/>
      <c r="X165" s="7">
        <f t="shared" si="87"/>
        <v>-2407.5600000000013</v>
      </c>
      <c r="Y165" s="2"/>
      <c r="Z165" s="6">
        <f t="shared" si="88"/>
        <v>-9.0251911830859247E-2</v>
      </c>
    </row>
    <row r="166" spans="1:26" s="28" customFormat="1" outlineLevel="1" collapsed="1" x14ac:dyDescent="0.25">
      <c r="A166" s="27"/>
      <c r="B166" s="14" t="str">
        <f>CONCATENATE("     ","Inventory Adjustment                              ")</f>
        <v xml:space="preserve">     Inventory Adjustment                              </v>
      </c>
      <c r="C166" s="14"/>
      <c r="D166" s="1">
        <f>SUM(OSRRefD22_13x_0)</f>
        <v>7100</v>
      </c>
      <c r="E166" s="1"/>
      <c r="F166" s="5">
        <f t="shared" si="81"/>
        <v>3.0389706467109312E-2</v>
      </c>
      <c r="G166" s="1"/>
      <c r="H166" s="1">
        <f>SUM(OSRRefH22_13x_0)</f>
        <v>8100</v>
      </c>
      <c r="I166" s="1"/>
      <c r="J166" s="5">
        <f t="shared" si="82"/>
        <v>2.1839771572166964E-2</v>
      </c>
      <c r="K166" s="1"/>
      <c r="L166" s="1">
        <f t="shared" si="83"/>
        <v>-1000</v>
      </c>
      <c r="M166" s="1"/>
      <c r="N166" s="5">
        <f t="shared" si="84"/>
        <v>-0.12345679012345678</v>
      </c>
      <c r="O166" s="14"/>
      <c r="P166" s="1">
        <f>SUM(OSRRefP22_13x_0)</f>
        <v>17600</v>
      </c>
      <c r="Q166" s="1"/>
      <c r="R166" s="5">
        <f t="shared" si="85"/>
        <v>6.5218648148898748E-3</v>
      </c>
      <c r="S166" s="1"/>
      <c r="T166" s="1">
        <f>SUM(OSRRefT22_13x_0)</f>
        <v>23600</v>
      </c>
      <c r="U166" s="1"/>
      <c r="V166" s="5">
        <f t="shared" si="86"/>
        <v>5.0090364290664192E-3</v>
      </c>
      <c r="W166" s="1"/>
      <c r="X166" s="1">
        <f t="shared" si="87"/>
        <v>-6000</v>
      </c>
      <c r="Y166" s="1"/>
      <c r="Z166" s="5">
        <f t="shared" si="88"/>
        <v>-0.25423728813559321</v>
      </c>
    </row>
    <row r="167" spans="1:26" s="24" customFormat="1" hidden="1" outlineLevel="2" x14ac:dyDescent="0.25">
      <c r="A167" s="29"/>
      <c r="B167" s="11" t="str">
        <f>CONCATENATE("          ", "6408", " - ", "INVENTORY ADJUSTMENT")</f>
        <v xml:space="preserve">          6408 - INVENTORY ADJUSTMENT</v>
      </c>
      <c r="C167" s="11"/>
      <c r="D167" s="7">
        <v>7100</v>
      </c>
      <c r="E167" s="2"/>
      <c r="F167" s="6">
        <f t="shared" si="81"/>
        <v>3.0389706467109312E-2</v>
      </c>
      <c r="G167" s="2"/>
      <c r="H167" s="7">
        <v>8100</v>
      </c>
      <c r="I167" s="2"/>
      <c r="J167" s="6">
        <f t="shared" si="82"/>
        <v>2.1839771572166964E-2</v>
      </c>
      <c r="K167" s="2"/>
      <c r="L167" s="7">
        <f t="shared" si="83"/>
        <v>-1000</v>
      </c>
      <c r="M167" s="2"/>
      <c r="N167" s="6">
        <f t="shared" si="84"/>
        <v>-0.12345679012345678</v>
      </c>
      <c r="O167" s="11"/>
      <c r="P167" s="7">
        <v>17600</v>
      </c>
      <c r="Q167" s="2"/>
      <c r="R167" s="6">
        <f t="shared" si="85"/>
        <v>6.5218648148898748E-3</v>
      </c>
      <c r="S167" s="2"/>
      <c r="T167" s="7">
        <v>23600</v>
      </c>
      <c r="U167" s="2"/>
      <c r="V167" s="6">
        <f t="shared" si="86"/>
        <v>5.0090364290664192E-3</v>
      </c>
      <c r="W167" s="2"/>
      <c r="X167" s="7">
        <f t="shared" si="87"/>
        <v>-6000</v>
      </c>
      <c r="Y167" s="2"/>
      <c r="Z167" s="6">
        <f t="shared" si="88"/>
        <v>-0.25423728813559321</v>
      </c>
    </row>
    <row r="168" spans="1:26" s="28" customFormat="1" outlineLevel="1" collapsed="1" x14ac:dyDescent="0.25">
      <c r="A168" s="27"/>
      <c r="B168" s="14" t="str">
        <f>CONCATENATE("     ","Professional Services                             ")</f>
        <v xml:space="preserve">     Professional Services                             </v>
      </c>
      <c r="C168" s="14"/>
      <c r="D168" s="1">
        <f>SUM(OSRRefD22_14x_0)</f>
        <v>0</v>
      </c>
      <c r="E168" s="1"/>
      <c r="F168" s="5">
        <f t="shared" si="81"/>
        <v>0</v>
      </c>
      <c r="G168" s="1"/>
      <c r="H168" s="1">
        <f>SUM(OSRRefH22_14x_0)</f>
        <v>0</v>
      </c>
      <c r="I168" s="1"/>
      <c r="J168" s="5">
        <f t="shared" si="82"/>
        <v>0</v>
      </c>
      <c r="K168" s="1"/>
      <c r="L168" s="1">
        <f t="shared" si="83"/>
        <v>0</v>
      </c>
      <c r="M168" s="1"/>
      <c r="N168" s="5">
        <f t="shared" si="84"/>
        <v>0</v>
      </c>
      <c r="O168" s="14"/>
      <c r="P168" s="1">
        <f>SUM(OSRRefP22_14x_0)</f>
        <v>0</v>
      </c>
      <c r="Q168" s="1"/>
      <c r="R168" s="5">
        <f t="shared" si="85"/>
        <v>0</v>
      </c>
      <c r="S168" s="1"/>
      <c r="T168" s="1">
        <f>SUM(OSRRefT22_14x_0)</f>
        <v>6800</v>
      </c>
      <c r="U168" s="1"/>
      <c r="V168" s="5">
        <f t="shared" si="86"/>
        <v>1.4432816829513413E-3</v>
      </c>
      <c r="W168" s="1"/>
      <c r="X168" s="1">
        <f t="shared" si="87"/>
        <v>-6800</v>
      </c>
      <c r="Y168" s="1"/>
      <c r="Z168" s="5">
        <f t="shared" si="88"/>
        <v>-1</v>
      </c>
    </row>
    <row r="169" spans="1:26" s="24" customFormat="1" hidden="1" outlineLevel="2" x14ac:dyDescent="0.25">
      <c r="A169" s="29"/>
      <c r="B169" s="11" t="str">
        <f>CONCATENATE("          ", "6336", " - ", "PROFESSIONAL SERVICES")</f>
        <v xml:space="preserve">          6336 - PROFESSIONAL SERVICES</v>
      </c>
      <c r="C169" s="11"/>
      <c r="D169" s="7"/>
      <c r="E169" s="2"/>
      <c r="F169" s="6">
        <f t="shared" si="81"/>
        <v>0</v>
      </c>
      <c r="G169" s="2"/>
      <c r="H169" s="7">
        <v>0</v>
      </c>
      <c r="I169" s="2"/>
      <c r="J169" s="6">
        <f t="shared" si="82"/>
        <v>0</v>
      </c>
      <c r="K169" s="2"/>
      <c r="L169" s="7">
        <f t="shared" si="83"/>
        <v>0</v>
      </c>
      <c r="M169" s="2"/>
      <c r="N169" s="6">
        <f t="shared" si="84"/>
        <v>0</v>
      </c>
      <c r="O169" s="11"/>
      <c r="P169" s="7"/>
      <c r="Q169" s="2"/>
      <c r="R169" s="6">
        <f t="shared" si="85"/>
        <v>0</v>
      </c>
      <c r="S169" s="2"/>
      <c r="T169" s="7">
        <v>6800</v>
      </c>
      <c r="U169" s="2"/>
      <c r="V169" s="6">
        <f t="shared" si="86"/>
        <v>1.4432816829513413E-3</v>
      </c>
      <c r="W169" s="2"/>
      <c r="X169" s="7">
        <f t="shared" si="87"/>
        <v>-6800</v>
      </c>
      <c r="Y169" s="2"/>
      <c r="Z169" s="6">
        <f t="shared" si="88"/>
        <v>-1</v>
      </c>
    </row>
    <row r="170" spans="1:26" s="28" customFormat="1" outlineLevel="1" collapsed="1" x14ac:dyDescent="0.25">
      <c r="A170" s="27"/>
      <c r="B170" s="14" t="str">
        <f>CONCATENATE("     ","Rent                                              ")</f>
        <v xml:space="preserve">     Rent                                              </v>
      </c>
      <c r="C170" s="14"/>
      <c r="D170" s="1">
        <f>SUM(OSRRefD22_15x_0)</f>
        <v>6100</v>
      </c>
      <c r="E170" s="1"/>
      <c r="F170" s="5">
        <f t="shared" si="81"/>
        <v>2.6109466119629127E-2</v>
      </c>
      <c r="G170" s="1"/>
      <c r="H170" s="1">
        <f>SUM(OSRRefH22_15x_0)</f>
        <v>6100</v>
      </c>
      <c r="I170" s="1"/>
      <c r="J170" s="5">
        <f t="shared" si="82"/>
        <v>1.6447235381508454E-2</v>
      </c>
      <c r="K170" s="1"/>
      <c r="L170" s="1">
        <f t="shared" si="83"/>
        <v>0</v>
      </c>
      <c r="M170" s="1"/>
      <c r="N170" s="5">
        <f t="shared" si="84"/>
        <v>0</v>
      </c>
      <c r="O170" s="14"/>
      <c r="P170" s="1">
        <f>SUM(OSRRefP22_15x_0)</f>
        <v>36600</v>
      </c>
      <c r="Q170" s="1"/>
      <c r="R170" s="5">
        <f t="shared" si="85"/>
        <v>1.356251433096417E-2</v>
      </c>
      <c r="S170" s="1"/>
      <c r="T170" s="1">
        <f>SUM(OSRRefT22_15x_0)</f>
        <v>36601</v>
      </c>
      <c r="U170" s="1"/>
      <c r="V170" s="5">
        <f t="shared" si="86"/>
        <v>7.7684636584855939E-3</v>
      </c>
      <c r="W170" s="1"/>
      <c r="X170" s="1">
        <f t="shared" si="87"/>
        <v>-1</v>
      </c>
      <c r="Y170" s="1"/>
      <c r="Z170" s="5">
        <f t="shared" si="88"/>
        <v>-2.7321657878200048E-5</v>
      </c>
    </row>
    <row r="171" spans="1:26" s="24" customFormat="1" hidden="1" outlineLevel="2" x14ac:dyDescent="0.25">
      <c r="A171" s="29"/>
      <c r="B171" s="11" t="str">
        <f>CONCATENATE("          ", "6273", " - ", "RENT")</f>
        <v xml:space="preserve">          6273 - RENT</v>
      </c>
      <c r="C171" s="11"/>
      <c r="D171" s="7">
        <v>6100</v>
      </c>
      <c r="E171" s="2"/>
      <c r="F171" s="6">
        <f t="shared" si="81"/>
        <v>2.6109466119629127E-2</v>
      </c>
      <c r="G171" s="2"/>
      <c r="H171" s="7">
        <v>6100</v>
      </c>
      <c r="I171" s="2"/>
      <c r="J171" s="6">
        <f t="shared" si="82"/>
        <v>1.6447235381508454E-2</v>
      </c>
      <c r="K171" s="2"/>
      <c r="L171" s="7">
        <f t="shared" si="83"/>
        <v>0</v>
      </c>
      <c r="M171" s="2"/>
      <c r="N171" s="6">
        <f t="shared" si="84"/>
        <v>0</v>
      </c>
      <c r="O171" s="11"/>
      <c r="P171" s="7">
        <v>36600</v>
      </c>
      <c r="Q171" s="2"/>
      <c r="R171" s="6">
        <f t="shared" si="85"/>
        <v>1.356251433096417E-2</v>
      </c>
      <c r="S171" s="2"/>
      <c r="T171" s="7">
        <v>36601</v>
      </c>
      <c r="U171" s="2"/>
      <c r="V171" s="6">
        <f t="shared" si="86"/>
        <v>7.7684636584855939E-3</v>
      </c>
      <c r="W171" s="2"/>
      <c r="X171" s="7">
        <f t="shared" si="87"/>
        <v>-1</v>
      </c>
      <c r="Y171" s="2"/>
      <c r="Z171" s="6">
        <f t="shared" si="88"/>
        <v>-2.7321657878200048E-5</v>
      </c>
    </row>
    <row r="172" spans="1:26" s="28" customFormat="1" outlineLevel="1" collapsed="1" x14ac:dyDescent="0.25">
      <c r="A172" s="27"/>
      <c r="B172" s="14" t="str">
        <f>CONCATENATE("     ","Repair and Maintenance                            ")</f>
        <v xml:space="preserve">     Repair and Maintenance                            </v>
      </c>
      <c r="C172" s="14"/>
      <c r="D172" s="1">
        <f>SUM(OSRRefD22_16x_0)</f>
        <v>7951.17</v>
      </c>
      <c r="E172" s="1"/>
      <c r="F172" s="5">
        <f t="shared" si="81"/>
        <v>3.4032918643674019E-2</v>
      </c>
      <c r="G172" s="1"/>
      <c r="H172" s="1">
        <f>SUM(OSRRefH22_16x_0)</f>
        <v>14390</v>
      </c>
      <c r="I172" s="1"/>
      <c r="J172" s="5">
        <f t="shared" si="82"/>
        <v>3.8799297891787973E-2</v>
      </c>
      <c r="K172" s="1"/>
      <c r="L172" s="1">
        <f t="shared" si="83"/>
        <v>-6438.83</v>
      </c>
      <c r="M172" s="1"/>
      <c r="N172" s="5">
        <f t="shared" si="84"/>
        <v>-0.44745170257123001</v>
      </c>
      <c r="O172" s="14"/>
      <c r="P172" s="1">
        <f>SUM(OSRRefP22_16x_0)</f>
        <v>109130.31999999999</v>
      </c>
      <c r="Q172" s="1"/>
      <c r="R172" s="5">
        <f t="shared" si="85"/>
        <v>4.0439386036685954E-2</v>
      </c>
      <c r="S172" s="1"/>
      <c r="T172" s="1">
        <f>SUM(OSRRefT22_16x_0)</f>
        <v>128540</v>
      </c>
      <c r="U172" s="1"/>
      <c r="V172" s="5">
        <f t="shared" si="86"/>
        <v>2.7282268753906679E-2</v>
      </c>
      <c r="W172" s="1"/>
      <c r="X172" s="1">
        <f t="shared" si="87"/>
        <v>-19409.680000000008</v>
      </c>
      <c r="Y172" s="1"/>
      <c r="Z172" s="5">
        <f t="shared" si="88"/>
        <v>-0.15100108915512686</v>
      </c>
    </row>
    <row r="173" spans="1:26" s="24" customFormat="1" hidden="1" outlineLevel="2" x14ac:dyDescent="0.25">
      <c r="A173" s="29"/>
      <c r="B173" s="11" t="str">
        <f>CONCATENATE("          ", "6371", " - ", "COMPUTER SOFTWARE MAINTENANCE")</f>
        <v xml:space="preserve">          6371 - COMPUTER SOFTWARE MAINTENANCE</v>
      </c>
      <c r="C173" s="11"/>
      <c r="D173" s="7"/>
      <c r="E173" s="2"/>
      <c r="F173" s="6">
        <f t="shared" si="81"/>
        <v>0</v>
      </c>
      <c r="G173" s="2"/>
      <c r="H173" s="7"/>
      <c r="I173" s="2"/>
      <c r="J173" s="6">
        <f t="shared" si="82"/>
        <v>0</v>
      </c>
      <c r="K173" s="2"/>
      <c r="L173" s="7">
        <f t="shared" si="83"/>
        <v>0</v>
      </c>
      <c r="M173" s="2"/>
      <c r="N173" s="6">
        <f t="shared" si="84"/>
        <v>0</v>
      </c>
      <c r="O173" s="11"/>
      <c r="P173" s="7">
        <v>58436.47</v>
      </c>
      <c r="Q173" s="2"/>
      <c r="R173" s="6">
        <f t="shared" si="85"/>
        <v>2.1654247590873164E-2</v>
      </c>
      <c r="S173" s="2"/>
      <c r="T173" s="7">
        <v>45000</v>
      </c>
      <c r="U173" s="2"/>
      <c r="V173" s="6">
        <f t="shared" si="86"/>
        <v>9.5511287842368169E-3</v>
      </c>
      <c r="W173" s="2"/>
      <c r="X173" s="7">
        <f t="shared" si="87"/>
        <v>13436.470000000001</v>
      </c>
      <c r="Y173" s="2"/>
      <c r="Z173" s="6">
        <f t="shared" si="88"/>
        <v>0.29858822222222225</v>
      </c>
    </row>
    <row r="174" spans="1:26" s="24" customFormat="1" hidden="1" outlineLevel="2" x14ac:dyDescent="0.25">
      <c r="A174" s="29"/>
      <c r="B174" s="11" t="str">
        <f>CONCATENATE("          ", "6372", " - ", "COMPUTER HARDWARE MAINTENANCE")</f>
        <v xml:space="preserve">          6372 - COMPUTER HARDWARE MAINTENANCE</v>
      </c>
      <c r="C174" s="11"/>
      <c r="D174" s="7"/>
      <c r="E174" s="2"/>
      <c r="F174" s="6">
        <f t="shared" si="81"/>
        <v>0</v>
      </c>
      <c r="G174" s="2"/>
      <c r="H174" s="7"/>
      <c r="I174" s="2"/>
      <c r="J174" s="6">
        <f t="shared" si="82"/>
        <v>0</v>
      </c>
      <c r="K174" s="2"/>
      <c r="L174" s="7">
        <f t="shared" si="83"/>
        <v>0</v>
      </c>
      <c r="M174" s="2"/>
      <c r="N174" s="6">
        <f t="shared" si="84"/>
        <v>0</v>
      </c>
      <c r="O174" s="11"/>
      <c r="P174" s="7">
        <v>0</v>
      </c>
      <c r="Q174" s="2"/>
      <c r="R174" s="6">
        <f t="shared" si="85"/>
        <v>0</v>
      </c>
      <c r="S174" s="2"/>
      <c r="T174" s="7"/>
      <c r="U174" s="2"/>
      <c r="V174" s="6">
        <f t="shared" si="86"/>
        <v>0</v>
      </c>
      <c r="W174" s="2"/>
      <c r="X174" s="7">
        <f t="shared" si="87"/>
        <v>0</v>
      </c>
      <c r="Y174" s="2"/>
      <c r="Z174" s="6">
        <f t="shared" si="88"/>
        <v>0</v>
      </c>
    </row>
    <row r="175" spans="1:26" s="24" customFormat="1" hidden="1" outlineLevel="2" x14ac:dyDescent="0.25">
      <c r="A175" s="29"/>
      <c r="B175" s="11" t="str">
        <f>CONCATENATE("          ", "6373", " - ", "MAINTENANCE CONTRACTS")</f>
        <v xml:space="preserve">          6373 - MAINTENANCE CONTRACTS</v>
      </c>
      <c r="C175" s="11"/>
      <c r="D175" s="7">
        <v>7906.17</v>
      </c>
      <c r="E175" s="2"/>
      <c r="F175" s="6">
        <f t="shared" si="81"/>
        <v>3.3840307828037409E-2</v>
      </c>
      <c r="G175" s="2"/>
      <c r="H175" s="7">
        <v>6040</v>
      </c>
      <c r="I175" s="2"/>
      <c r="J175" s="6">
        <f t="shared" si="82"/>
        <v>1.6285459295788698E-2</v>
      </c>
      <c r="K175" s="2"/>
      <c r="L175" s="7">
        <f t="shared" si="83"/>
        <v>1866.17</v>
      </c>
      <c r="M175" s="2"/>
      <c r="N175" s="6">
        <f t="shared" si="84"/>
        <v>0.30896854304635762</v>
      </c>
      <c r="O175" s="11"/>
      <c r="P175" s="7">
        <v>38932.18</v>
      </c>
      <c r="Q175" s="2"/>
      <c r="R175" s="6">
        <f t="shared" si="85"/>
        <v>1.4426728119827231E-2</v>
      </c>
      <c r="S175" s="2"/>
      <c r="T175" s="7">
        <v>32940</v>
      </c>
      <c r="U175" s="2"/>
      <c r="V175" s="6">
        <f t="shared" si="86"/>
        <v>6.9914262700613503E-3</v>
      </c>
      <c r="W175" s="2"/>
      <c r="X175" s="7">
        <f t="shared" si="87"/>
        <v>5992.18</v>
      </c>
      <c r="Y175" s="2"/>
      <c r="Z175" s="6">
        <f t="shared" si="88"/>
        <v>0.18191196114146935</v>
      </c>
    </row>
    <row r="176" spans="1:26" s="24" customFormat="1" hidden="1" outlineLevel="2" x14ac:dyDescent="0.25">
      <c r="A176" s="29"/>
      <c r="B176" s="11" t="str">
        <f>CONCATENATE("          ", "6375", " - ", "OUTSIDE REPAIRS &amp; MAINTENANCE")</f>
        <v xml:space="preserve">          6375 - OUTSIDE REPAIRS &amp; MAINTENANCE</v>
      </c>
      <c r="C176" s="11"/>
      <c r="D176" s="7">
        <v>45</v>
      </c>
      <c r="E176" s="2"/>
      <c r="F176" s="6">
        <f t="shared" si="81"/>
        <v>1.9261081563660832E-4</v>
      </c>
      <c r="G176" s="2"/>
      <c r="H176" s="7">
        <v>8350</v>
      </c>
      <c r="I176" s="2"/>
      <c r="J176" s="6">
        <f t="shared" si="82"/>
        <v>2.2513838595999279E-2</v>
      </c>
      <c r="K176" s="2"/>
      <c r="L176" s="7">
        <f t="shared" si="83"/>
        <v>-8305</v>
      </c>
      <c r="M176" s="2"/>
      <c r="N176" s="6">
        <f t="shared" si="84"/>
        <v>-0.99461077844311374</v>
      </c>
      <c r="O176" s="11"/>
      <c r="P176" s="7">
        <v>11761.67</v>
      </c>
      <c r="Q176" s="2"/>
      <c r="R176" s="6">
        <f t="shared" si="85"/>
        <v>4.3584103259855563E-3</v>
      </c>
      <c r="S176" s="2"/>
      <c r="T176" s="7">
        <v>50600</v>
      </c>
      <c r="U176" s="2"/>
      <c r="V176" s="6">
        <f t="shared" si="86"/>
        <v>1.073971369960851E-2</v>
      </c>
      <c r="W176" s="2"/>
      <c r="X176" s="7">
        <f t="shared" si="87"/>
        <v>-38838.33</v>
      </c>
      <c r="Y176" s="2"/>
      <c r="Z176" s="6">
        <f t="shared" si="88"/>
        <v>-0.76755592885375501</v>
      </c>
    </row>
    <row r="177" spans="1:26" s="28" customFormat="1" outlineLevel="1" collapsed="1" x14ac:dyDescent="0.25">
      <c r="A177" s="27"/>
      <c r="B177" s="14" t="str">
        <f>CONCATENATE("     ","Royalty &amp; Commissions                             ")</f>
        <v xml:space="preserve">     Royalty &amp; Commissions                             </v>
      </c>
      <c r="C177" s="14"/>
      <c r="D177" s="1">
        <f>SUM(OSRRefD22_17x_0)</f>
        <v>5.97</v>
      </c>
      <c r="E177" s="1"/>
      <c r="F177" s="5">
        <f t="shared" ref="F177:F181" si="89">IF(D$12=0,0,D177/D$12)</f>
        <v>2.55530348744567E-5</v>
      </c>
      <c r="G177" s="1"/>
      <c r="H177" s="1">
        <f>SUM(OSRRefH22_17x_0)</f>
        <v>7171</v>
      </c>
      <c r="I177" s="1"/>
      <c r="J177" s="5">
        <f t="shared" ref="J177:J181" si="90">IF(H$12=0,0,H177/H$12)</f>
        <v>1.9334938511606087E-2</v>
      </c>
      <c r="K177" s="1"/>
      <c r="L177" s="1">
        <f t="shared" ref="L177:L181" si="91">+D177-H177</f>
        <v>-7165.03</v>
      </c>
      <c r="M177" s="1"/>
      <c r="N177" s="5">
        <f t="shared" ref="N177:N181" si="92">IF(H177=0,0,L177/H177)</f>
        <v>-0.99916748012829448</v>
      </c>
      <c r="O177" s="14"/>
      <c r="P177" s="1">
        <f>SUM(OSRRefP22_17x_0)</f>
        <v>28576.059999999998</v>
      </c>
      <c r="Q177" s="1"/>
      <c r="R177" s="5">
        <f t="shared" ref="R177:R181" si="93">IF(P$12=0,0,P177/P$12)</f>
        <v>1.0589159105805792E-2</v>
      </c>
      <c r="S177" s="1"/>
      <c r="T177" s="1">
        <f>SUM(OSRRefT22_17x_0)</f>
        <v>41976</v>
      </c>
      <c r="U177" s="1"/>
      <c r="V177" s="5">
        <f t="shared" ref="V177:V181" si="94">IF(T$12=0,0,T177/T$12)</f>
        <v>8.909292929936103E-3</v>
      </c>
      <c r="W177" s="1"/>
      <c r="X177" s="1">
        <f t="shared" ref="X177:X181" si="95">+P177-T177</f>
        <v>-13399.940000000002</v>
      </c>
      <c r="Y177" s="1"/>
      <c r="Z177" s="5">
        <f t="shared" ref="Z177:Z181" si="96">IF(T177=0,0,X177/T177)</f>
        <v>-0.31922860682294651</v>
      </c>
    </row>
    <row r="178" spans="1:26" s="24" customFormat="1" hidden="1" outlineLevel="2" x14ac:dyDescent="0.25">
      <c r="A178" s="29"/>
      <c r="B178" s="11" t="str">
        <f>CONCATENATE("          ", "6252", " - ", "ROYALTY DUE CSTV")</f>
        <v xml:space="preserve">          6252 - ROYALTY DUE CSTV</v>
      </c>
      <c r="C178" s="11"/>
      <c r="D178" s="7"/>
      <c r="E178" s="2"/>
      <c r="F178" s="6">
        <f t="shared" si="89"/>
        <v>0</v>
      </c>
      <c r="G178" s="2"/>
      <c r="H178" s="7">
        <v>1085</v>
      </c>
      <c r="I178" s="2"/>
      <c r="J178" s="6">
        <f t="shared" si="90"/>
        <v>2.9254508834322414E-3</v>
      </c>
      <c r="K178" s="2"/>
      <c r="L178" s="7">
        <f t="shared" si="91"/>
        <v>-1085</v>
      </c>
      <c r="M178" s="2"/>
      <c r="N178" s="6">
        <f t="shared" si="92"/>
        <v>-1</v>
      </c>
      <c r="O178" s="11"/>
      <c r="P178" s="7"/>
      <c r="Q178" s="2"/>
      <c r="R178" s="6">
        <f t="shared" si="93"/>
        <v>0</v>
      </c>
      <c r="S178" s="2"/>
      <c r="T178" s="7">
        <v>6510</v>
      </c>
      <c r="U178" s="2"/>
      <c r="V178" s="6">
        <f t="shared" si="94"/>
        <v>1.3817299641195929E-3</v>
      </c>
      <c r="W178" s="2"/>
      <c r="X178" s="7">
        <f t="shared" si="95"/>
        <v>-6510</v>
      </c>
      <c r="Y178" s="2"/>
      <c r="Z178" s="6">
        <f t="shared" si="96"/>
        <v>-1</v>
      </c>
    </row>
    <row r="179" spans="1:26" s="24" customFormat="1" hidden="1" outlineLevel="2" x14ac:dyDescent="0.25">
      <c r="A179" s="29"/>
      <c r="B179" s="11" t="str">
        <f>CONCATENATE("          ", "6253", " - ", "ROYALTY DUE ATHLETICS-LRG")</f>
        <v xml:space="preserve">          6253 - ROYALTY DUE ATHLETICS-LRG</v>
      </c>
      <c r="C179" s="11"/>
      <c r="D179" s="7"/>
      <c r="E179" s="2"/>
      <c r="F179" s="6">
        <f t="shared" si="89"/>
        <v>0</v>
      </c>
      <c r="G179" s="2"/>
      <c r="H179" s="7">
        <v>4037</v>
      </c>
      <c r="I179" s="2"/>
      <c r="J179" s="6">
        <f t="shared" si="90"/>
        <v>1.0884834300844201E-2</v>
      </c>
      <c r="K179" s="2"/>
      <c r="L179" s="7">
        <f t="shared" si="91"/>
        <v>-4037</v>
      </c>
      <c r="M179" s="2"/>
      <c r="N179" s="6">
        <f t="shared" si="92"/>
        <v>-1</v>
      </c>
      <c r="O179" s="11"/>
      <c r="P179" s="7">
        <v>18411.8</v>
      </c>
      <c r="Q179" s="2"/>
      <c r="R179" s="6">
        <f t="shared" si="93"/>
        <v>6.8226858294766698E-3</v>
      </c>
      <c r="S179" s="2"/>
      <c r="T179" s="7">
        <v>24222</v>
      </c>
      <c r="U179" s="2"/>
      <c r="V179" s="6">
        <f t="shared" si="94"/>
        <v>5.1410542535952038E-3</v>
      </c>
      <c r="W179" s="2"/>
      <c r="X179" s="7">
        <f t="shared" si="95"/>
        <v>-5810.2000000000007</v>
      </c>
      <c r="Y179" s="2"/>
      <c r="Z179" s="6">
        <f t="shared" si="96"/>
        <v>-0.23987284287011809</v>
      </c>
    </row>
    <row r="180" spans="1:26" s="24" customFormat="1" hidden="1" outlineLevel="2" x14ac:dyDescent="0.25">
      <c r="A180" s="29"/>
      <c r="B180" s="11" t="str">
        <f>CONCATENATE("          ", "6254", " - ", "ROYALTY &amp; COMMISSIONS")</f>
        <v xml:space="preserve">          6254 - ROYALTY &amp; COMMISSIONS</v>
      </c>
      <c r="C180" s="11"/>
      <c r="D180" s="7"/>
      <c r="E180" s="2"/>
      <c r="F180" s="6">
        <f t="shared" si="89"/>
        <v>0</v>
      </c>
      <c r="G180" s="2"/>
      <c r="H180" s="7">
        <v>1149</v>
      </c>
      <c r="I180" s="2"/>
      <c r="J180" s="6">
        <f t="shared" si="90"/>
        <v>3.0980120415333139E-3</v>
      </c>
      <c r="K180" s="2"/>
      <c r="L180" s="7">
        <f t="shared" si="91"/>
        <v>-1149</v>
      </c>
      <c r="M180" s="2"/>
      <c r="N180" s="6">
        <f t="shared" si="92"/>
        <v>-1</v>
      </c>
      <c r="O180" s="11"/>
      <c r="P180" s="7"/>
      <c r="Q180" s="2"/>
      <c r="R180" s="6">
        <f t="shared" si="93"/>
        <v>0</v>
      </c>
      <c r="S180" s="2"/>
      <c r="T180" s="7">
        <v>6894</v>
      </c>
      <c r="U180" s="2"/>
      <c r="V180" s="6">
        <f t="shared" si="94"/>
        <v>1.4632329297450805E-3</v>
      </c>
      <c r="W180" s="2"/>
      <c r="X180" s="7">
        <f t="shared" si="95"/>
        <v>-6894</v>
      </c>
      <c r="Y180" s="2"/>
      <c r="Z180" s="6">
        <f t="shared" si="96"/>
        <v>-1</v>
      </c>
    </row>
    <row r="181" spans="1:26" s="24" customFormat="1" hidden="1" outlineLevel="2" x14ac:dyDescent="0.25">
      <c r="A181" s="29"/>
      <c r="B181" s="11" t="str">
        <f>CONCATENATE("          ", "6259", " - ", "ROYALTY &amp; COMMISSIONS")</f>
        <v xml:space="preserve">          6259 - ROYALTY &amp; COMMISSIONS</v>
      </c>
      <c r="C181" s="11"/>
      <c r="D181" s="7">
        <v>5.97</v>
      </c>
      <c r="E181" s="2"/>
      <c r="F181" s="6">
        <f t="shared" si="89"/>
        <v>2.55530348744567E-5</v>
      </c>
      <c r="G181" s="2"/>
      <c r="H181" s="7">
        <v>900</v>
      </c>
      <c r="I181" s="2"/>
      <c r="J181" s="6">
        <f t="shared" si="90"/>
        <v>2.4266412857963291E-3</v>
      </c>
      <c r="K181" s="2"/>
      <c r="L181" s="7">
        <f t="shared" si="91"/>
        <v>-894.03</v>
      </c>
      <c r="M181" s="2"/>
      <c r="N181" s="6">
        <f t="shared" si="92"/>
        <v>-0.99336666666666662</v>
      </c>
      <c r="O181" s="11"/>
      <c r="P181" s="7">
        <v>10164.26</v>
      </c>
      <c r="Q181" s="2"/>
      <c r="R181" s="6">
        <f t="shared" si="93"/>
        <v>3.7664732763291226E-3</v>
      </c>
      <c r="S181" s="2"/>
      <c r="T181" s="7">
        <v>4350</v>
      </c>
      <c r="U181" s="2"/>
      <c r="V181" s="6">
        <f t="shared" si="94"/>
        <v>9.2327578247622562E-4</v>
      </c>
      <c r="W181" s="2"/>
      <c r="X181" s="7">
        <f t="shared" si="95"/>
        <v>5814.26</v>
      </c>
      <c r="Y181" s="2"/>
      <c r="Z181" s="6">
        <f t="shared" si="96"/>
        <v>1.3366114942528735</v>
      </c>
    </row>
    <row r="182" spans="1:26" s="28" customFormat="1" outlineLevel="1" collapsed="1" x14ac:dyDescent="0.25">
      <c r="A182" s="27"/>
      <c r="B182" s="14" t="str">
        <f>CONCATENATE("     ","Services                                          ")</f>
        <v xml:space="preserve">     Services                                          </v>
      </c>
      <c r="C182" s="14"/>
      <c r="D182" s="1">
        <f>SUM(OSRRefD22_18x_0)</f>
        <v>2494.0299999999997</v>
      </c>
      <c r="E182" s="1"/>
      <c r="F182" s="5">
        <f t="shared" ref="F182:F186" si="97">IF(D$12=0,0,D182/D$12)</f>
        <v>1.0675047833826005E-2</v>
      </c>
      <c r="G182" s="1"/>
      <c r="H182" s="1">
        <f>SUM(OSRRefH22_18x_0)</f>
        <v>4784</v>
      </c>
      <c r="I182" s="1"/>
      <c r="J182" s="5">
        <f t="shared" ref="J182:J186" si="98">IF(H$12=0,0,H182/H$12)</f>
        <v>1.2898946568055155E-2</v>
      </c>
      <c r="K182" s="1"/>
      <c r="L182" s="1">
        <f t="shared" ref="L182:L186" si="99">+D182-H182</f>
        <v>-2289.9700000000003</v>
      </c>
      <c r="M182" s="1"/>
      <c r="N182" s="5">
        <f t="shared" ref="N182:N186" si="100">IF(H182=0,0,L182/H182)</f>
        <v>-0.4786726588628763</v>
      </c>
      <c r="O182" s="14"/>
      <c r="P182" s="1">
        <f>SUM(OSRRefP22_18x_0)</f>
        <v>19183.75</v>
      </c>
      <c r="Q182" s="1"/>
      <c r="R182" s="5">
        <f t="shared" ref="R182:R186" si="101">IF(P$12=0,0,P182/P$12)</f>
        <v>7.1087400081047518E-3</v>
      </c>
      <c r="S182" s="1"/>
      <c r="T182" s="1">
        <f>SUM(OSRRefT22_18x_0)</f>
        <v>28210</v>
      </c>
      <c r="U182" s="1"/>
      <c r="V182" s="5">
        <f t="shared" ref="V182:V186" si="102">IF(T$12=0,0,T182/T$12)</f>
        <v>5.9874965111849027E-3</v>
      </c>
      <c r="W182" s="1"/>
      <c r="X182" s="1">
        <f t="shared" ref="X182:X186" si="103">+P182-T182</f>
        <v>-9026.25</v>
      </c>
      <c r="Y182" s="1"/>
      <c r="Z182" s="5">
        <f t="shared" ref="Z182:Z186" si="104">IF(T182=0,0,X182/T182)</f>
        <v>-0.31996632399858205</v>
      </c>
    </row>
    <row r="183" spans="1:26" s="24" customFormat="1" hidden="1" outlineLevel="2" x14ac:dyDescent="0.25">
      <c r="A183" s="29"/>
      <c r="B183" s="11" t="str">
        <f>CONCATENATE("          ", "6282", " - ", "JANITORIAL/EXTERMINATOR EXPENS")</f>
        <v xml:space="preserve">          6282 - JANITORIAL/EXTERMINATOR EXPENS</v>
      </c>
      <c r="C183" s="11"/>
      <c r="D183" s="7"/>
      <c r="E183" s="2"/>
      <c r="F183" s="6">
        <f t="shared" si="97"/>
        <v>0</v>
      </c>
      <c r="G183" s="2"/>
      <c r="H183" s="7">
        <v>4000</v>
      </c>
      <c r="I183" s="2"/>
      <c r="J183" s="6">
        <f t="shared" si="98"/>
        <v>1.0785072381317019E-2</v>
      </c>
      <c r="K183" s="2"/>
      <c r="L183" s="7">
        <f t="shared" si="99"/>
        <v>-4000</v>
      </c>
      <c r="M183" s="2"/>
      <c r="N183" s="6">
        <f t="shared" si="100"/>
        <v>-1</v>
      </c>
      <c r="O183" s="11"/>
      <c r="P183" s="7">
        <v>5340.12</v>
      </c>
      <c r="Q183" s="2"/>
      <c r="R183" s="6">
        <f t="shared" si="101"/>
        <v>1.9788375417778246E-3</v>
      </c>
      <c r="S183" s="2"/>
      <c r="T183" s="7">
        <v>24000</v>
      </c>
      <c r="U183" s="2"/>
      <c r="V183" s="6">
        <f t="shared" si="102"/>
        <v>5.0939353515929691E-3</v>
      </c>
      <c r="W183" s="2"/>
      <c r="X183" s="7">
        <f t="shared" si="103"/>
        <v>-18659.88</v>
      </c>
      <c r="Y183" s="2"/>
      <c r="Z183" s="6">
        <f t="shared" si="104"/>
        <v>-0.77749500000000005</v>
      </c>
    </row>
    <row r="184" spans="1:26" s="24" customFormat="1" hidden="1" outlineLevel="2" x14ac:dyDescent="0.25">
      <c r="A184" s="29"/>
      <c r="B184" s="11" t="str">
        <f>CONCATENATE("          ", "6283", " - ", "PLANT SERVICE")</f>
        <v xml:space="preserve">          6283 - PLANT SERVICE</v>
      </c>
      <c r="C184" s="11"/>
      <c r="D184" s="7"/>
      <c r="E184" s="2"/>
      <c r="F184" s="6">
        <f t="shared" si="97"/>
        <v>0</v>
      </c>
      <c r="G184" s="2"/>
      <c r="H184" s="7">
        <v>0</v>
      </c>
      <c r="I184" s="2"/>
      <c r="J184" s="6">
        <f t="shared" si="98"/>
        <v>0</v>
      </c>
      <c r="K184" s="2"/>
      <c r="L184" s="7">
        <f t="shared" si="99"/>
        <v>0</v>
      </c>
      <c r="M184" s="2"/>
      <c r="N184" s="6">
        <f t="shared" si="100"/>
        <v>0</v>
      </c>
      <c r="O184" s="11"/>
      <c r="P184" s="7">
        <v>171.31</v>
      </c>
      <c r="Q184" s="2"/>
      <c r="R184" s="6">
        <f t="shared" si="101"/>
        <v>6.3480719399930938E-5</v>
      </c>
      <c r="S184" s="2"/>
      <c r="T184" s="7">
        <v>0</v>
      </c>
      <c r="U184" s="2"/>
      <c r="V184" s="6">
        <f t="shared" si="102"/>
        <v>0</v>
      </c>
      <c r="W184" s="2"/>
      <c r="X184" s="7">
        <f t="shared" si="103"/>
        <v>171.31</v>
      </c>
      <c r="Y184" s="2"/>
      <c r="Z184" s="6">
        <f t="shared" si="104"/>
        <v>0</v>
      </c>
    </row>
    <row r="185" spans="1:26" s="24" customFormat="1" hidden="1" outlineLevel="2" x14ac:dyDescent="0.25">
      <c r="A185" s="29"/>
      <c r="B185" s="11" t="str">
        <f>CONCATENATE("          ", "6284", " - ", "TRASH REMOVAL EXPENSE")</f>
        <v xml:space="preserve">          6284 - TRASH REMOVAL EXPENSE</v>
      </c>
      <c r="C185" s="11"/>
      <c r="D185" s="7">
        <v>285.14</v>
      </c>
      <c r="E185" s="2"/>
      <c r="F185" s="6">
        <f t="shared" si="97"/>
        <v>1.2204677326804999E-3</v>
      </c>
      <c r="G185" s="2"/>
      <c r="H185" s="7">
        <v>110</v>
      </c>
      <c r="I185" s="2"/>
      <c r="J185" s="6">
        <f t="shared" si="98"/>
        <v>2.9658949048621804E-4</v>
      </c>
      <c r="K185" s="2"/>
      <c r="L185" s="7">
        <f t="shared" si="99"/>
        <v>175.14</v>
      </c>
      <c r="M185" s="2"/>
      <c r="N185" s="6">
        <f t="shared" si="100"/>
        <v>1.5921818181818181</v>
      </c>
      <c r="O185" s="11"/>
      <c r="P185" s="7">
        <v>870.44</v>
      </c>
      <c r="Q185" s="2"/>
      <c r="R185" s="6">
        <f t="shared" si="101"/>
        <v>3.2255068235640587E-4</v>
      </c>
      <c r="S185" s="2"/>
      <c r="T185" s="7">
        <v>440</v>
      </c>
      <c r="U185" s="2"/>
      <c r="V185" s="6">
        <f t="shared" si="102"/>
        <v>9.3388814779204427E-5</v>
      </c>
      <c r="W185" s="2"/>
      <c r="X185" s="7">
        <f t="shared" si="103"/>
        <v>430.44000000000005</v>
      </c>
      <c r="Y185" s="2"/>
      <c r="Z185" s="6">
        <f t="shared" si="104"/>
        <v>0.9782727272727274</v>
      </c>
    </row>
    <row r="186" spans="1:26" s="24" customFormat="1" hidden="1" outlineLevel="2" x14ac:dyDescent="0.25">
      <c r="A186" s="29"/>
      <c r="B186" s="11" t="str">
        <f>CONCATENATE("          ", "6285", " - ", "JANITORIAL SERVICES")</f>
        <v xml:space="preserve">          6285 - JANITORIAL SERVICES</v>
      </c>
      <c r="C186" s="11"/>
      <c r="D186" s="7">
        <v>2208.89</v>
      </c>
      <c r="E186" s="2"/>
      <c r="F186" s="6">
        <f t="shared" si="97"/>
        <v>9.4545801011455041E-3</v>
      </c>
      <c r="G186" s="2"/>
      <c r="H186" s="7">
        <v>674</v>
      </c>
      <c r="I186" s="2"/>
      <c r="J186" s="6">
        <f t="shared" si="98"/>
        <v>1.8172846962519176E-3</v>
      </c>
      <c r="K186" s="2"/>
      <c r="L186" s="7">
        <f t="shared" si="99"/>
        <v>1534.8899999999999</v>
      </c>
      <c r="M186" s="2"/>
      <c r="N186" s="6">
        <f t="shared" si="100"/>
        <v>2.2772848664688428</v>
      </c>
      <c r="O186" s="11"/>
      <c r="P186" s="7">
        <v>12801.88</v>
      </c>
      <c r="Q186" s="2"/>
      <c r="R186" s="6">
        <f t="shared" si="101"/>
        <v>4.7438710645705904E-3</v>
      </c>
      <c r="S186" s="2"/>
      <c r="T186" s="7">
        <v>3770</v>
      </c>
      <c r="U186" s="2"/>
      <c r="V186" s="6">
        <f t="shared" si="102"/>
        <v>8.0017234481272886E-4</v>
      </c>
      <c r="W186" s="2"/>
      <c r="X186" s="7">
        <f t="shared" si="103"/>
        <v>9031.8799999999992</v>
      </c>
      <c r="Y186" s="2"/>
      <c r="Z186" s="6">
        <f t="shared" si="104"/>
        <v>2.3957241379310341</v>
      </c>
    </row>
    <row r="187" spans="1:26" s="28" customFormat="1" outlineLevel="1" collapsed="1" x14ac:dyDescent="0.25">
      <c r="A187" s="27"/>
      <c r="B187" s="14" t="str">
        <f>CONCATENATE("     ","Subscriptions &amp; Dues                              ")</f>
        <v xml:space="preserve">     Subscriptions &amp; Dues                              </v>
      </c>
      <c r="C187" s="14"/>
      <c r="D187" s="1">
        <f>SUM(OSRRefD22_19x_0)</f>
        <v>80.430000000000007</v>
      </c>
      <c r="E187" s="1"/>
      <c r="F187" s="5">
        <f t="shared" ref="F187:F189" si="105">IF(D$12=0,0,D187/D$12)</f>
        <v>3.4425973114783127E-4</v>
      </c>
      <c r="G187" s="1"/>
      <c r="H187" s="1">
        <f>SUM(OSRRefH22_19x_0)</f>
        <v>1100</v>
      </c>
      <c r="I187" s="1"/>
      <c r="J187" s="5">
        <f t="shared" ref="J187:J189" si="106">IF(H$12=0,0,H187/H$12)</f>
        <v>2.9658949048621801E-3</v>
      </c>
      <c r="K187" s="1"/>
      <c r="L187" s="1">
        <f t="shared" ref="L187:L189" si="107">+D187-H187</f>
        <v>-1019.5699999999999</v>
      </c>
      <c r="M187" s="1"/>
      <c r="N187" s="5">
        <f t="shared" ref="N187:N189" si="108">IF(H187=0,0,L187/H187)</f>
        <v>-0.92688181818181814</v>
      </c>
      <c r="O187" s="14"/>
      <c r="P187" s="1">
        <f>SUM(OSRRefP22_19x_0)</f>
        <v>1455.44</v>
      </c>
      <c r="Q187" s="1"/>
      <c r="R187" s="5">
        <f t="shared" ref="R187:R189" si="109">IF(P$12=0,0,P187/P$12)</f>
        <v>5.3932857535132501E-4</v>
      </c>
      <c r="S187" s="1"/>
      <c r="T187" s="1">
        <f>SUM(OSRRefT22_19x_0)</f>
        <v>7995</v>
      </c>
      <c r="U187" s="1"/>
      <c r="V187" s="5">
        <f t="shared" ref="V187:V189" si="110">IF(T$12=0,0,T187/T$12)</f>
        <v>1.6969172139994079E-3</v>
      </c>
      <c r="W187" s="1"/>
      <c r="X187" s="1">
        <f t="shared" ref="X187:X189" si="111">+P187-T187</f>
        <v>-6539.5599999999995</v>
      </c>
      <c r="Y187" s="1"/>
      <c r="Z187" s="5">
        <f t="shared" ref="Z187:Z189" si="112">IF(T187=0,0,X187/T187)</f>
        <v>-0.81795622263914936</v>
      </c>
    </row>
    <row r="188" spans="1:26" s="24" customFormat="1" hidden="1" outlineLevel="2" x14ac:dyDescent="0.25">
      <c r="A188" s="29"/>
      <c r="B188" s="11" t="str">
        <f>CONCATENATE("          ", "6258", " - ", "MEMBERSHIP DUES")</f>
        <v xml:space="preserve">          6258 - MEMBERSHIP DUES</v>
      </c>
      <c r="C188" s="11"/>
      <c r="D188" s="7">
        <v>80.430000000000007</v>
      </c>
      <c r="E188" s="2"/>
      <c r="F188" s="6">
        <f t="shared" si="105"/>
        <v>3.4425973114783127E-4</v>
      </c>
      <c r="G188" s="2"/>
      <c r="H188" s="7">
        <v>1100</v>
      </c>
      <c r="I188" s="2"/>
      <c r="J188" s="6">
        <f t="shared" si="106"/>
        <v>2.9658949048621801E-3</v>
      </c>
      <c r="K188" s="2"/>
      <c r="L188" s="7">
        <f t="shared" si="107"/>
        <v>-1019.5699999999999</v>
      </c>
      <c r="M188" s="2"/>
      <c r="N188" s="6">
        <f t="shared" si="108"/>
        <v>-0.92688181818181814</v>
      </c>
      <c r="O188" s="11"/>
      <c r="P188" s="7">
        <v>1229.71</v>
      </c>
      <c r="Q188" s="2"/>
      <c r="R188" s="6">
        <f t="shared" si="109"/>
        <v>4.5568195349535384E-4</v>
      </c>
      <c r="S188" s="2"/>
      <c r="T188" s="7">
        <v>7995</v>
      </c>
      <c r="U188" s="2"/>
      <c r="V188" s="6">
        <f t="shared" si="110"/>
        <v>1.6969172139994079E-3</v>
      </c>
      <c r="W188" s="2"/>
      <c r="X188" s="7">
        <f t="shared" si="111"/>
        <v>-6765.29</v>
      </c>
      <c r="Y188" s="2"/>
      <c r="Z188" s="6">
        <f t="shared" si="112"/>
        <v>-0.8461901188242652</v>
      </c>
    </row>
    <row r="189" spans="1:26" s="24" customFormat="1" hidden="1" outlineLevel="2" x14ac:dyDescent="0.25">
      <c r="A189" s="29"/>
      <c r="B189" s="11" t="str">
        <f>CONCATENATE("          ", "6275", " - ", "SUBSCRIPTIONS")</f>
        <v xml:space="preserve">          6275 - SUBSCRIPTIONS</v>
      </c>
      <c r="C189" s="11"/>
      <c r="D189" s="7"/>
      <c r="E189" s="2"/>
      <c r="F189" s="6">
        <f t="shared" si="105"/>
        <v>0</v>
      </c>
      <c r="G189" s="2"/>
      <c r="H189" s="7">
        <v>0</v>
      </c>
      <c r="I189" s="2"/>
      <c r="J189" s="6">
        <f t="shared" si="106"/>
        <v>0</v>
      </c>
      <c r="K189" s="2"/>
      <c r="L189" s="7">
        <f t="shared" si="107"/>
        <v>0</v>
      </c>
      <c r="M189" s="2"/>
      <c r="N189" s="6">
        <f t="shared" si="108"/>
        <v>0</v>
      </c>
      <c r="O189" s="11"/>
      <c r="P189" s="7">
        <v>225.73</v>
      </c>
      <c r="Q189" s="2"/>
      <c r="R189" s="6">
        <f t="shared" si="109"/>
        <v>8.36466218559711E-5</v>
      </c>
      <c r="S189" s="2"/>
      <c r="T189" s="7">
        <v>0</v>
      </c>
      <c r="U189" s="2"/>
      <c r="V189" s="6">
        <f t="shared" si="110"/>
        <v>0</v>
      </c>
      <c r="W189" s="2"/>
      <c r="X189" s="7">
        <f t="shared" si="111"/>
        <v>225.73</v>
      </c>
      <c r="Y189" s="2"/>
      <c r="Z189" s="6">
        <f t="shared" si="112"/>
        <v>0</v>
      </c>
    </row>
    <row r="190" spans="1:26" s="28" customFormat="1" outlineLevel="1" collapsed="1" x14ac:dyDescent="0.25">
      <c r="A190" s="27"/>
      <c r="B190" s="14" t="str">
        <f>CONCATENATE("     ","Supplies                                          ")</f>
        <v xml:space="preserve">     Supplies                                          </v>
      </c>
      <c r="C190" s="14"/>
      <c r="D190" s="1">
        <f>SUM(OSRRefD22_20x_0)</f>
        <v>5930.1799999999994</v>
      </c>
      <c r="E190" s="1"/>
      <c r="F190" s="5">
        <f t="shared" ref="F190:F199" si="113">IF(D$12=0,0,D190/D$12)</f>
        <v>2.5382595703820038E-2</v>
      </c>
      <c r="G190" s="1"/>
      <c r="H190" s="1">
        <f>SUM(OSRRefH22_20x_0)</f>
        <v>9810</v>
      </c>
      <c r="I190" s="1"/>
      <c r="J190" s="5">
        <f t="shared" ref="J190:J199" si="114">IF(H$12=0,0,H190/H$12)</f>
        <v>2.645039001517999E-2</v>
      </c>
      <c r="K190" s="1"/>
      <c r="L190" s="1">
        <f t="shared" ref="L190:L199" si="115">+D190-H190</f>
        <v>-3879.8200000000006</v>
      </c>
      <c r="M190" s="1"/>
      <c r="N190" s="5">
        <f t="shared" ref="N190:N199" si="116">IF(H190=0,0,L190/H190)</f>
        <v>-0.39549643221202863</v>
      </c>
      <c r="O190" s="14"/>
      <c r="P190" s="1">
        <f>SUM(OSRRefP22_20x_0)</f>
        <v>77326.100000000006</v>
      </c>
      <c r="Q190" s="1"/>
      <c r="R190" s="5">
        <f t="shared" ref="R190:R199" si="117">IF(P$12=0,0,P190/P$12)</f>
        <v>2.8653998344469089E-2</v>
      </c>
      <c r="S190" s="1"/>
      <c r="T190" s="1">
        <f>SUM(OSRRefT22_20x_0)</f>
        <v>105410</v>
      </c>
      <c r="U190" s="1"/>
      <c r="V190" s="5">
        <f t="shared" ref="V190:V199" si="118">IF(T$12=0,0,T190/T$12)</f>
        <v>2.2372988558808954E-2</v>
      </c>
      <c r="W190" s="1"/>
      <c r="X190" s="1">
        <f t="shared" ref="X190:X199" si="119">+P190-T190</f>
        <v>-28083.899999999994</v>
      </c>
      <c r="Y190" s="1"/>
      <c r="Z190" s="5">
        <f t="shared" ref="Z190:Z199" si="120">IF(T190=0,0,X190/T190)</f>
        <v>-0.26642538658571285</v>
      </c>
    </row>
    <row r="191" spans="1:26" s="24" customFormat="1" hidden="1" outlineLevel="2" x14ac:dyDescent="0.25">
      <c r="A191" s="29"/>
      <c r="B191" s="11" t="str">
        <f>CONCATENATE("          ", "6234", " - ", "EXPENDABLE SUPPLIES &amp; EQUIPMEN")</f>
        <v xml:space="preserve">          6234 - EXPENDABLE SUPPLIES &amp; EQUIPMEN</v>
      </c>
      <c r="C191" s="11"/>
      <c r="D191" s="7"/>
      <c r="E191" s="2"/>
      <c r="F191" s="6">
        <f t="shared" si="113"/>
        <v>0</v>
      </c>
      <c r="G191" s="2"/>
      <c r="H191" s="7">
        <v>150</v>
      </c>
      <c r="I191" s="2"/>
      <c r="J191" s="6">
        <f t="shared" si="114"/>
        <v>4.0444021429938824E-4</v>
      </c>
      <c r="K191" s="2"/>
      <c r="L191" s="7">
        <f t="shared" si="115"/>
        <v>-150</v>
      </c>
      <c r="M191" s="2"/>
      <c r="N191" s="6">
        <f t="shared" si="116"/>
        <v>-1</v>
      </c>
      <c r="O191" s="11"/>
      <c r="P191" s="7">
        <v>-449.34</v>
      </c>
      <c r="Q191" s="2"/>
      <c r="R191" s="6">
        <f t="shared" si="117"/>
        <v>-1.6650765545014865E-4</v>
      </c>
      <c r="S191" s="2"/>
      <c r="T191" s="7">
        <v>900</v>
      </c>
      <c r="U191" s="2"/>
      <c r="V191" s="6">
        <f t="shared" si="118"/>
        <v>1.9102257568473635E-4</v>
      </c>
      <c r="W191" s="2"/>
      <c r="X191" s="7">
        <f t="shared" si="119"/>
        <v>-1349.34</v>
      </c>
      <c r="Y191" s="2"/>
      <c r="Z191" s="6">
        <f t="shared" si="120"/>
        <v>-1.4992666666666665</v>
      </c>
    </row>
    <row r="192" spans="1:26" s="24" customFormat="1" hidden="1" outlineLevel="2" x14ac:dyDescent="0.25">
      <c r="A192" s="29"/>
      <c r="B192" s="11" t="str">
        <f>CONCATENATE("          ", "6235", " - ", "COVID-19 EXPENSES")</f>
        <v xml:space="preserve">          6235 - COVID-19 EXPENSES</v>
      </c>
      <c r="C192" s="11"/>
      <c r="D192" s="7">
        <v>2921.2</v>
      </c>
      <c r="E192" s="2"/>
      <c r="F192" s="6">
        <f t="shared" si="113"/>
        <v>1.2503438103059115E-2</v>
      </c>
      <c r="G192" s="2"/>
      <c r="H192" s="7">
        <v>500</v>
      </c>
      <c r="I192" s="2"/>
      <c r="J192" s="6">
        <f t="shared" si="114"/>
        <v>1.3481340476646274E-3</v>
      </c>
      <c r="K192" s="2"/>
      <c r="L192" s="7">
        <f t="shared" si="115"/>
        <v>2421.1999999999998</v>
      </c>
      <c r="M192" s="2"/>
      <c r="N192" s="6">
        <f t="shared" si="116"/>
        <v>4.8423999999999996</v>
      </c>
      <c r="O192" s="11"/>
      <c r="P192" s="7">
        <v>31377.83</v>
      </c>
      <c r="Q192" s="2"/>
      <c r="R192" s="6">
        <f t="shared" si="117"/>
        <v>1.1627384400261134E-2</v>
      </c>
      <c r="S192" s="2"/>
      <c r="T192" s="7">
        <v>62600</v>
      </c>
      <c r="U192" s="2"/>
      <c r="V192" s="6">
        <f t="shared" si="118"/>
        <v>1.3286681375404995E-2</v>
      </c>
      <c r="W192" s="2"/>
      <c r="X192" s="7">
        <f t="shared" si="119"/>
        <v>-31222.17</v>
      </c>
      <c r="Y192" s="2"/>
      <c r="Z192" s="6">
        <f t="shared" si="120"/>
        <v>-0.49875670926517568</v>
      </c>
    </row>
    <row r="193" spans="1:26" s="24" customFormat="1" hidden="1" outlineLevel="2" x14ac:dyDescent="0.25">
      <c r="A193" s="29"/>
      <c r="B193" s="11" t="str">
        <f>CONCATENATE("          ", "6237", " - ", "JANITORIAL SUPPLIES")</f>
        <v xml:space="preserve">          6237 - JANITORIAL SUPPLIES</v>
      </c>
      <c r="C193" s="11"/>
      <c r="D193" s="7">
        <v>438.53</v>
      </c>
      <c r="E193" s="2"/>
      <c r="F193" s="6">
        <f t="shared" si="113"/>
        <v>1.8770137995804852E-3</v>
      </c>
      <c r="G193" s="2"/>
      <c r="H193" s="7">
        <v>260</v>
      </c>
      <c r="I193" s="2"/>
      <c r="J193" s="6">
        <f t="shared" si="114"/>
        <v>7.0102970478560622E-4</v>
      </c>
      <c r="K193" s="2"/>
      <c r="L193" s="7">
        <f t="shared" si="115"/>
        <v>178.52999999999997</v>
      </c>
      <c r="M193" s="2"/>
      <c r="N193" s="6">
        <f t="shared" si="116"/>
        <v>0.68665384615384606</v>
      </c>
      <c r="O193" s="11"/>
      <c r="P193" s="7">
        <v>1933.88</v>
      </c>
      <c r="Q193" s="2"/>
      <c r="R193" s="6">
        <f t="shared" si="117"/>
        <v>7.1661954137609265E-4</v>
      </c>
      <c r="S193" s="2"/>
      <c r="T193" s="7">
        <v>1610</v>
      </c>
      <c r="U193" s="2"/>
      <c r="V193" s="6">
        <f t="shared" si="118"/>
        <v>3.4171816316936167E-4</v>
      </c>
      <c r="W193" s="2"/>
      <c r="X193" s="7">
        <f t="shared" si="119"/>
        <v>323.88000000000011</v>
      </c>
      <c r="Y193" s="2"/>
      <c r="Z193" s="6">
        <f t="shared" si="120"/>
        <v>0.20116770186335411</v>
      </c>
    </row>
    <row r="194" spans="1:26" s="24" customFormat="1" hidden="1" outlineLevel="2" x14ac:dyDescent="0.25">
      <c r="A194" s="29"/>
      <c r="B194" s="11" t="str">
        <f>CONCATENATE("          ", "6241", " - ", "OFFICE EXPENSE")</f>
        <v xml:space="preserve">          6241 - OFFICE EXPENSE</v>
      </c>
      <c r="C194" s="11"/>
      <c r="D194" s="7">
        <v>308.81</v>
      </c>
      <c r="E194" s="2"/>
      <c r="F194" s="6">
        <f t="shared" si="113"/>
        <v>1.3217810217053558E-3</v>
      </c>
      <c r="G194" s="2"/>
      <c r="H194" s="7">
        <v>925</v>
      </c>
      <c r="I194" s="2"/>
      <c r="J194" s="6">
        <f t="shared" si="114"/>
        <v>2.4940479881795609E-3</v>
      </c>
      <c r="K194" s="2"/>
      <c r="L194" s="7">
        <f t="shared" si="115"/>
        <v>-616.19000000000005</v>
      </c>
      <c r="M194" s="2"/>
      <c r="N194" s="6">
        <f t="shared" si="116"/>
        <v>-0.6661513513513514</v>
      </c>
      <c r="O194" s="11"/>
      <c r="P194" s="7">
        <v>8787.67</v>
      </c>
      <c r="Q194" s="2"/>
      <c r="R194" s="6">
        <f t="shared" si="117"/>
        <v>3.2563633964695061E-3</v>
      </c>
      <c r="S194" s="2"/>
      <c r="T194" s="7">
        <v>3350</v>
      </c>
      <c r="U194" s="2"/>
      <c r="V194" s="6">
        <f t="shared" si="118"/>
        <v>7.1102847615985194E-4</v>
      </c>
      <c r="W194" s="2"/>
      <c r="X194" s="7">
        <f t="shared" si="119"/>
        <v>5437.67</v>
      </c>
      <c r="Y194" s="2"/>
      <c r="Z194" s="6">
        <f t="shared" si="120"/>
        <v>1.6231850746268657</v>
      </c>
    </row>
    <row r="195" spans="1:26" s="24" customFormat="1" hidden="1" outlineLevel="2" x14ac:dyDescent="0.25">
      <c r="A195" s="29"/>
      <c r="B195" s="11" t="str">
        <f>CONCATENATE("          ", "6243", " - ", "PAPER SUPPLIES")</f>
        <v xml:space="preserve">          6243 - PAPER SUPPLIES</v>
      </c>
      <c r="C195" s="11"/>
      <c r="D195" s="7">
        <v>411.1</v>
      </c>
      <c r="E195" s="2"/>
      <c r="F195" s="6">
        <f t="shared" si="113"/>
        <v>1.759606806849104E-3</v>
      </c>
      <c r="G195" s="2"/>
      <c r="H195" s="7">
        <v>3350</v>
      </c>
      <c r="I195" s="2"/>
      <c r="J195" s="6">
        <f t="shared" si="114"/>
        <v>9.0324981193530031E-3</v>
      </c>
      <c r="K195" s="2"/>
      <c r="L195" s="7">
        <f t="shared" si="115"/>
        <v>-2938.9</v>
      </c>
      <c r="M195" s="2"/>
      <c r="N195" s="6">
        <f t="shared" si="116"/>
        <v>-0.87728358208955226</v>
      </c>
      <c r="O195" s="11"/>
      <c r="P195" s="7">
        <v>5093.3999999999996</v>
      </c>
      <c r="Q195" s="2"/>
      <c r="R195" s="6">
        <f t="shared" si="117"/>
        <v>1.8874128550090958E-3</v>
      </c>
      <c r="S195" s="2"/>
      <c r="T195" s="7">
        <v>8700</v>
      </c>
      <c r="U195" s="2"/>
      <c r="V195" s="6">
        <f t="shared" si="118"/>
        <v>1.8465515649524512E-3</v>
      </c>
      <c r="W195" s="2"/>
      <c r="X195" s="7">
        <f t="shared" si="119"/>
        <v>-3606.6000000000004</v>
      </c>
      <c r="Y195" s="2"/>
      <c r="Z195" s="6">
        <f t="shared" si="120"/>
        <v>-0.41455172413793107</v>
      </c>
    </row>
    <row r="196" spans="1:26" s="24" customFormat="1" hidden="1" outlineLevel="2" x14ac:dyDescent="0.25">
      <c r="A196" s="29"/>
      <c r="B196" s="11" t="str">
        <f>CONCATENATE("          ", "6244", " - ", "SAFETY SUPPLY EXPENSE")</f>
        <v xml:space="preserve">          6244 - SAFETY SUPPLY EXPENSE</v>
      </c>
      <c r="C196" s="11"/>
      <c r="D196" s="7"/>
      <c r="E196" s="2"/>
      <c r="F196" s="6">
        <f t="shared" si="113"/>
        <v>0</v>
      </c>
      <c r="G196" s="2"/>
      <c r="H196" s="7">
        <v>0</v>
      </c>
      <c r="I196" s="2"/>
      <c r="J196" s="6">
        <f t="shared" si="114"/>
        <v>0</v>
      </c>
      <c r="K196" s="2"/>
      <c r="L196" s="7">
        <f t="shared" si="115"/>
        <v>0</v>
      </c>
      <c r="M196" s="2"/>
      <c r="N196" s="6">
        <f t="shared" si="116"/>
        <v>0</v>
      </c>
      <c r="O196" s="11"/>
      <c r="P196" s="7"/>
      <c r="Q196" s="2"/>
      <c r="R196" s="6">
        <f t="shared" si="117"/>
        <v>0</v>
      </c>
      <c r="S196" s="2"/>
      <c r="T196" s="7">
        <v>50</v>
      </c>
      <c r="U196" s="2"/>
      <c r="V196" s="6">
        <f t="shared" si="118"/>
        <v>1.0612365315818685E-5</v>
      </c>
      <c r="W196" s="2"/>
      <c r="X196" s="7">
        <f t="shared" si="119"/>
        <v>-50</v>
      </c>
      <c r="Y196" s="2"/>
      <c r="Z196" s="6">
        <f t="shared" si="120"/>
        <v>-1</v>
      </c>
    </row>
    <row r="197" spans="1:26" s="24" customFormat="1" hidden="1" outlineLevel="2" x14ac:dyDescent="0.25">
      <c r="A197" s="29"/>
      <c r="B197" s="11" t="str">
        <f>CONCATENATE("          ", "6245", " - ", "PRINTING")</f>
        <v xml:space="preserve">          6245 - PRINTING</v>
      </c>
      <c r="C197" s="11"/>
      <c r="D197" s="7"/>
      <c r="E197" s="2"/>
      <c r="F197" s="6">
        <f t="shared" si="113"/>
        <v>0</v>
      </c>
      <c r="G197" s="2"/>
      <c r="H197" s="7">
        <v>650</v>
      </c>
      <c r="I197" s="2"/>
      <c r="J197" s="6">
        <f t="shared" si="114"/>
        <v>1.7525742619640156E-3</v>
      </c>
      <c r="K197" s="2"/>
      <c r="L197" s="7">
        <f t="shared" si="115"/>
        <v>-650</v>
      </c>
      <c r="M197" s="2"/>
      <c r="N197" s="6">
        <f t="shared" si="116"/>
        <v>-1</v>
      </c>
      <c r="O197" s="11"/>
      <c r="P197" s="7">
        <v>508.27</v>
      </c>
      <c r="Q197" s="2"/>
      <c r="R197" s="6">
        <f t="shared" si="117"/>
        <v>1.8834478576500434E-4</v>
      </c>
      <c r="S197" s="2"/>
      <c r="T197" s="7">
        <v>2800</v>
      </c>
      <c r="U197" s="2"/>
      <c r="V197" s="6">
        <f t="shared" si="118"/>
        <v>5.9429245768584642E-4</v>
      </c>
      <c r="W197" s="2"/>
      <c r="X197" s="7">
        <f t="shared" si="119"/>
        <v>-2291.73</v>
      </c>
      <c r="Y197" s="2"/>
      <c r="Z197" s="6">
        <f t="shared" si="120"/>
        <v>-0.81847499999999995</v>
      </c>
    </row>
    <row r="198" spans="1:26" s="24" customFormat="1" hidden="1" outlineLevel="2" x14ac:dyDescent="0.25">
      <c r="A198" s="29"/>
      <c r="B198" s="11" t="str">
        <f>CONCATENATE("          ", "6247", " - ", "STORE SUPPLIES")</f>
        <v xml:space="preserve">          6247 - STORE SUPPLIES</v>
      </c>
      <c r="C198" s="11"/>
      <c r="D198" s="7">
        <v>1850.54</v>
      </c>
      <c r="E198" s="2"/>
      <c r="F198" s="6">
        <f t="shared" si="113"/>
        <v>7.9207559726259813E-3</v>
      </c>
      <c r="G198" s="2"/>
      <c r="H198" s="7">
        <v>2475</v>
      </c>
      <c r="I198" s="2"/>
      <c r="J198" s="6">
        <f t="shared" si="114"/>
        <v>6.6732635359399058E-3</v>
      </c>
      <c r="K198" s="2"/>
      <c r="L198" s="7">
        <f t="shared" si="115"/>
        <v>-624.46</v>
      </c>
      <c r="M198" s="2"/>
      <c r="N198" s="6">
        <f t="shared" si="116"/>
        <v>-0.2523070707070707</v>
      </c>
      <c r="O198" s="11"/>
      <c r="P198" s="7">
        <v>30074.390000000003</v>
      </c>
      <c r="Q198" s="2"/>
      <c r="R198" s="6">
        <f t="shared" si="117"/>
        <v>1.1144381021038404E-2</v>
      </c>
      <c r="S198" s="2"/>
      <c r="T198" s="7">
        <v>16300</v>
      </c>
      <c r="U198" s="2"/>
      <c r="V198" s="6">
        <f t="shared" si="118"/>
        <v>3.4596310929568917E-3</v>
      </c>
      <c r="W198" s="2"/>
      <c r="X198" s="7">
        <f t="shared" si="119"/>
        <v>13774.390000000003</v>
      </c>
      <c r="Y198" s="2"/>
      <c r="Z198" s="6">
        <f t="shared" si="120"/>
        <v>0.84505460122699405</v>
      </c>
    </row>
    <row r="199" spans="1:26" s="24" customFormat="1" hidden="1" outlineLevel="2" x14ac:dyDescent="0.25">
      <c r="A199" s="29"/>
      <c r="B199" s="11" t="str">
        <f>CONCATENATE("          ", "6248", " - ", "UNIFORMS")</f>
        <v xml:space="preserve">          6248 - UNIFORMS</v>
      </c>
      <c r="C199" s="11"/>
      <c r="D199" s="7"/>
      <c r="E199" s="2"/>
      <c r="F199" s="6">
        <f t="shared" si="113"/>
        <v>0</v>
      </c>
      <c r="G199" s="2"/>
      <c r="H199" s="7">
        <v>1500</v>
      </c>
      <c r="I199" s="2"/>
      <c r="J199" s="6">
        <f t="shared" si="114"/>
        <v>4.0444021429938823E-3</v>
      </c>
      <c r="K199" s="2"/>
      <c r="L199" s="7">
        <f t="shared" si="115"/>
        <v>-1500</v>
      </c>
      <c r="M199" s="2"/>
      <c r="N199" s="6">
        <f t="shared" si="116"/>
        <v>-1</v>
      </c>
      <c r="O199" s="11"/>
      <c r="P199" s="7"/>
      <c r="Q199" s="2"/>
      <c r="R199" s="6">
        <f t="shared" si="117"/>
        <v>0</v>
      </c>
      <c r="S199" s="2"/>
      <c r="T199" s="7">
        <v>9100</v>
      </c>
      <c r="U199" s="2"/>
      <c r="V199" s="6">
        <f t="shared" si="118"/>
        <v>1.9314504874790009E-3</v>
      </c>
      <c r="W199" s="2"/>
      <c r="X199" s="7">
        <f t="shared" si="119"/>
        <v>-9100</v>
      </c>
      <c r="Y199" s="2"/>
      <c r="Z199" s="6">
        <f t="shared" si="120"/>
        <v>-1</v>
      </c>
    </row>
    <row r="200" spans="1:26" s="28" customFormat="1" outlineLevel="1" collapsed="1" x14ac:dyDescent="0.25">
      <c r="A200" s="27"/>
      <c r="B200" s="14" t="str">
        <f>CONCATENATE("     ","Telephone/Data Lines                              ")</f>
        <v xml:space="preserve">     Telephone/Data Lines                              </v>
      </c>
      <c r="C200" s="14"/>
      <c r="D200" s="1">
        <f>SUM(OSRRefD22_21x_0)</f>
        <v>1971.54</v>
      </c>
      <c r="E200" s="1"/>
      <c r="F200" s="5">
        <f t="shared" ref="F200:F202" si="121">IF(D$12=0,0,D200/D$12)</f>
        <v>8.4386650546710833E-3</v>
      </c>
      <c r="G200" s="1"/>
      <c r="H200" s="1">
        <f>SUM(OSRRefH22_21x_0)</f>
        <v>2595</v>
      </c>
      <c r="I200" s="1"/>
      <c r="J200" s="5">
        <f t="shared" ref="J200:J202" si="122">IF(H$12=0,0,H200/H$12)</f>
        <v>6.9968157073794163E-3</v>
      </c>
      <c r="K200" s="1"/>
      <c r="L200" s="1">
        <f t="shared" ref="L200:L202" si="123">+D200-H200</f>
        <v>-623.46</v>
      </c>
      <c r="M200" s="1"/>
      <c r="N200" s="5">
        <f t="shared" ref="N200:N202" si="124">IF(H200=0,0,L200/H200)</f>
        <v>-0.24025433526011561</v>
      </c>
      <c r="O200" s="14"/>
      <c r="P200" s="1">
        <f>SUM(OSRRefP22_21x_0)</f>
        <v>15028.19</v>
      </c>
      <c r="Q200" s="1"/>
      <c r="R200" s="5">
        <f t="shared" ref="R200:R202" si="125">IF(P$12=0,0,P200/P$12)</f>
        <v>5.5688536132090837E-3</v>
      </c>
      <c r="S200" s="1"/>
      <c r="T200" s="1">
        <f>SUM(OSRRefT22_21x_0)</f>
        <v>15570</v>
      </c>
      <c r="U200" s="1"/>
      <c r="V200" s="5">
        <f t="shared" ref="V200:V202" si="126">IF(T$12=0,0,T200/T$12)</f>
        <v>3.3046905593459388E-3</v>
      </c>
      <c r="W200" s="1"/>
      <c r="X200" s="1">
        <f t="shared" ref="X200:X202" si="127">+P200-T200</f>
        <v>-541.80999999999949</v>
      </c>
      <c r="Y200" s="1"/>
      <c r="Z200" s="5">
        <f t="shared" ref="Z200:Z202" si="128">IF(T200=0,0,X200/T200)</f>
        <v>-3.4798330122029514E-2</v>
      </c>
    </row>
    <row r="201" spans="1:26" s="24" customFormat="1" hidden="1" outlineLevel="2" x14ac:dyDescent="0.25">
      <c r="A201" s="29"/>
      <c r="B201" s="11" t="str">
        <f>CONCATENATE("          ", "6303", " - ", "DATA PHONE LINES")</f>
        <v xml:space="preserve">          6303 - DATA PHONE LINES</v>
      </c>
      <c r="C201" s="11"/>
      <c r="D201" s="7"/>
      <c r="E201" s="2"/>
      <c r="F201" s="6">
        <f t="shared" si="121"/>
        <v>0</v>
      </c>
      <c r="G201" s="2"/>
      <c r="H201" s="7">
        <v>630</v>
      </c>
      <c r="I201" s="2"/>
      <c r="J201" s="6">
        <f t="shared" si="122"/>
        <v>1.6986489000574306E-3</v>
      </c>
      <c r="K201" s="2"/>
      <c r="L201" s="7">
        <f t="shared" si="123"/>
        <v>-630</v>
      </c>
      <c r="M201" s="2"/>
      <c r="N201" s="6">
        <f t="shared" si="124"/>
        <v>-1</v>
      </c>
      <c r="O201" s="11"/>
      <c r="P201" s="7">
        <v>2065</v>
      </c>
      <c r="Q201" s="2"/>
      <c r="R201" s="6">
        <f t="shared" si="125"/>
        <v>7.6520743424702219E-4</v>
      </c>
      <c r="S201" s="2"/>
      <c r="T201" s="7">
        <v>3780</v>
      </c>
      <c r="U201" s="2"/>
      <c r="V201" s="6">
        <f t="shared" si="126"/>
        <v>8.0229481787589261E-4</v>
      </c>
      <c r="W201" s="2"/>
      <c r="X201" s="7">
        <f t="shared" si="127"/>
        <v>-1715</v>
      </c>
      <c r="Y201" s="2"/>
      <c r="Z201" s="6">
        <f t="shared" si="128"/>
        <v>-0.45370370370370372</v>
      </c>
    </row>
    <row r="202" spans="1:26" s="24" customFormat="1" hidden="1" outlineLevel="2" x14ac:dyDescent="0.25">
      <c r="A202" s="29"/>
      <c r="B202" s="11" t="str">
        <f>CONCATENATE("          ", "6309", " - ", "TELEPHONE")</f>
        <v xml:space="preserve">          6309 - TELEPHONE</v>
      </c>
      <c r="C202" s="11"/>
      <c r="D202" s="7">
        <v>1971.54</v>
      </c>
      <c r="E202" s="2"/>
      <c r="F202" s="6">
        <f t="shared" si="121"/>
        <v>8.4386650546710833E-3</v>
      </c>
      <c r="G202" s="2"/>
      <c r="H202" s="7">
        <v>1965</v>
      </c>
      <c r="I202" s="2"/>
      <c r="J202" s="6">
        <f t="shared" si="122"/>
        <v>5.2981668073219853E-3</v>
      </c>
      <c r="K202" s="2"/>
      <c r="L202" s="7">
        <f t="shared" si="123"/>
        <v>6.5399999999999636</v>
      </c>
      <c r="M202" s="2"/>
      <c r="N202" s="6">
        <f t="shared" si="124"/>
        <v>3.3282442748091418E-3</v>
      </c>
      <c r="O202" s="11"/>
      <c r="P202" s="7">
        <v>12963.19</v>
      </c>
      <c r="Q202" s="2"/>
      <c r="R202" s="6">
        <f t="shared" si="125"/>
        <v>4.8036461789620613E-3</v>
      </c>
      <c r="S202" s="2"/>
      <c r="T202" s="7">
        <v>11790</v>
      </c>
      <c r="U202" s="2"/>
      <c r="V202" s="6">
        <f t="shared" si="126"/>
        <v>2.5023957414700461E-3</v>
      </c>
      <c r="W202" s="2"/>
      <c r="X202" s="7">
        <f t="shared" si="127"/>
        <v>1173.1900000000005</v>
      </c>
      <c r="Y202" s="2"/>
      <c r="Z202" s="6">
        <f t="shared" si="128"/>
        <v>9.9507209499575949E-2</v>
      </c>
    </row>
    <row r="203" spans="1:26" s="28" customFormat="1" outlineLevel="1" collapsed="1" x14ac:dyDescent="0.25">
      <c r="A203" s="27"/>
      <c r="B203" s="14" t="str">
        <f>CONCATENATE("     ","Training                                          ")</f>
        <v xml:space="preserve">     Training                                          </v>
      </c>
      <c r="C203" s="14"/>
      <c r="D203" s="1">
        <f>SUM(OSRRefD22_22x_0)</f>
        <v>0</v>
      </c>
      <c r="E203" s="1"/>
      <c r="F203" s="5">
        <f t="shared" ref="F203:F208" si="129">IF(D$12=0,0,D203/D$12)</f>
        <v>0</v>
      </c>
      <c r="G203" s="1"/>
      <c r="H203" s="1">
        <f>SUM(OSRRefH22_22x_0)</f>
        <v>1800</v>
      </c>
      <c r="I203" s="1"/>
      <c r="J203" s="5">
        <f t="shared" ref="J203:J208" si="130">IF(H$12=0,0,H203/H$12)</f>
        <v>4.8532825715926582E-3</v>
      </c>
      <c r="K203" s="1"/>
      <c r="L203" s="1">
        <f t="shared" ref="L203:L208" si="131">+D203-H203</f>
        <v>-1800</v>
      </c>
      <c r="M203" s="1"/>
      <c r="N203" s="5">
        <f t="shared" ref="N203:N208" si="132">IF(H203=0,0,L203/H203)</f>
        <v>-1</v>
      </c>
      <c r="O203" s="14"/>
      <c r="P203" s="1">
        <f>SUM(OSRRefP22_22x_0)</f>
        <v>145.63</v>
      </c>
      <c r="Q203" s="1"/>
      <c r="R203" s="5">
        <f t="shared" ref="R203:R208" si="133">IF(P$12=0,0,P203/P$12)</f>
        <v>5.396472573820525E-5</v>
      </c>
      <c r="S203" s="1"/>
      <c r="T203" s="1">
        <f>SUM(OSRRefT22_22x_0)</f>
        <v>5110</v>
      </c>
      <c r="U203" s="1"/>
      <c r="V203" s="5">
        <f t="shared" ref="V203:V208" si="134">IF(T$12=0,0,T203/T$12)</f>
        <v>1.0845837352766697E-3</v>
      </c>
      <c r="W203" s="1"/>
      <c r="X203" s="1">
        <f t="shared" ref="X203:X208" si="135">+P203-T203</f>
        <v>-4964.37</v>
      </c>
      <c r="Y203" s="1"/>
      <c r="Z203" s="5">
        <f t="shared" ref="Z203:Z208" si="136">IF(T203=0,0,X203/T203)</f>
        <v>-0.97150097847358119</v>
      </c>
    </row>
    <row r="204" spans="1:26" s="24" customFormat="1" hidden="1" outlineLevel="2" x14ac:dyDescent="0.25">
      <c r="A204" s="29"/>
      <c r="B204" s="11" t="str">
        <f>CONCATENATE("          ", "6376", " - ", "TRAINING")</f>
        <v xml:space="preserve">          6376 - TRAINING</v>
      </c>
      <c r="C204" s="11"/>
      <c r="D204" s="7"/>
      <c r="E204" s="2"/>
      <c r="F204" s="6">
        <f t="shared" si="129"/>
        <v>0</v>
      </c>
      <c r="G204" s="2"/>
      <c r="H204" s="7">
        <v>1800</v>
      </c>
      <c r="I204" s="2"/>
      <c r="J204" s="6">
        <f t="shared" si="130"/>
        <v>4.8532825715926582E-3</v>
      </c>
      <c r="K204" s="2"/>
      <c r="L204" s="7">
        <f t="shared" si="131"/>
        <v>-1800</v>
      </c>
      <c r="M204" s="2"/>
      <c r="N204" s="6">
        <f t="shared" si="132"/>
        <v>-1</v>
      </c>
      <c r="O204" s="11"/>
      <c r="P204" s="7">
        <v>145.63</v>
      </c>
      <c r="Q204" s="2"/>
      <c r="R204" s="6">
        <f t="shared" si="133"/>
        <v>5.396472573820525E-5</v>
      </c>
      <c r="S204" s="2"/>
      <c r="T204" s="7">
        <v>5110</v>
      </c>
      <c r="U204" s="2"/>
      <c r="V204" s="6">
        <f t="shared" si="134"/>
        <v>1.0845837352766697E-3</v>
      </c>
      <c r="W204" s="2"/>
      <c r="X204" s="7">
        <f t="shared" si="135"/>
        <v>-4964.37</v>
      </c>
      <c r="Y204" s="2"/>
      <c r="Z204" s="6">
        <f t="shared" si="136"/>
        <v>-0.97150097847358119</v>
      </c>
    </row>
    <row r="205" spans="1:26" s="28" customFormat="1" outlineLevel="1" collapsed="1" x14ac:dyDescent="0.25">
      <c r="A205" s="27"/>
      <c r="B205" s="14" t="str">
        <f>CONCATENATE("     ","Travel                                            ")</f>
        <v xml:space="preserve">     Travel                                            </v>
      </c>
      <c r="C205" s="14"/>
      <c r="D205" s="1">
        <f>SUM(OSRRefD22_23x_0)</f>
        <v>0</v>
      </c>
      <c r="E205" s="1"/>
      <c r="F205" s="5">
        <f t="shared" si="129"/>
        <v>0</v>
      </c>
      <c r="G205" s="1"/>
      <c r="H205" s="1">
        <f>SUM(OSRRefH22_23x_0)</f>
        <v>225</v>
      </c>
      <c r="I205" s="1"/>
      <c r="J205" s="5">
        <f t="shared" si="130"/>
        <v>6.0666032144908227E-4</v>
      </c>
      <c r="K205" s="1"/>
      <c r="L205" s="1">
        <f t="shared" si="131"/>
        <v>-225</v>
      </c>
      <c r="M205" s="1"/>
      <c r="N205" s="5">
        <f t="shared" si="132"/>
        <v>-1</v>
      </c>
      <c r="O205" s="14"/>
      <c r="P205" s="1">
        <f>SUM(OSRRefP22_23x_0)</f>
        <v>680.93</v>
      </c>
      <c r="Q205" s="1"/>
      <c r="R205" s="5">
        <f t="shared" si="133"/>
        <v>2.5232576184107739E-4</v>
      </c>
      <c r="S205" s="1"/>
      <c r="T205" s="1">
        <f>SUM(OSRRefT22_23x_0)</f>
        <v>475</v>
      </c>
      <c r="U205" s="1"/>
      <c r="V205" s="5">
        <f t="shared" si="134"/>
        <v>1.0081747050027751E-4</v>
      </c>
      <c r="W205" s="1"/>
      <c r="X205" s="1">
        <f t="shared" si="135"/>
        <v>205.92999999999995</v>
      </c>
      <c r="Y205" s="1"/>
      <c r="Z205" s="5">
        <f t="shared" si="136"/>
        <v>0.43353684210526305</v>
      </c>
    </row>
    <row r="206" spans="1:26" s="24" customFormat="1" hidden="1" outlineLevel="2" x14ac:dyDescent="0.25">
      <c r="A206" s="29"/>
      <c r="B206" s="11" t="str">
        <f>CONCATENATE("          ", "6292", " - ", "TRAVEL/CONFERENCE")</f>
        <v xml:space="preserve">          6292 - TRAVEL/CONFERENCE</v>
      </c>
      <c r="C206" s="11"/>
      <c r="D206" s="7"/>
      <c r="E206" s="2"/>
      <c r="F206" s="6">
        <f t="shared" si="129"/>
        <v>0</v>
      </c>
      <c r="G206" s="2"/>
      <c r="H206" s="7"/>
      <c r="I206" s="2"/>
      <c r="J206" s="6">
        <f t="shared" si="130"/>
        <v>0</v>
      </c>
      <c r="K206" s="2"/>
      <c r="L206" s="7">
        <f t="shared" si="131"/>
        <v>0</v>
      </c>
      <c r="M206" s="2"/>
      <c r="N206" s="6">
        <f t="shared" si="132"/>
        <v>0</v>
      </c>
      <c r="O206" s="11"/>
      <c r="P206" s="7">
        <v>299.16000000000003</v>
      </c>
      <c r="Q206" s="2"/>
      <c r="R206" s="6">
        <f t="shared" si="133"/>
        <v>1.1085687943309404E-4</v>
      </c>
      <c r="S206" s="2"/>
      <c r="T206" s="7">
        <v>0</v>
      </c>
      <c r="U206" s="2"/>
      <c r="V206" s="6">
        <f t="shared" si="134"/>
        <v>0</v>
      </c>
      <c r="W206" s="2"/>
      <c r="X206" s="7">
        <f t="shared" si="135"/>
        <v>299.16000000000003</v>
      </c>
      <c r="Y206" s="2"/>
      <c r="Z206" s="6">
        <f t="shared" si="136"/>
        <v>0</v>
      </c>
    </row>
    <row r="207" spans="1:26" s="24" customFormat="1" hidden="1" outlineLevel="2" x14ac:dyDescent="0.25">
      <c r="A207" s="29"/>
      <c r="B207" s="11" t="str">
        <f>CONCATENATE("          ", "6294", " - ", "TRAVEL OPERATIONAL")</f>
        <v xml:space="preserve">          6294 - TRAVEL OPERATIONAL</v>
      </c>
      <c r="C207" s="11"/>
      <c r="D207" s="7"/>
      <c r="E207" s="2"/>
      <c r="F207" s="6">
        <f t="shared" si="129"/>
        <v>0</v>
      </c>
      <c r="G207" s="2"/>
      <c r="H207" s="7">
        <v>25</v>
      </c>
      <c r="I207" s="2"/>
      <c r="J207" s="6">
        <f t="shared" si="130"/>
        <v>6.7406702383231368E-5</v>
      </c>
      <c r="K207" s="2"/>
      <c r="L207" s="7">
        <f t="shared" si="131"/>
        <v>-25</v>
      </c>
      <c r="M207" s="2"/>
      <c r="N207" s="6">
        <f t="shared" si="132"/>
        <v>-1</v>
      </c>
      <c r="O207" s="11"/>
      <c r="P207" s="7">
        <v>321.88</v>
      </c>
      <c r="Q207" s="2"/>
      <c r="R207" s="6">
        <f t="shared" si="133"/>
        <v>1.1927601401231551E-4</v>
      </c>
      <c r="S207" s="2"/>
      <c r="T207" s="7">
        <v>150</v>
      </c>
      <c r="U207" s="2"/>
      <c r="V207" s="6">
        <f t="shared" si="134"/>
        <v>3.1837095947456056E-5</v>
      </c>
      <c r="W207" s="2"/>
      <c r="X207" s="7">
        <f t="shared" si="135"/>
        <v>171.88</v>
      </c>
      <c r="Y207" s="2"/>
      <c r="Z207" s="6">
        <f t="shared" si="136"/>
        <v>1.1458666666666666</v>
      </c>
    </row>
    <row r="208" spans="1:26" s="24" customFormat="1" hidden="1" outlineLevel="2" x14ac:dyDescent="0.25">
      <c r="A208" s="29"/>
      <c r="B208" s="11" t="str">
        <f>CONCATENATE("          ", "6298", " - ", "VEHICLE MILEAGE")</f>
        <v xml:space="preserve">          6298 - VEHICLE MILEAGE</v>
      </c>
      <c r="C208" s="11"/>
      <c r="D208" s="7"/>
      <c r="E208" s="2"/>
      <c r="F208" s="6">
        <f t="shared" si="129"/>
        <v>0</v>
      </c>
      <c r="G208" s="2"/>
      <c r="H208" s="7">
        <v>200</v>
      </c>
      <c r="I208" s="2"/>
      <c r="J208" s="6">
        <f t="shared" si="130"/>
        <v>5.3925361906585095E-4</v>
      </c>
      <c r="K208" s="2"/>
      <c r="L208" s="7">
        <f t="shared" si="131"/>
        <v>-200</v>
      </c>
      <c r="M208" s="2"/>
      <c r="N208" s="6">
        <f t="shared" si="132"/>
        <v>-1</v>
      </c>
      <c r="O208" s="11"/>
      <c r="P208" s="7">
        <v>59.89</v>
      </c>
      <c r="Q208" s="2"/>
      <c r="R208" s="6">
        <f t="shared" si="133"/>
        <v>2.2192868395667875E-5</v>
      </c>
      <c r="S208" s="2"/>
      <c r="T208" s="7">
        <v>325</v>
      </c>
      <c r="U208" s="2"/>
      <c r="V208" s="6">
        <f t="shared" si="134"/>
        <v>6.898037455282145E-5</v>
      </c>
      <c r="W208" s="2"/>
      <c r="X208" s="7">
        <f t="shared" si="135"/>
        <v>-265.11</v>
      </c>
      <c r="Y208" s="2"/>
      <c r="Z208" s="6">
        <f t="shared" si="136"/>
        <v>-0.815723076923077</v>
      </c>
    </row>
    <row r="209" spans="1:26" s="28" customFormat="1" outlineLevel="1" collapsed="1" x14ac:dyDescent="0.25">
      <c r="A209" s="27"/>
      <c r="B209" s="14" t="str">
        <f>CONCATENATE("     ","Utilities                                         ")</f>
        <v xml:space="preserve">     Utilities                                         </v>
      </c>
      <c r="C209" s="14"/>
      <c r="D209" s="1">
        <f>SUM(OSRRefD22_24x_0)</f>
        <v>6175.61</v>
      </c>
      <c r="E209" s="1"/>
      <c r="F209" s="5">
        <f t="shared" ref="F209:F210" si="137">IF(D$12=0,0,D209/D$12)</f>
        <v>2.6433095092302104E-2</v>
      </c>
      <c r="G209" s="1"/>
      <c r="H209" s="1">
        <f>SUM(OSRRefH22_24x_0)</f>
        <v>6225</v>
      </c>
      <c r="I209" s="1"/>
      <c r="J209" s="5">
        <f t="shared" ref="J209:J210" si="138">IF(H$12=0,0,H209/H$12)</f>
        <v>1.678426889342461E-2</v>
      </c>
      <c r="K209" s="1"/>
      <c r="L209" s="1">
        <f t="shared" ref="L209:L210" si="139">+D209-H209</f>
        <v>-49.390000000000327</v>
      </c>
      <c r="M209" s="1"/>
      <c r="N209" s="5">
        <f t="shared" ref="N209:N210" si="140">IF(H209=0,0,L209/H209)</f>
        <v>-7.9341365461847915E-3</v>
      </c>
      <c r="O209" s="14"/>
      <c r="P209" s="1">
        <f>SUM(OSRRefP22_24x_0)</f>
        <v>36761.420000000006</v>
      </c>
      <c r="Q209" s="1"/>
      <c r="R209" s="5">
        <f t="shared" ref="R209:R210" si="141">IF(P$12=0,0,P209/P$12)</f>
        <v>1.3622330207010737E-2</v>
      </c>
      <c r="S209" s="1"/>
      <c r="T209" s="1">
        <f>SUM(OSRRefT22_24x_0)</f>
        <v>36750</v>
      </c>
      <c r="U209" s="1"/>
      <c r="V209" s="5">
        <f t="shared" ref="V209:V210" si="142">IF(T$12=0,0,T209/T$12)</f>
        <v>7.800088507126734E-3</v>
      </c>
      <c r="W209" s="1"/>
      <c r="X209" s="1">
        <f t="shared" ref="X209:X210" si="143">+P209-T209</f>
        <v>11.42000000000553</v>
      </c>
      <c r="Y209" s="1"/>
      <c r="Z209" s="5">
        <f t="shared" ref="Z209:Z210" si="144">IF(T209=0,0,X209/T209)</f>
        <v>3.1074829931987836E-4</v>
      </c>
    </row>
    <row r="210" spans="1:26" s="24" customFormat="1" hidden="1" outlineLevel="2" x14ac:dyDescent="0.25">
      <c r="A210" s="29"/>
      <c r="B210" s="11" t="str">
        <f>CONCATENATE("          ", "6274", " - ", "UTILITIES")</f>
        <v xml:space="preserve">          6274 - UTILITIES</v>
      </c>
      <c r="C210" s="11"/>
      <c r="D210" s="7">
        <v>6175.61</v>
      </c>
      <c r="E210" s="2"/>
      <c r="F210" s="6">
        <f t="shared" si="137"/>
        <v>2.6433095092302104E-2</v>
      </c>
      <c r="G210" s="2"/>
      <c r="H210" s="7">
        <v>6225</v>
      </c>
      <c r="I210" s="2"/>
      <c r="J210" s="6">
        <f t="shared" si="138"/>
        <v>1.678426889342461E-2</v>
      </c>
      <c r="K210" s="2"/>
      <c r="L210" s="7">
        <f t="shared" si="139"/>
        <v>-49.390000000000327</v>
      </c>
      <c r="M210" s="2"/>
      <c r="N210" s="6">
        <f t="shared" si="140"/>
        <v>-7.9341365461847915E-3</v>
      </c>
      <c r="O210" s="11"/>
      <c r="P210" s="7">
        <v>36761.420000000006</v>
      </c>
      <c r="Q210" s="2"/>
      <c r="R210" s="6">
        <f t="shared" si="141"/>
        <v>1.3622330207010737E-2</v>
      </c>
      <c r="S210" s="2"/>
      <c r="T210" s="7">
        <v>36750</v>
      </c>
      <c r="U210" s="2"/>
      <c r="V210" s="6">
        <f t="shared" si="142"/>
        <v>7.800088507126734E-3</v>
      </c>
      <c r="W210" s="2"/>
      <c r="X210" s="7">
        <f t="shared" si="143"/>
        <v>11.42000000000553</v>
      </c>
      <c r="Y210" s="2"/>
      <c r="Z210" s="6">
        <f t="shared" si="144"/>
        <v>3.1074829931987836E-4</v>
      </c>
    </row>
    <row r="211" spans="1:26" s="53" customFormat="1" x14ac:dyDescent="0.25">
      <c r="A211" s="36"/>
      <c r="B211" s="36"/>
      <c r="C211" s="36"/>
      <c r="D211" s="1"/>
      <c r="E211" s="1"/>
      <c r="F211" s="5"/>
      <c r="G211" s="1"/>
      <c r="H211" s="1"/>
      <c r="I211" s="1"/>
      <c r="J211" s="5"/>
      <c r="K211" s="1"/>
      <c r="L211" s="1"/>
      <c r="M211" s="1"/>
      <c r="N211" s="5"/>
      <c r="O211" s="36"/>
      <c r="P211" s="1"/>
      <c r="Q211" s="1"/>
      <c r="R211" s="5"/>
      <c r="S211" s="1"/>
      <c r="T211" s="1"/>
      <c r="U211" s="1"/>
      <c r="V211" s="5"/>
      <c r="W211" s="1"/>
      <c r="X211" s="1"/>
      <c r="Y211" s="1"/>
      <c r="Z211" s="5"/>
    </row>
    <row r="212" spans="1:26" s="23" customFormat="1" collapsed="1" x14ac:dyDescent="0.25">
      <c r="A212" s="10"/>
      <c r="B212" s="26" t="s">
        <v>0</v>
      </c>
      <c r="C212" s="10"/>
      <c r="D212" s="4">
        <f>SUM(OSRRefD25x_0)</f>
        <v>20009.02</v>
      </c>
      <c r="E212" s="4"/>
      <c r="F212" s="12">
        <f t="shared" ref="F212:F216" si="145">IF(D$12=0,0,D212/D$12)</f>
        <v>8.5643414717537961E-2</v>
      </c>
      <c r="G212" s="4"/>
      <c r="H212" s="4">
        <f>SUM(OSRRefH25x_0)</f>
        <v>211345</v>
      </c>
      <c r="I212" s="4"/>
      <c r="J212" s="12">
        <f t="shared" ref="J212:J216" si="146">IF(H$12=0,0,H212/H$12)</f>
        <v>0.56984278060736138</v>
      </c>
      <c r="K212" s="4"/>
      <c r="L212" s="4">
        <f t="shared" ref="L212:L216" si="147">+D212-H212</f>
        <v>-191335.98</v>
      </c>
      <c r="M212" s="4"/>
      <c r="N212" s="12">
        <f t="shared" ref="N212:N216" si="148">IF(H212=0,0,L212/H212)</f>
        <v>-0.90532532115734943</v>
      </c>
      <c r="O212" s="10"/>
      <c r="P212" s="4">
        <f>SUM(OSRRefP25x_0)</f>
        <v>544389.27</v>
      </c>
      <c r="Q212" s="4"/>
      <c r="R212" s="12">
        <f t="shared" ref="R212:R216" si="149">IF(P$12=0,0,P212/P$12)</f>
        <v>0.20172916054639684</v>
      </c>
      <c r="S212" s="4"/>
      <c r="T212" s="4">
        <f>SUM(OSRRefT25x_0)</f>
        <v>475229</v>
      </c>
      <c r="U212" s="4"/>
      <c r="V212" s="12">
        <f t="shared" ref="V212:V216" si="150">IF(T$12=0,0,T212/T$12)</f>
        <v>0.10086607513342397</v>
      </c>
      <c r="W212" s="4"/>
      <c r="X212" s="4">
        <f t="shared" ref="X212:X216" si="151">+P212-T212</f>
        <v>69160.270000000019</v>
      </c>
      <c r="Y212" s="4"/>
      <c r="Z212" s="12">
        <f t="shared" ref="Z212:Z216" si="152">IF(T212=0,0,X212/T212)</f>
        <v>0.14553040744567361</v>
      </c>
    </row>
    <row r="213" spans="1:26" s="24" customFormat="1" hidden="1" outlineLevel="1" x14ac:dyDescent="0.25">
      <c r="A213" s="51"/>
      <c r="B213" s="11" t="str">
        <f>CONCATENATE("          ", "9150", " - ", "MISC. INCOME")</f>
        <v xml:space="preserve">          9150 - MISC. INCOME</v>
      </c>
      <c r="C213" s="11"/>
      <c r="D213" s="2">
        <f>--19529.32</f>
        <v>19529.32</v>
      </c>
      <c r="E213" s="2"/>
      <c r="F213" s="22">
        <f t="shared" si="145"/>
        <v>8.3590183422851724E-2</v>
      </c>
      <c r="G213" s="2"/>
      <c r="H213" s="2">
        <v>22550</v>
      </c>
      <c r="I213" s="2"/>
      <c r="J213" s="22">
        <f t="shared" si="146"/>
        <v>6.0800845549674694E-2</v>
      </c>
      <c r="K213" s="2"/>
      <c r="L213" s="2">
        <f t="shared" si="147"/>
        <v>-3020.6800000000003</v>
      </c>
      <c r="M213" s="2"/>
      <c r="N213" s="22">
        <f t="shared" si="148"/>
        <v>-0.13395476718403548</v>
      </c>
      <c r="O213" s="11"/>
      <c r="P213" s="2">
        <f>--218612.11</f>
        <v>218612.11</v>
      </c>
      <c r="Q213" s="2"/>
      <c r="R213" s="22">
        <f t="shared" si="149"/>
        <v>8.1009012972604252E-2</v>
      </c>
      <c r="S213" s="2"/>
      <c r="T213" s="2">
        <v>118300</v>
      </c>
      <c r="U213" s="2"/>
      <c r="V213" s="22">
        <f t="shared" si="150"/>
        <v>2.5108856337227009E-2</v>
      </c>
      <c r="W213" s="2"/>
      <c r="X213" s="2">
        <f t="shared" si="151"/>
        <v>100312.10999999999</v>
      </c>
      <c r="Y213" s="2"/>
      <c r="Z213" s="22">
        <f t="shared" si="152"/>
        <v>0.84794683009298377</v>
      </c>
    </row>
    <row r="214" spans="1:26" s="24" customFormat="1" hidden="1" outlineLevel="1" x14ac:dyDescent="0.25">
      <c r="A214" s="51"/>
      <c r="B214" s="11" t="str">
        <f>CONCATENATE("          ", "9151", " - ", "MISC. INCOME")</f>
        <v xml:space="preserve">          9151 - MISC. INCOME</v>
      </c>
      <c r="C214" s="11"/>
      <c r="D214" s="2">
        <f>0</f>
        <v>0</v>
      </c>
      <c r="E214" s="2"/>
      <c r="F214" s="22">
        <f t="shared" si="145"/>
        <v>0</v>
      </c>
      <c r="G214" s="2"/>
      <c r="H214" s="2">
        <v>188795</v>
      </c>
      <c r="I214" s="2"/>
      <c r="J214" s="22">
        <f t="shared" si="146"/>
        <v>0.50904193505768669</v>
      </c>
      <c r="K214" s="2"/>
      <c r="L214" s="2">
        <f t="shared" si="147"/>
        <v>-188795</v>
      </c>
      <c r="M214" s="2"/>
      <c r="N214" s="22">
        <f t="shared" si="148"/>
        <v>-1</v>
      </c>
      <c r="O214" s="11"/>
      <c r="P214" s="2">
        <f>--147285.39</f>
        <v>147285.39000000001</v>
      </c>
      <c r="Q214" s="2"/>
      <c r="R214" s="22">
        <f t="shared" si="149"/>
        <v>5.4578147885700742E-2</v>
      </c>
      <c r="S214" s="2"/>
      <c r="T214" s="2">
        <v>356929</v>
      </c>
      <c r="U214" s="2"/>
      <c r="V214" s="22">
        <f t="shared" si="150"/>
        <v>7.5757218796196957E-2</v>
      </c>
      <c r="W214" s="2"/>
      <c r="X214" s="2">
        <f t="shared" si="151"/>
        <v>-209643.61</v>
      </c>
      <c r="Y214" s="2"/>
      <c r="Z214" s="22">
        <f t="shared" si="152"/>
        <v>-0.58735381546470022</v>
      </c>
    </row>
    <row r="215" spans="1:26" s="24" customFormat="1" hidden="1" outlineLevel="1" x14ac:dyDescent="0.25">
      <c r="A215" s="51"/>
      <c r="B215" s="11" t="str">
        <f>CONCATENATE("          ", "9152", " - ", "MISC. INCOME")</f>
        <v xml:space="preserve">          9152 - MISC. INCOME</v>
      </c>
      <c r="C215" s="11"/>
      <c r="D215" s="2">
        <f>--479.7</f>
        <v>479.7</v>
      </c>
      <c r="E215" s="2"/>
      <c r="F215" s="22">
        <f t="shared" si="145"/>
        <v>2.0532312946862446E-3</v>
      </c>
      <c r="G215" s="2"/>
      <c r="H215" s="2"/>
      <c r="I215" s="2"/>
      <c r="J215" s="22">
        <f t="shared" si="146"/>
        <v>0</v>
      </c>
      <c r="K215" s="2"/>
      <c r="L215" s="2">
        <f t="shared" si="147"/>
        <v>479.7</v>
      </c>
      <c r="M215" s="2"/>
      <c r="N215" s="22">
        <f t="shared" si="148"/>
        <v>0</v>
      </c>
      <c r="O215" s="11"/>
      <c r="P215" s="2">
        <f>--3085.93</f>
        <v>3085.93</v>
      </c>
      <c r="Q215" s="2"/>
      <c r="R215" s="22">
        <f t="shared" si="149"/>
        <v>1.1435237663757448E-3</v>
      </c>
      <c r="S215" s="2"/>
      <c r="T215" s="2"/>
      <c r="U215" s="2"/>
      <c r="V215" s="22">
        <f t="shared" si="150"/>
        <v>0</v>
      </c>
      <c r="W215" s="2"/>
      <c r="X215" s="2">
        <f t="shared" si="151"/>
        <v>3085.93</v>
      </c>
      <c r="Y215" s="2"/>
      <c r="Z215" s="22">
        <f t="shared" si="152"/>
        <v>0</v>
      </c>
    </row>
    <row r="216" spans="1:26" s="24" customFormat="1" hidden="1" outlineLevel="1" x14ac:dyDescent="0.25">
      <c r="A216" s="51"/>
      <c r="B216" s="11" t="str">
        <f>CONCATENATE("          ", "9163", " - ", "MISC. INCOME")</f>
        <v xml:space="preserve">          9163 - MISC. INCOME</v>
      </c>
      <c r="C216" s="11"/>
      <c r="D216" s="2">
        <f>0</f>
        <v>0</v>
      </c>
      <c r="E216" s="2"/>
      <c r="F216" s="22">
        <f t="shared" si="145"/>
        <v>0</v>
      </c>
      <c r="G216" s="2"/>
      <c r="H216" s="2"/>
      <c r="I216" s="2"/>
      <c r="J216" s="22">
        <f t="shared" si="146"/>
        <v>0</v>
      </c>
      <c r="K216" s="2"/>
      <c r="L216" s="2">
        <f t="shared" si="147"/>
        <v>0</v>
      </c>
      <c r="M216" s="2"/>
      <c r="N216" s="22">
        <f t="shared" si="148"/>
        <v>0</v>
      </c>
      <c r="O216" s="11"/>
      <c r="P216" s="2">
        <f>--175405.84</f>
        <v>175405.84</v>
      </c>
      <c r="Q216" s="2"/>
      <c r="R216" s="22">
        <f t="shared" si="149"/>
        <v>6.4998475921716078E-2</v>
      </c>
      <c r="S216" s="2"/>
      <c r="T216" s="2"/>
      <c r="U216" s="2"/>
      <c r="V216" s="22">
        <f t="shared" si="150"/>
        <v>0</v>
      </c>
      <c r="W216" s="2"/>
      <c r="X216" s="2">
        <f t="shared" si="151"/>
        <v>175405.84</v>
      </c>
      <c r="Y216" s="2"/>
      <c r="Z216" s="22">
        <f t="shared" si="152"/>
        <v>0</v>
      </c>
    </row>
    <row r="217" spans="1:26" x14ac:dyDescent="0.25">
      <c r="A217" s="9"/>
      <c r="B217" s="10"/>
      <c r="C217" s="10"/>
      <c r="D217" s="3"/>
      <c r="E217" s="3"/>
      <c r="F217" s="8"/>
      <c r="G217" s="3"/>
      <c r="H217" s="3"/>
      <c r="I217" s="3"/>
      <c r="J217" s="8"/>
      <c r="K217" s="3"/>
      <c r="L217" s="3"/>
      <c r="M217" s="3"/>
      <c r="N217" s="8"/>
      <c r="O217" s="10"/>
      <c r="P217" s="3"/>
      <c r="Q217" s="3"/>
      <c r="R217" s="8"/>
      <c r="S217" s="3"/>
      <c r="T217" s="3"/>
      <c r="U217" s="3"/>
      <c r="V217" s="8"/>
      <c r="W217" s="3"/>
      <c r="X217" s="3"/>
      <c r="Y217" s="3"/>
      <c r="Z217" s="8"/>
    </row>
    <row r="218" spans="1:26" s="23" customFormat="1" x14ac:dyDescent="0.25">
      <c r="A218" s="10"/>
      <c r="B218" s="25" t="s">
        <v>3</v>
      </c>
      <c r="C218" s="25"/>
      <c r="D218" s="21">
        <f>+D112-D114+D212</f>
        <v>-127833.96000000006</v>
      </c>
      <c r="E218" s="13"/>
      <c r="F218" s="19">
        <f>IF(D$12=0,0,D218/D$12)</f>
        <v>-0.54716007337016825</v>
      </c>
      <c r="G218" s="13"/>
      <c r="H218" s="21">
        <f>+H112-H114+H212</f>
        <v>57300.322224884585</v>
      </c>
      <c r="I218" s="13"/>
      <c r="J218" s="19">
        <f>IF(H$12=0,0,H218/H$12)</f>
        <v>0.15449703066704212</v>
      </c>
      <c r="K218" s="16"/>
      <c r="L218" s="21">
        <f>+D218-H218</f>
        <v>-185134.28222488466</v>
      </c>
      <c r="M218" s="16"/>
      <c r="N218" s="19">
        <f>IF(H218=0,0,L218/H218)</f>
        <v>-3.2309466166402099</v>
      </c>
      <c r="O218" s="26"/>
      <c r="P218" s="21">
        <f>+P112-P114+P212</f>
        <v>-99044.669999998994</v>
      </c>
      <c r="Q218" s="13"/>
      <c r="R218" s="19">
        <f>IF(P$12=0,0,P218/P$12)</f>
        <v>-3.6702042521327964E-2</v>
      </c>
      <c r="S218" s="13"/>
      <c r="T218" s="21">
        <f>+T112-T114+T212</f>
        <v>144483.2846232499</v>
      </c>
      <c r="U218" s="13"/>
      <c r="V218" s="19">
        <f>IF(T$12=0,0,T218/T$12)</f>
        <v>3.0666187969026728E-2</v>
      </c>
      <c r="W218" s="16"/>
      <c r="X218" s="21">
        <f>+P218-T218</f>
        <v>-243527.95462324889</v>
      </c>
      <c r="Y218" s="16"/>
      <c r="Z218" s="19">
        <f>IF(T218=0,0,X218/T218)</f>
        <v>-1.6855095401399878</v>
      </c>
    </row>
    <row r="219" spans="1:26" x14ac:dyDescent="0.25">
      <c r="A219" s="9"/>
      <c r="B219" s="10"/>
      <c r="C219" s="9"/>
      <c r="D219" s="3"/>
      <c r="E219" s="3"/>
      <c r="F219" s="8"/>
      <c r="G219" s="3"/>
      <c r="H219" s="3"/>
      <c r="I219" s="3"/>
      <c r="J219" s="8"/>
      <c r="K219" s="3"/>
      <c r="L219" s="3"/>
      <c r="M219" s="3"/>
      <c r="N219" s="8"/>
      <c r="P219" s="3"/>
      <c r="Q219" s="3"/>
      <c r="R219" s="8"/>
      <c r="S219" s="3"/>
      <c r="T219" s="3"/>
      <c r="U219" s="3"/>
      <c r="V219" s="8"/>
      <c r="W219" s="3"/>
      <c r="X219" s="3"/>
      <c r="Y219" s="3"/>
      <c r="Z219" s="8"/>
    </row>
    <row r="220" spans="1:26" s="23" customFormat="1" x14ac:dyDescent="0.25">
      <c r="A220" s="52"/>
      <c r="B220" s="10" t="s">
        <v>14</v>
      </c>
      <c r="C220" s="10"/>
      <c r="D220" s="4">
        <v>107621.36</v>
      </c>
      <c r="E220" s="4"/>
      <c r="F220" s="12">
        <f>IF(D$12=0,0,D220/D$12)</f>
        <v>0.46064528732269006</v>
      </c>
      <c r="G220" s="4"/>
      <c r="H220" s="4">
        <v>123751</v>
      </c>
      <c r="I220" s="4"/>
      <c r="J220" s="12">
        <f>IF(H$12=0,0,H220/H$12)</f>
        <v>0.3336658730650906</v>
      </c>
      <c r="K220" s="4"/>
      <c r="L220" s="4">
        <f>+D220-H220</f>
        <v>-16129.64</v>
      </c>
      <c r="M220" s="4"/>
      <c r="N220" s="12">
        <f>IF(H220=0,0,L220/H220)</f>
        <v>-0.13033947200426663</v>
      </c>
      <c r="O220" s="10"/>
      <c r="P220" s="4">
        <v>499300.85000000003</v>
      </c>
      <c r="Q220" s="4"/>
      <c r="R220" s="12">
        <f>IF(P$12=0,0,P220/P$12)</f>
        <v>0.18502117304884133</v>
      </c>
      <c r="S220" s="4"/>
      <c r="T220" s="4">
        <v>898672</v>
      </c>
      <c r="U220" s="4"/>
      <c r="V220" s="12">
        <f>IF(T$12=0,0,T220/T$12)</f>
        <v>0.19074071126194819</v>
      </c>
      <c r="W220" s="4"/>
      <c r="X220" s="4">
        <f>+P220-T220</f>
        <v>-399371.14999999997</v>
      </c>
      <c r="Y220" s="4"/>
      <c r="Z220" s="12">
        <f>IF(T220=0,0,X220/T220)</f>
        <v>-0.44440146126729213</v>
      </c>
    </row>
    <row r="221" spans="1:26" x14ac:dyDescent="0.25">
      <c r="A221" s="9"/>
      <c r="B221" s="10"/>
      <c r="C221" s="10"/>
      <c r="D221" s="3"/>
      <c r="E221" s="3"/>
      <c r="F221" s="8"/>
      <c r="G221" s="3"/>
      <c r="H221" s="3"/>
      <c r="I221" s="3"/>
      <c r="J221" s="8"/>
      <c r="K221" s="3"/>
      <c r="L221" s="3"/>
      <c r="M221" s="3"/>
      <c r="N221" s="8"/>
      <c r="O221" s="10"/>
      <c r="P221" s="3"/>
      <c r="Q221" s="3"/>
      <c r="R221" s="8"/>
      <c r="S221" s="3"/>
      <c r="T221" s="3"/>
      <c r="U221" s="3"/>
      <c r="V221" s="8"/>
      <c r="W221" s="3"/>
      <c r="X221" s="3"/>
      <c r="Y221" s="3"/>
      <c r="Z221" s="8"/>
    </row>
    <row r="222" spans="1:26" s="23" customFormat="1" ht="15.75" thickBot="1" x14ac:dyDescent="0.3">
      <c r="A222" s="10"/>
      <c r="B222" s="25" t="s">
        <v>4</v>
      </c>
      <c r="C222" s="25"/>
      <c r="D222" s="34">
        <f>+D218-D220</f>
        <v>-235455.32000000007</v>
      </c>
      <c r="E222" s="13"/>
      <c r="F222" s="31">
        <f>IF(D$12=0,0,D222/D$12)</f>
        <v>-1.0078053606928583</v>
      </c>
      <c r="G222" s="13"/>
      <c r="H222" s="34">
        <f>+H218-H220</f>
        <v>-66450.677775115415</v>
      </c>
      <c r="I222" s="13"/>
      <c r="J222" s="31">
        <f>IF(H$12=0,0,H222/H$12)</f>
        <v>-0.17916884239804848</v>
      </c>
      <c r="K222" s="16"/>
      <c r="L222" s="34">
        <f>D222-H222</f>
        <v>-169004.64222488465</v>
      </c>
      <c r="M222" s="16"/>
      <c r="N222" s="31">
        <f>IF(H222=0,0,L222/H222)</f>
        <v>2.5433095324751354</v>
      </c>
      <c r="O222" s="26"/>
      <c r="P222" s="34">
        <f>+P218-P220</f>
        <v>-598345.51999999909</v>
      </c>
      <c r="Q222" s="13"/>
      <c r="R222" s="31">
        <f>IF(P$12=0,0,P222/P$12)</f>
        <v>-0.2217232155701693</v>
      </c>
      <c r="S222" s="13"/>
      <c r="T222" s="34">
        <f>+T218-T220</f>
        <v>-754188.7153767501</v>
      </c>
      <c r="U222" s="13"/>
      <c r="V222" s="31">
        <f>IF(T$12=0,0,T222/T$12)</f>
        <v>-0.16007452329292146</v>
      </c>
      <c r="W222" s="16"/>
      <c r="X222" s="34">
        <f>P222-T222</f>
        <v>155843.19537675101</v>
      </c>
      <c r="Y222" s="16"/>
      <c r="Z222" s="31">
        <f>IF(T222=0,0,X222/T222)</f>
        <v>-0.20663686979047485</v>
      </c>
    </row>
    <row r="223" spans="1:26" ht="15.75" thickTop="1" x14ac:dyDescent="0.25">
      <c r="A223" s="9"/>
      <c r="B223" s="9"/>
      <c r="C223" s="9"/>
      <c r="D223" s="3"/>
      <c r="E223" s="3"/>
      <c r="F223" s="8"/>
      <c r="G223" s="3"/>
      <c r="H223" s="3"/>
      <c r="I223" s="3"/>
      <c r="J223" s="8"/>
      <c r="K223" s="3"/>
      <c r="L223" s="3"/>
      <c r="M223" s="3"/>
      <c r="N223" s="8"/>
      <c r="P223" s="3"/>
      <c r="Q223" s="3"/>
      <c r="R223" s="8"/>
      <c r="S223" s="3"/>
      <c r="T223" s="3"/>
      <c r="U223" s="3"/>
      <c r="V223" s="8"/>
      <c r="W223" s="3"/>
      <c r="X223" s="3"/>
      <c r="Y223" s="3"/>
      <c r="Z223" s="8"/>
    </row>
    <row r="224" spans="1:26" x14ac:dyDescent="0.25">
      <c r="A224" s="9"/>
      <c r="B224" s="9"/>
      <c r="C224" s="9"/>
      <c r="D224" s="3"/>
      <c r="E224" s="3"/>
      <c r="F224" s="8"/>
      <c r="G224" s="3"/>
      <c r="H224" s="3"/>
      <c r="I224" s="3"/>
      <c r="J224" s="8"/>
      <c r="K224" s="3"/>
      <c r="L224" s="3"/>
      <c r="M224" s="3"/>
      <c r="N224" s="8"/>
      <c r="P224" s="3"/>
      <c r="Q224" s="3"/>
      <c r="R224" s="8"/>
      <c r="S224" s="3"/>
      <c r="T224" s="3"/>
      <c r="U224" s="3"/>
      <c r="V224" s="8"/>
      <c r="W224" s="3"/>
      <c r="X224" s="3"/>
      <c r="Y224" s="3"/>
      <c r="Z224" s="8"/>
    </row>
    <row r="225" spans="1:26" s="23" customFormat="1" ht="15.75" thickBot="1" x14ac:dyDescent="0.3">
      <c r="A225" s="10"/>
      <c r="B225" s="25" t="s">
        <v>5</v>
      </c>
      <c r="C225" s="25"/>
      <c r="D225" s="33">
        <f>SUM(D222:D224)</f>
        <v>-235455.32000000007</v>
      </c>
      <c r="E225" s="13"/>
      <c r="F225" s="32">
        <f>IF(D$12=0,0,D225/D$12)</f>
        <v>-1.0078053606928583</v>
      </c>
      <c r="G225" s="13"/>
      <c r="H225" s="33">
        <f>SUM(H222:H224)</f>
        <v>-66450.677775115415</v>
      </c>
      <c r="I225" s="13"/>
      <c r="J225" s="32">
        <f>IF(H$12=0,0,H225/H$12)</f>
        <v>-0.17916884239804848</v>
      </c>
      <c r="K225" s="16"/>
      <c r="L225" s="33">
        <f>+D225-H225</f>
        <v>-169004.64222488465</v>
      </c>
      <c r="M225" s="16"/>
      <c r="N225" s="32">
        <f>IF(H225=0,0,L225/H225)</f>
        <v>2.5433095324751354</v>
      </c>
      <c r="O225" s="26"/>
      <c r="P225" s="33">
        <f>SUM(P222:P224)</f>
        <v>-598345.51999999909</v>
      </c>
      <c r="Q225" s="13"/>
      <c r="R225" s="32">
        <f>IF(P$12=0,0,P225/P$12)</f>
        <v>-0.2217232155701693</v>
      </c>
      <c r="S225" s="13"/>
      <c r="T225" s="33">
        <f>SUM(T222:T224)</f>
        <v>-754188.7153767501</v>
      </c>
      <c r="U225" s="13"/>
      <c r="V225" s="32">
        <f>IF(T$12=0,0,T225/T$12)</f>
        <v>-0.16007452329292146</v>
      </c>
      <c r="W225" s="16"/>
      <c r="X225" s="33">
        <f>+P225-T225</f>
        <v>155843.19537675101</v>
      </c>
      <c r="Y225" s="16"/>
      <c r="Z225" s="32">
        <f>IF(T225=0,0,X225/T225)</f>
        <v>-0.20663686979047485</v>
      </c>
    </row>
    <row r="226" spans="1:26" ht="15.75" thickTop="1" x14ac:dyDescent="0.25">
      <c r="A226" s="9"/>
      <c r="C226" s="9"/>
      <c r="D226" s="18"/>
      <c r="E226" s="18"/>
      <c r="G226" s="18"/>
      <c r="H226" s="18"/>
      <c r="I226" s="18"/>
      <c r="J226" s="43"/>
      <c r="K226" s="18"/>
      <c r="L226" s="18"/>
      <c r="M226" s="18"/>
      <c r="P226" s="18"/>
      <c r="Q226" s="18"/>
      <c r="R226" s="43"/>
      <c r="S226" s="18"/>
      <c r="T226" s="18"/>
      <c r="U226" s="18"/>
      <c r="V226" s="43"/>
      <c r="W226" s="18"/>
      <c r="X226" s="18"/>
    </row>
    <row r="227" spans="1:26" x14ac:dyDescent="0.25">
      <c r="A227" s="9"/>
      <c r="B227" s="63">
        <v>44209.51807322917</v>
      </c>
      <c r="D227" s="18"/>
      <c r="E227" s="18"/>
      <c r="G227" s="18"/>
      <c r="H227" s="18"/>
      <c r="I227" s="18"/>
      <c r="J227" s="43"/>
      <c r="K227" s="18"/>
      <c r="L227" s="18"/>
      <c r="M227" s="18"/>
      <c r="P227" s="18"/>
      <c r="Q227" s="18"/>
      <c r="R227" s="43"/>
      <c r="S227" s="18"/>
      <c r="T227" s="18"/>
      <c r="U227" s="18"/>
      <c r="V227" s="43"/>
      <c r="W227" s="18"/>
      <c r="X227" s="18"/>
    </row>
    <row r="228" spans="1:26" x14ac:dyDescent="0.25">
      <c r="A228" s="9"/>
      <c r="B228" s="60" t="s">
        <v>314</v>
      </c>
      <c r="D228" s="18"/>
      <c r="E228" s="18"/>
      <c r="G228" s="18"/>
      <c r="H228" s="18"/>
      <c r="I228" s="18"/>
      <c r="J228" s="43"/>
      <c r="K228" s="18"/>
      <c r="L228" s="18"/>
      <c r="M228" s="18"/>
      <c r="P228" s="18"/>
      <c r="Q228" s="18"/>
      <c r="R228" s="43"/>
      <c r="S228" s="18"/>
      <c r="T228" s="18"/>
      <c r="U228" s="18"/>
      <c r="V228" s="43"/>
      <c r="W228" s="18"/>
      <c r="X228" s="18"/>
    </row>
    <row r="229" spans="1:26" x14ac:dyDescent="0.25">
      <c r="A229" s="9"/>
      <c r="B229" s="58"/>
      <c r="D229" s="18"/>
      <c r="E229" s="18"/>
      <c r="G229" s="18"/>
      <c r="H229" s="18"/>
      <c r="I229" s="18"/>
      <c r="J229" s="43"/>
      <c r="K229" s="18"/>
      <c r="L229" s="18"/>
      <c r="M229" s="18"/>
      <c r="P229" s="18"/>
      <c r="Q229" s="18"/>
      <c r="R229" s="43"/>
      <c r="S229" s="18"/>
      <c r="T229" s="18"/>
      <c r="U229" s="18"/>
      <c r="V229" s="43"/>
      <c r="W229" s="18"/>
      <c r="X229" s="18"/>
    </row>
    <row r="230" spans="1:26" x14ac:dyDescent="0.25">
      <c r="D230" s="18"/>
      <c r="E230" s="18"/>
      <c r="G230" s="18"/>
      <c r="H230" s="18"/>
      <c r="I230" s="18"/>
      <c r="J230" s="43"/>
      <c r="K230" s="18"/>
      <c r="L230" s="18"/>
      <c r="M230" s="18"/>
      <c r="P230" s="18"/>
      <c r="Q230" s="18"/>
      <c r="R230" s="43"/>
      <c r="S230" s="18"/>
      <c r="T230" s="18"/>
      <c r="U230" s="18"/>
      <c r="V230" s="43"/>
      <c r="W230" s="18"/>
      <c r="X230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297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5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312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313073.3600000001</v>
      </c>
      <c r="E12" s="4"/>
      <c r="F12" s="12"/>
      <c r="G12" s="4"/>
      <c r="H12" s="4">
        <f>SUM(OSRRefH13x_0)</f>
        <v>446930</v>
      </c>
      <c r="I12" s="4"/>
      <c r="J12" s="12"/>
      <c r="K12" s="4"/>
      <c r="L12" s="4">
        <f t="shared" ref="L12:L88" si="0">+D12-H12</f>
        <v>-133856.6399999999</v>
      </c>
      <c r="M12" s="4"/>
      <c r="N12" s="12">
        <f t="shared" ref="N12:N88" si="1">IF(H12=0,0,L12/H12)</f>
        <v>-0.29950247242297429</v>
      </c>
      <c r="O12" s="10"/>
      <c r="P12" s="4">
        <f>SUM(OSRRefP13x_0)</f>
        <v>3973959.1800000016</v>
      </c>
      <c r="Q12" s="4"/>
      <c r="R12" s="12"/>
      <c r="S12" s="4"/>
      <c r="T12" s="4">
        <f>SUM(OSRRefT13x_0)</f>
        <v>6136529</v>
      </c>
      <c r="U12" s="4"/>
      <c r="V12" s="12"/>
      <c r="W12" s="4"/>
      <c r="X12" s="4">
        <f t="shared" ref="X12:X88" si="2">+P12-T12</f>
        <v>-2162569.8199999984</v>
      </c>
      <c r="Y12" s="4"/>
      <c r="Z12" s="12">
        <f t="shared" ref="Z12:Z88" si="3">IF(T12=0,0,X12/T12)</f>
        <v>-0.35240928870376048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-32095.1</f>
        <v>-32095.1</v>
      </c>
      <c r="E13" s="2"/>
      <c r="F13" s="22"/>
      <c r="G13" s="2"/>
      <c r="H13" s="2">
        <v>431268</v>
      </c>
      <c r="I13" s="2"/>
      <c r="J13" s="22"/>
      <c r="K13" s="2"/>
      <c r="L13" s="2">
        <f t="shared" si="0"/>
        <v>-463363.1</v>
      </c>
      <c r="M13" s="2"/>
      <c r="N13" s="22">
        <f t="shared" si="1"/>
        <v>-1.0744203140506599</v>
      </c>
      <c r="O13" s="11"/>
      <c r="P13" s="2">
        <f>-91137.86</f>
        <v>-91137.86</v>
      </c>
      <c r="Q13" s="2"/>
      <c r="R13" s="22"/>
      <c r="S13" s="2"/>
      <c r="T13" s="2">
        <v>5994467</v>
      </c>
      <c r="U13" s="2"/>
      <c r="V13" s="22"/>
      <c r="W13" s="2"/>
      <c r="X13" s="2">
        <f t="shared" si="2"/>
        <v>-6085604.8600000003</v>
      </c>
      <c r="Y13" s="2"/>
      <c r="Z13" s="22">
        <f t="shared" si="3"/>
        <v>-1.0152036636451582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--11522</f>
        <v>11522</v>
      </c>
      <c r="E14" s="2"/>
      <c r="F14" s="22"/>
      <c r="G14" s="2"/>
      <c r="H14" s="2"/>
      <c r="I14" s="2"/>
      <c r="J14" s="22"/>
      <c r="K14" s="2"/>
      <c r="L14" s="2">
        <f t="shared" si="0"/>
        <v>11522</v>
      </c>
      <c r="M14" s="2"/>
      <c r="N14" s="22">
        <f t="shared" si="1"/>
        <v>0</v>
      </c>
      <c r="O14" s="11"/>
      <c r="P14" s="2">
        <f>--730666.02</f>
        <v>730666.02</v>
      </c>
      <c r="Q14" s="2"/>
      <c r="R14" s="22"/>
      <c r="S14" s="2"/>
      <c r="T14" s="2"/>
      <c r="U14" s="2"/>
      <c r="V14" s="22"/>
      <c r="W14" s="2"/>
      <c r="X14" s="2">
        <f t="shared" si="2"/>
        <v>730666.02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--2822.44</f>
        <v>2822.44</v>
      </c>
      <c r="E15" s="2"/>
      <c r="F15" s="22"/>
      <c r="G15" s="2"/>
      <c r="H15" s="2"/>
      <c r="I15" s="2"/>
      <c r="J15" s="22"/>
      <c r="K15" s="2"/>
      <c r="L15" s="2">
        <f t="shared" si="0"/>
        <v>2822.44</v>
      </c>
      <c r="M15" s="2"/>
      <c r="N15" s="22">
        <f t="shared" si="1"/>
        <v>0</v>
      </c>
      <c r="O15" s="11"/>
      <c r="P15" s="2">
        <f>--323454.06</f>
        <v>323454.06</v>
      </c>
      <c r="Q15" s="2"/>
      <c r="R15" s="22"/>
      <c r="S15" s="2"/>
      <c r="T15" s="2"/>
      <c r="U15" s="2"/>
      <c r="V15" s="22"/>
      <c r="W15" s="2"/>
      <c r="X15" s="2">
        <f t="shared" si="2"/>
        <v>323454.06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7" si="4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--10665.63</f>
        <v>10665.63</v>
      </c>
      <c r="Q16" s="2"/>
      <c r="R16" s="22"/>
      <c r="S16" s="2"/>
      <c r="T16" s="2"/>
      <c r="U16" s="2"/>
      <c r="V16" s="22"/>
      <c r="W16" s="2"/>
      <c r="X16" s="2">
        <f t="shared" si="2"/>
        <v>10665.63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--2459.56</f>
        <v>2459.56</v>
      </c>
      <c r="Q17" s="2"/>
      <c r="R17" s="22"/>
      <c r="S17" s="2"/>
      <c r="T17" s="2"/>
      <c r="U17" s="2"/>
      <c r="V17" s="22"/>
      <c r="W17" s="2"/>
      <c r="X17" s="2">
        <f t="shared" si="2"/>
        <v>2459.56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--78.85</f>
        <v>78.849999999999994</v>
      </c>
      <c r="E18" s="2"/>
      <c r="F18" s="22"/>
      <c r="G18" s="2"/>
      <c r="H18" s="2"/>
      <c r="I18" s="2"/>
      <c r="J18" s="22"/>
      <c r="K18" s="2"/>
      <c r="L18" s="2">
        <f t="shared" si="0"/>
        <v>78.849999999999994</v>
      </c>
      <c r="M18" s="2"/>
      <c r="N18" s="22">
        <f t="shared" si="1"/>
        <v>0</v>
      </c>
      <c r="O18" s="11"/>
      <c r="P18" s="2">
        <f>--583.97</f>
        <v>583.97</v>
      </c>
      <c r="Q18" s="2"/>
      <c r="R18" s="22"/>
      <c r="S18" s="2"/>
      <c r="T18" s="2"/>
      <c r="U18" s="2"/>
      <c r="V18" s="22"/>
      <c r="W18" s="2"/>
      <c r="X18" s="2">
        <f t="shared" si="2"/>
        <v>583.97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--35.82</f>
        <v>35.82</v>
      </c>
      <c r="E19" s="2"/>
      <c r="F19" s="22"/>
      <c r="G19" s="2"/>
      <c r="H19" s="2"/>
      <c r="I19" s="2"/>
      <c r="J19" s="22"/>
      <c r="K19" s="2"/>
      <c r="L19" s="2">
        <f t="shared" si="0"/>
        <v>35.82</v>
      </c>
      <c r="M19" s="2"/>
      <c r="N19" s="22">
        <f t="shared" si="1"/>
        <v>0</v>
      </c>
      <c r="O19" s="11"/>
      <c r="P19" s="2">
        <f>--376.06</f>
        <v>376.06</v>
      </c>
      <c r="Q19" s="2"/>
      <c r="R19" s="22"/>
      <c r="S19" s="2"/>
      <c r="T19" s="2"/>
      <c r="U19" s="2"/>
      <c r="V19" s="22"/>
      <c r="W19" s="2"/>
      <c r="X19" s="2">
        <f t="shared" si="2"/>
        <v>376.06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--6.95</f>
        <v>6.95</v>
      </c>
      <c r="E20" s="2"/>
      <c r="F20" s="22"/>
      <c r="G20" s="2"/>
      <c r="H20" s="2"/>
      <c r="I20" s="2"/>
      <c r="J20" s="22"/>
      <c r="K20" s="2"/>
      <c r="L20" s="2">
        <f t="shared" si="0"/>
        <v>6.95</v>
      </c>
      <c r="M20" s="2"/>
      <c r="N20" s="22">
        <f t="shared" si="1"/>
        <v>0</v>
      </c>
      <c r="O20" s="11"/>
      <c r="P20" s="2">
        <f>--190.84</f>
        <v>190.84</v>
      </c>
      <c r="Q20" s="2"/>
      <c r="R20" s="22"/>
      <c r="S20" s="2"/>
      <c r="T20" s="2"/>
      <c r="U20" s="2"/>
      <c r="V20" s="22"/>
      <c r="W20" s="2"/>
      <c r="X20" s="2">
        <f t="shared" si="2"/>
        <v>190.84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--75.18</f>
        <v>75.180000000000007</v>
      </c>
      <c r="E21" s="2"/>
      <c r="F21" s="22"/>
      <c r="G21" s="2"/>
      <c r="H21" s="2"/>
      <c r="I21" s="2"/>
      <c r="J21" s="22"/>
      <c r="K21" s="2"/>
      <c r="L21" s="2">
        <f t="shared" si="0"/>
        <v>75.180000000000007</v>
      </c>
      <c r="M21" s="2"/>
      <c r="N21" s="22">
        <f t="shared" si="1"/>
        <v>0</v>
      </c>
      <c r="O21" s="11"/>
      <c r="P21" s="2">
        <f>--372.38</f>
        <v>372.38</v>
      </c>
      <c r="Q21" s="2"/>
      <c r="R21" s="22"/>
      <c r="S21" s="2"/>
      <c r="T21" s="2"/>
      <c r="U21" s="2"/>
      <c r="V21" s="22"/>
      <c r="W21" s="2"/>
      <c r="X21" s="2">
        <f t="shared" si="2"/>
        <v>372.38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--3253.96</f>
        <v>3253.96</v>
      </c>
      <c r="E22" s="2"/>
      <c r="F22" s="22"/>
      <c r="G22" s="2"/>
      <c r="H22" s="2"/>
      <c r="I22" s="2"/>
      <c r="J22" s="22"/>
      <c r="K22" s="2"/>
      <c r="L22" s="2">
        <f t="shared" si="0"/>
        <v>3253.96</v>
      </c>
      <c r="M22" s="2"/>
      <c r="N22" s="22">
        <f t="shared" si="1"/>
        <v>0</v>
      </c>
      <c r="O22" s="11"/>
      <c r="P22" s="2">
        <f>--39974.43</f>
        <v>39974.43</v>
      </c>
      <c r="Q22" s="2"/>
      <c r="R22" s="22"/>
      <c r="S22" s="2"/>
      <c r="T22" s="2"/>
      <c r="U22" s="2"/>
      <c r="V22" s="22"/>
      <c r="W22" s="2"/>
      <c r="X22" s="2">
        <f t="shared" si="2"/>
        <v>39974.43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--1179.23</f>
        <v>1179.23</v>
      </c>
      <c r="E23" s="2"/>
      <c r="F23" s="22"/>
      <c r="G23" s="2"/>
      <c r="H23" s="2"/>
      <c r="I23" s="2"/>
      <c r="J23" s="22"/>
      <c r="K23" s="2"/>
      <c r="L23" s="2">
        <f t="shared" si="0"/>
        <v>1179.23</v>
      </c>
      <c r="M23" s="2"/>
      <c r="N23" s="22">
        <f t="shared" si="1"/>
        <v>0</v>
      </c>
      <c r="O23" s="11"/>
      <c r="P23" s="2">
        <f>--17178.81</f>
        <v>17178.810000000001</v>
      </c>
      <c r="Q23" s="2"/>
      <c r="R23" s="22"/>
      <c r="S23" s="2"/>
      <c r="T23" s="2"/>
      <c r="U23" s="2"/>
      <c r="V23" s="22"/>
      <c r="W23" s="2"/>
      <c r="X23" s="2">
        <f t="shared" si="2"/>
        <v>17178.810000000001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--247.04</f>
        <v>247.04</v>
      </c>
      <c r="E24" s="2"/>
      <c r="F24" s="22"/>
      <c r="G24" s="2"/>
      <c r="H24" s="2"/>
      <c r="I24" s="2"/>
      <c r="J24" s="22"/>
      <c r="K24" s="2"/>
      <c r="L24" s="2">
        <f t="shared" si="0"/>
        <v>247.04</v>
      </c>
      <c r="M24" s="2"/>
      <c r="N24" s="22">
        <f t="shared" si="1"/>
        <v>0</v>
      </c>
      <c r="O24" s="11"/>
      <c r="P24" s="2">
        <f>--2109.65</f>
        <v>2109.65</v>
      </c>
      <c r="Q24" s="2"/>
      <c r="R24" s="22"/>
      <c r="S24" s="2"/>
      <c r="T24" s="2"/>
      <c r="U24" s="2"/>
      <c r="V24" s="22"/>
      <c r="W24" s="2"/>
      <c r="X24" s="2">
        <f t="shared" si="2"/>
        <v>2109.65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"4034", " - ", "TAXABLE SALES-SODA")</f>
        <v xml:space="preserve">          4034 - TAXABLE SALES-SODA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--6.78</f>
        <v>6.78</v>
      </c>
      <c r="Q25" s="2"/>
      <c r="R25" s="22"/>
      <c r="S25" s="2"/>
      <c r="T25" s="2"/>
      <c r="U25" s="2"/>
      <c r="V25" s="22"/>
      <c r="W25" s="2"/>
      <c r="X25" s="2">
        <f t="shared" si="2"/>
        <v>6.78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"4040", " - ", "TAXABLE SALES-LOGO CLOTHING")</f>
        <v xml:space="preserve">          4040 - TAXABLE SALES-LOGO CLOTHING</v>
      </c>
      <c r="C26" s="11"/>
      <c r="D26" s="2">
        <f>--84378.29</f>
        <v>84378.29</v>
      </c>
      <c r="E26" s="2"/>
      <c r="F26" s="22"/>
      <c r="G26" s="2"/>
      <c r="H26" s="2"/>
      <c r="I26" s="2"/>
      <c r="J26" s="22"/>
      <c r="K26" s="2"/>
      <c r="L26" s="2">
        <f t="shared" si="0"/>
        <v>84378.29</v>
      </c>
      <c r="M26" s="2"/>
      <c r="N26" s="22">
        <f t="shared" si="1"/>
        <v>0</v>
      </c>
      <c r="O26" s="11"/>
      <c r="P26" s="2">
        <f>--508110.99</f>
        <v>508110.99</v>
      </c>
      <c r="Q26" s="2"/>
      <c r="R26" s="22"/>
      <c r="S26" s="2"/>
      <c r="T26" s="2"/>
      <c r="U26" s="2"/>
      <c r="V26" s="22"/>
      <c r="W26" s="2"/>
      <c r="X26" s="2">
        <f t="shared" si="2"/>
        <v>508110.99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"4041", " - ", "TAXABLE SALES-LOGO GIFTS")</f>
        <v xml:space="preserve">          4041 - TAXABLE SALES-LOGO GIFTS</v>
      </c>
      <c r="C27" s="11"/>
      <c r="D27" s="2">
        <f>--32217.83</f>
        <v>32217.83</v>
      </c>
      <c r="E27" s="2"/>
      <c r="F27" s="22"/>
      <c r="G27" s="2"/>
      <c r="H27" s="2"/>
      <c r="I27" s="2"/>
      <c r="J27" s="22"/>
      <c r="K27" s="2"/>
      <c r="L27" s="2">
        <f t="shared" si="0"/>
        <v>32217.83</v>
      </c>
      <c r="M27" s="2"/>
      <c r="N27" s="22">
        <f t="shared" si="1"/>
        <v>0</v>
      </c>
      <c r="O27" s="11"/>
      <c r="P27" s="2">
        <f>--197618.32</f>
        <v>197618.32</v>
      </c>
      <c r="Q27" s="2"/>
      <c r="R27" s="22"/>
      <c r="S27" s="2"/>
      <c r="T27" s="2"/>
      <c r="U27" s="2"/>
      <c r="V27" s="22"/>
      <c r="W27" s="2"/>
      <c r="X27" s="2">
        <f t="shared" si="2"/>
        <v>197618.32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"4042", " - ", "TAXABLE SALES-EVERYDAY GIFTS")</f>
        <v xml:space="preserve">          4042 - TAXABLE SALES-EVERYDAY GIFTS</v>
      </c>
      <c r="C28" s="11"/>
      <c r="D28" s="2">
        <f>--8018.58</f>
        <v>8018.58</v>
      </c>
      <c r="E28" s="2"/>
      <c r="F28" s="22"/>
      <c r="G28" s="2"/>
      <c r="H28" s="2"/>
      <c r="I28" s="2"/>
      <c r="J28" s="22"/>
      <c r="K28" s="2"/>
      <c r="L28" s="2">
        <f t="shared" si="0"/>
        <v>8018.58</v>
      </c>
      <c r="M28" s="2"/>
      <c r="N28" s="22">
        <f t="shared" si="1"/>
        <v>0</v>
      </c>
      <c r="O28" s="11"/>
      <c r="P28" s="2">
        <f>--64897.7</f>
        <v>64897.7</v>
      </c>
      <c r="Q28" s="2"/>
      <c r="R28" s="22"/>
      <c r="S28" s="2"/>
      <c r="T28" s="2"/>
      <c r="U28" s="2"/>
      <c r="V28" s="22"/>
      <c r="W28" s="2"/>
      <c r="X28" s="2">
        <f t="shared" si="2"/>
        <v>64897.7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"4043", " - ", "TAXABLE SALES-CARDS")</f>
        <v xml:space="preserve">          4043 - TAXABLE SALES-CARDS</v>
      </c>
      <c r="C29" s="11"/>
      <c r="D29" s="2">
        <f>--35930.93</f>
        <v>35930.93</v>
      </c>
      <c r="E29" s="2"/>
      <c r="F29" s="22"/>
      <c r="G29" s="2"/>
      <c r="H29" s="2"/>
      <c r="I29" s="2"/>
      <c r="J29" s="22"/>
      <c r="K29" s="2"/>
      <c r="L29" s="2">
        <f t="shared" si="0"/>
        <v>35930.93</v>
      </c>
      <c r="M29" s="2"/>
      <c r="N29" s="22">
        <f t="shared" si="1"/>
        <v>0</v>
      </c>
      <c r="O29" s="11"/>
      <c r="P29" s="2">
        <f>--93109.15</f>
        <v>93109.15</v>
      </c>
      <c r="Q29" s="2"/>
      <c r="R29" s="22"/>
      <c r="S29" s="2"/>
      <c r="T29" s="2"/>
      <c r="U29" s="2"/>
      <c r="V29" s="22"/>
      <c r="W29" s="2"/>
      <c r="X29" s="2">
        <f t="shared" si="2"/>
        <v>93109.15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"4044", " - ", "TAXABLE SALES-ACCESSORIES")</f>
        <v xml:space="preserve">          4044 - TAXABLE SALES-ACCESSORIES</v>
      </c>
      <c r="C30" s="11"/>
      <c r="D30" s="2">
        <f>--11267.16</f>
        <v>11267.16</v>
      </c>
      <c r="E30" s="2"/>
      <c r="F30" s="22"/>
      <c r="G30" s="2"/>
      <c r="H30" s="2"/>
      <c r="I30" s="2"/>
      <c r="J30" s="22"/>
      <c r="K30" s="2"/>
      <c r="L30" s="2">
        <f t="shared" si="0"/>
        <v>11267.16</v>
      </c>
      <c r="M30" s="2"/>
      <c r="N30" s="22">
        <f t="shared" si="1"/>
        <v>0</v>
      </c>
      <c r="O30" s="11"/>
      <c r="P30" s="2">
        <f>--26273.67</f>
        <v>26273.67</v>
      </c>
      <c r="Q30" s="2"/>
      <c r="R30" s="22"/>
      <c r="S30" s="2"/>
      <c r="T30" s="2"/>
      <c r="U30" s="2"/>
      <c r="V30" s="22"/>
      <c r="W30" s="2"/>
      <c r="X30" s="2">
        <f t="shared" si="2"/>
        <v>26273.67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"4045", " - ", "TAXABLE SALES-SPECIAL ORDERS")</f>
        <v xml:space="preserve">          4045 - TAXABLE SALES-SPECIAL ORDERS</v>
      </c>
      <c r="C31" s="11"/>
      <c r="D31" s="2">
        <f>--13848.98</f>
        <v>13848.98</v>
      </c>
      <c r="E31" s="2"/>
      <c r="F31" s="22"/>
      <c r="G31" s="2"/>
      <c r="H31" s="2"/>
      <c r="I31" s="2"/>
      <c r="J31" s="22"/>
      <c r="K31" s="2"/>
      <c r="L31" s="2">
        <f t="shared" si="0"/>
        <v>13848.98</v>
      </c>
      <c r="M31" s="2"/>
      <c r="N31" s="22">
        <f t="shared" si="1"/>
        <v>0</v>
      </c>
      <c r="O31" s="11"/>
      <c r="P31" s="2">
        <f>--122061.15</f>
        <v>122061.15</v>
      </c>
      <c r="Q31" s="2"/>
      <c r="R31" s="22"/>
      <c r="S31" s="2"/>
      <c r="T31" s="2"/>
      <c r="U31" s="2"/>
      <c r="V31" s="22"/>
      <c r="W31" s="2"/>
      <c r="X31" s="2">
        <f t="shared" si="2"/>
        <v>122061.15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"4081", " - ", "TAXABLE SALES-ELECTRONICS")</f>
        <v xml:space="preserve">          4081 - TAXABLE SALES-ELECTRONICS</v>
      </c>
      <c r="C32" s="11"/>
      <c r="D32" s="2">
        <f>--860.25</f>
        <v>860.25</v>
      </c>
      <c r="E32" s="2"/>
      <c r="F32" s="22"/>
      <c r="G32" s="2"/>
      <c r="H32" s="2"/>
      <c r="I32" s="2"/>
      <c r="J32" s="22"/>
      <c r="K32" s="2"/>
      <c r="L32" s="2">
        <f t="shared" si="0"/>
        <v>860.25</v>
      </c>
      <c r="M32" s="2"/>
      <c r="N32" s="22">
        <f t="shared" si="1"/>
        <v>0</v>
      </c>
      <c r="O32" s="11"/>
      <c r="P32" s="2">
        <f>--56951.47</f>
        <v>56951.47</v>
      </c>
      <c r="Q32" s="2"/>
      <c r="R32" s="22"/>
      <c r="S32" s="2"/>
      <c r="T32" s="2"/>
      <c r="U32" s="2"/>
      <c r="V32" s="22"/>
      <c r="W32" s="2"/>
      <c r="X32" s="2">
        <f t="shared" si="2"/>
        <v>56951.47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"4082", " - ", "TAXABLE SALES-COMPUTER HARDWAR")</f>
        <v xml:space="preserve">          4082 - TAXABLE SALES-COMPUTER HARDWAR</v>
      </c>
      <c r="C33" s="11"/>
      <c r="D33" s="2">
        <f>--43662</f>
        <v>43662</v>
      </c>
      <c r="E33" s="2"/>
      <c r="F33" s="22"/>
      <c r="G33" s="2"/>
      <c r="H33" s="2"/>
      <c r="I33" s="2"/>
      <c r="J33" s="22"/>
      <c r="K33" s="2"/>
      <c r="L33" s="2">
        <f t="shared" si="0"/>
        <v>43662</v>
      </c>
      <c r="M33" s="2"/>
      <c r="N33" s="22">
        <f t="shared" si="1"/>
        <v>0</v>
      </c>
      <c r="O33" s="11"/>
      <c r="P33" s="2">
        <f>--993256.89</f>
        <v>993256.89</v>
      </c>
      <c r="Q33" s="2"/>
      <c r="R33" s="22"/>
      <c r="S33" s="2"/>
      <c r="T33" s="2"/>
      <c r="U33" s="2"/>
      <c r="V33" s="22"/>
      <c r="W33" s="2"/>
      <c r="X33" s="2">
        <f t="shared" si="2"/>
        <v>993256.89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>--7787.03</f>
        <v>7787.03</v>
      </c>
      <c r="E34" s="2"/>
      <c r="F34" s="22"/>
      <c r="G34" s="2"/>
      <c r="H34" s="2"/>
      <c r="I34" s="2"/>
      <c r="J34" s="22"/>
      <c r="K34" s="2"/>
      <c r="L34" s="2">
        <f t="shared" si="0"/>
        <v>7787.03</v>
      </c>
      <c r="M34" s="2"/>
      <c r="N34" s="22">
        <f t="shared" si="1"/>
        <v>0</v>
      </c>
      <c r="O34" s="11"/>
      <c r="P34" s="2">
        <f>--84647.97</f>
        <v>84647.97</v>
      </c>
      <c r="Q34" s="2"/>
      <c r="R34" s="22"/>
      <c r="S34" s="2"/>
      <c r="T34" s="2"/>
      <c r="U34" s="2"/>
      <c r="V34" s="22"/>
      <c r="W34" s="2"/>
      <c r="X34" s="2">
        <f t="shared" si="2"/>
        <v>84647.97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"4085", " - ", "TAXABLE SALES-SOFTWARE")</f>
        <v xml:space="preserve">          4085 - TAXABLE SALES-SOFTWARE</v>
      </c>
      <c r="C35" s="11"/>
      <c r="D35" s="2">
        <f>--1228.99</f>
        <v>1228.99</v>
      </c>
      <c r="E35" s="2"/>
      <c r="F35" s="22"/>
      <c r="G35" s="2"/>
      <c r="H35" s="2"/>
      <c r="I35" s="2"/>
      <c r="J35" s="22"/>
      <c r="K35" s="2"/>
      <c r="L35" s="2">
        <f t="shared" si="0"/>
        <v>1228.99</v>
      </c>
      <c r="M35" s="2"/>
      <c r="N35" s="22">
        <f t="shared" si="1"/>
        <v>0</v>
      </c>
      <c r="O35" s="11"/>
      <c r="P35" s="2">
        <f>--2728.94</f>
        <v>2728.94</v>
      </c>
      <c r="Q35" s="2"/>
      <c r="R35" s="22"/>
      <c r="S35" s="2"/>
      <c r="T35" s="2"/>
      <c r="U35" s="2"/>
      <c r="V35" s="22"/>
      <c r="W35" s="2"/>
      <c r="X35" s="2">
        <f t="shared" si="2"/>
        <v>2728.94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"4086", " - ", "TAXABLE SALES-COMPUTER SUPPLIE")</f>
        <v xml:space="preserve">          4086 - TAXABLE SALES-COMPUTER SUPPLIE</v>
      </c>
      <c r="C36" s="11"/>
      <c r="D36" s="2">
        <f>--27507.98</f>
        <v>27507.98</v>
      </c>
      <c r="E36" s="2"/>
      <c r="F36" s="22"/>
      <c r="G36" s="2"/>
      <c r="H36" s="2"/>
      <c r="I36" s="2"/>
      <c r="J36" s="22"/>
      <c r="K36" s="2"/>
      <c r="L36" s="2">
        <f t="shared" si="0"/>
        <v>27507.98</v>
      </c>
      <c r="M36" s="2"/>
      <c r="N36" s="22">
        <f t="shared" si="1"/>
        <v>0</v>
      </c>
      <c r="O36" s="11"/>
      <c r="P36" s="2">
        <f>--57135.58</f>
        <v>57135.58</v>
      </c>
      <c r="Q36" s="2"/>
      <c r="R36" s="22"/>
      <c r="S36" s="2"/>
      <c r="T36" s="2"/>
      <c r="U36" s="2"/>
      <c r="V36" s="22"/>
      <c r="W36" s="2"/>
      <c r="X36" s="2">
        <f t="shared" si="2"/>
        <v>57135.58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"4100", " - ", "NON-TAXABLE SALES")</f>
        <v xml:space="preserve">          4100 - NON-TAXABLE SALES</v>
      </c>
      <c r="C37" s="11"/>
      <c r="D37" s="2">
        <f>-225.75</f>
        <v>-225.75</v>
      </c>
      <c r="E37" s="2"/>
      <c r="F37" s="22"/>
      <c r="G37" s="2"/>
      <c r="H37" s="2">
        <v>15662</v>
      </c>
      <c r="I37" s="2"/>
      <c r="J37" s="22"/>
      <c r="K37" s="2"/>
      <c r="L37" s="2">
        <f t="shared" si="0"/>
        <v>-15887.75</v>
      </c>
      <c r="M37" s="2"/>
      <c r="N37" s="22">
        <f t="shared" si="1"/>
        <v>-1.0144138679606691</v>
      </c>
      <c r="O37" s="11"/>
      <c r="P37" s="2">
        <f>--165587.67</f>
        <v>165587.67000000001</v>
      </c>
      <c r="Q37" s="2"/>
      <c r="R37" s="22"/>
      <c r="S37" s="2"/>
      <c r="T37" s="2">
        <v>142062</v>
      </c>
      <c r="U37" s="2"/>
      <c r="V37" s="22"/>
      <c r="W37" s="2"/>
      <c r="X37" s="2">
        <f t="shared" si="2"/>
        <v>23525.670000000013</v>
      </c>
      <c r="Y37" s="2"/>
      <c r="Z37" s="22">
        <f t="shared" si="3"/>
        <v>0.16560142754571958</v>
      </c>
    </row>
    <row r="38" spans="1:26" s="24" customFormat="1" hidden="1" outlineLevel="1" x14ac:dyDescent="0.25">
      <c r="A38" s="51"/>
      <c r="B38" s="11" t="str">
        <f>CONCATENATE("          ", "4101", " - ", "NON-TAXABLE SALES-NEW TEXT")</f>
        <v xml:space="preserve">          4101 - NON-TAXABLE SALES-NEW TEXT</v>
      </c>
      <c r="C38" s="11"/>
      <c r="D38" s="2">
        <f>--3205.21</f>
        <v>3205.21</v>
      </c>
      <c r="E38" s="2"/>
      <c r="F38" s="22"/>
      <c r="G38" s="2"/>
      <c r="H38" s="2"/>
      <c r="I38" s="2"/>
      <c r="J38" s="22"/>
      <c r="K38" s="2"/>
      <c r="L38" s="2">
        <f t="shared" si="0"/>
        <v>3205.21</v>
      </c>
      <c r="M38" s="2"/>
      <c r="N38" s="22">
        <f t="shared" si="1"/>
        <v>0</v>
      </c>
      <c r="O38" s="11"/>
      <c r="P38" s="2">
        <f>--82140.93</f>
        <v>82140.929999999993</v>
      </c>
      <c r="Q38" s="2"/>
      <c r="R38" s="22"/>
      <c r="S38" s="2"/>
      <c r="T38" s="2"/>
      <c r="U38" s="2"/>
      <c r="V38" s="22"/>
      <c r="W38" s="2"/>
      <c r="X38" s="2">
        <f t="shared" si="2"/>
        <v>82140.929999999993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"4102", " - ", "NON-TAXABLE SALES-USED TEXT")</f>
        <v xml:space="preserve">          4102 - NON-TAXABLE SALES-USED TEXT</v>
      </c>
      <c r="C39" s="11"/>
      <c r="D39" s="2">
        <f>--598.12</f>
        <v>598.12</v>
      </c>
      <c r="E39" s="2"/>
      <c r="F39" s="22"/>
      <c r="G39" s="2"/>
      <c r="H39" s="2"/>
      <c r="I39" s="2"/>
      <c r="J39" s="22"/>
      <c r="K39" s="2"/>
      <c r="L39" s="2">
        <f t="shared" si="0"/>
        <v>598.12</v>
      </c>
      <c r="M39" s="2"/>
      <c r="N39" s="22">
        <f t="shared" si="1"/>
        <v>0</v>
      </c>
      <c r="O39" s="11"/>
      <c r="P39" s="2">
        <f>--33631.31</f>
        <v>33631.31</v>
      </c>
      <c r="Q39" s="2"/>
      <c r="R39" s="22"/>
      <c r="S39" s="2"/>
      <c r="T39" s="2"/>
      <c r="U39" s="2"/>
      <c r="V39" s="22"/>
      <c r="W39" s="2"/>
      <c r="X39" s="2">
        <f t="shared" si="2"/>
        <v>33631.31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"4103", " - ", "NON-TAXABLE SALES-RENTAL TEXT")</f>
        <v xml:space="preserve">          4103 - NON-TAXABLE SALES-RENTAL TEXT</v>
      </c>
      <c r="C40" s="11"/>
      <c r="D40" s="2">
        <f>0</f>
        <v>0</v>
      </c>
      <c r="E40" s="2"/>
      <c r="F40" s="22"/>
      <c r="G40" s="2"/>
      <c r="H40" s="2"/>
      <c r="I40" s="2"/>
      <c r="J40" s="22"/>
      <c r="K40" s="2"/>
      <c r="L40" s="2">
        <f t="shared" si="0"/>
        <v>0</v>
      </c>
      <c r="M40" s="2"/>
      <c r="N40" s="22">
        <f t="shared" si="1"/>
        <v>0</v>
      </c>
      <c r="O40" s="11"/>
      <c r="P40" s="2">
        <f>--284.97</f>
        <v>284.97000000000003</v>
      </c>
      <c r="Q40" s="2"/>
      <c r="R40" s="22"/>
      <c r="S40" s="2"/>
      <c r="T40" s="2"/>
      <c r="U40" s="2"/>
      <c r="V40" s="22"/>
      <c r="W40" s="2"/>
      <c r="X40" s="2">
        <f t="shared" si="2"/>
        <v>284.97000000000003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"4104", " - ", "NON-TAXABLE SALES-DIGITAL TEXT")</f>
        <v xml:space="preserve">          4104 - NON-TAXABLE SALES-DIGITAL TEXT</v>
      </c>
      <c r="C41" s="11"/>
      <c r="D41" s="2">
        <f>--1301.3</f>
        <v>1301.3</v>
      </c>
      <c r="E41" s="2"/>
      <c r="F41" s="22"/>
      <c r="G41" s="2"/>
      <c r="H41" s="2"/>
      <c r="I41" s="2"/>
      <c r="J41" s="22"/>
      <c r="K41" s="2"/>
      <c r="L41" s="2">
        <f t="shared" si="0"/>
        <v>1301.3</v>
      </c>
      <c r="M41" s="2"/>
      <c r="N41" s="22">
        <f t="shared" si="1"/>
        <v>0</v>
      </c>
      <c r="O41" s="11"/>
      <c r="P41" s="2">
        <f>--296191.01</f>
        <v>296191.01</v>
      </c>
      <c r="Q41" s="2"/>
      <c r="R41" s="22"/>
      <c r="S41" s="2"/>
      <c r="T41" s="2"/>
      <c r="U41" s="2"/>
      <c r="V41" s="22"/>
      <c r="W41" s="2"/>
      <c r="X41" s="2">
        <f t="shared" si="2"/>
        <v>296191.01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"4113", " - ", "NON-TAXABLE SALES-TRADE BOOKS")</f>
        <v xml:space="preserve">          4113 - NON-TAXABLE SALES-TRADE BOOKS</v>
      </c>
      <c r="C42" s="11"/>
      <c r="D42" s="2">
        <f>--41.55</f>
        <v>41.55</v>
      </c>
      <c r="E42" s="2"/>
      <c r="F42" s="22"/>
      <c r="G42" s="2"/>
      <c r="H42" s="2"/>
      <c r="I42" s="2"/>
      <c r="J42" s="22"/>
      <c r="K42" s="2"/>
      <c r="L42" s="2">
        <f t="shared" si="0"/>
        <v>41.55</v>
      </c>
      <c r="M42" s="2"/>
      <c r="N42" s="22">
        <f t="shared" si="1"/>
        <v>0</v>
      </c>
      <c r="O42" s="11"/>
      <c r="P42" s="2">
        <f>--2327.5</f>
        <v>2327.5</v>
      </c>
      <c r="Q42" s="2"/>
      <c r="R42" s="22"/>
      <c r="S42" s="2"/>
      <c r="T42" s="2"/>
      <c r="U42" s="2"/>
      <c r="V42" s="22"/>
      <c r="W42" s="2"/>
      <c r="X42" s="2">
        <f t="shared" si="2"/>
        <v>2327.5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"4118", " - ", "NON-TAXABLE SALES-STUDY GUIDES")</f>
        <v xml:space="preserve">          4118 - NON-TAXABLE SALES-STUDY GUIDES</v>
      </c>
      <c r="C43" s="11"/>
      <c r="D43" s="2">
        <f t="shared" ref="D43:D44" si="5">0</f>
        <v>0</v>
      </c>
      <c r="E43" s="2"/>
      <c r="F43" s="22"/>
      <c r="G43" s="2"/>
      <c r="H43" s="2"/>
      <c r="I43" s="2"/>
      <c r="J43" s="22"/>
      <c r="K43" s="2"/>
      <c r="L43" s="2">
        <f t="shared" si="0"/>
        <v>0</v>
      </c>
      <c r="M43" s="2"/>
      <c r="N43" s="22">
        <f t="shared" si="1"/>
        <v>0</v>
      </c>
      <c r="O43" s="11"/>
      <c r="P43" s="2">
        <f>--233.43</f>
        <v>233.43</v>
      </c>
      <c r="Q43" s="2"/>
      <c r="R43" s="22"/>
      <c r="S43" s="2"/>
      <c r="T43" s="2"/>
      <c r="U43" s="2"/>
      <c r="V43" s="22"/>
      <c r="W43" s="2"/>
      <c r="X43" s="2">
        <f t="shared" si="2"/>
        <v>233.43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"4126", " - ", "NON-TAXABLE SALES-WRITING INST")</f>
        <v xml:space="preserve">          4126 - NON-TAXABLE SALES-WRITING INST</v>
      </c>
      <c r="C44" s="11"/>
      <c r="D44" s="2">
        <f t="shared" si="5"/>
        <v>0</v>
      </c>
      <c r="E44" s="2"/>
      <c r="F44" s="22"/>
      <c r="G44" s="2"/>
      <c r="H44" s="2"/>
      <c r="I44" s="2"/>
      <c r="J44" s="22"/>
      <c r="K44" s="2"/>
      <c r="L44" s="2">
        <f t="shared" si="0"/>
        <v>0</v>
      </c>
      <c r="M44" s="2"/>
      <c r="N44" s="22">
        <f t="shared" si="1"/>
        <v>0</v>
      </c>
      <c r="O44" s="11"/>
      <c r="P44" s="2">
        <f>--52.68</f>
        <v>52.68</v>
      </c>
      <c r="Q44" s="2"/>
      <c r="R44" s="22"/>
      <c r="S44" s="2"/>
      <c r="T44" s="2"/>
      <c r="U44" s="2"/>
      <c r="V44" s="22"/>
      <c r="W44" s="2"/>
      <c r="X44" s="2">
        <f t="shared" si="2"/>
        <v>52.68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"4127", " - ", "NON-TAXABLE SALES-SCHOOL SUPPL")</f>
        <v xml:space="preserve">          4127 - NON-TAXABLE SALES-SCHOOL SUPPL</v>
      </c>
      <c r="C45" s="11"/>
      <c r="D45" s="2">
        <f>--259.53</f>
        <v>259.52999999999997</v>
      </c>
      <c r="E45" s="2"/>
      <c r="F45" s="22"/>
      <c r="G45" s="2"/>
      <c r="H45" s="2"/>
      <c r="I45" s="2"/>
      <c r="J45" s="22"/>
      <c r="K45" s="2"/>
      <c r="L45" s="2">
        <f t="shared" si="0"/>
        <v>259.52999999999997</v>
      </c>
      <c r="M45" s="2"/>
      <c r="N45" s="22">
        <f t="shared" si="1"/>
        <v>0</v>
      </c>
      <c r="O45" s="11"/>
      <c r="P45" s="2">
        <f>--3206.11</f>
        <v>3206.11</v>
      </c>
      <c r="Q45" s="2"/>
      <c r="R45" s="22"/>
      <c r="S45" s="2"/>
      <c r="T45" s="2"/>
      <c r="U45" s="2"/>
      <c r="V45" s="22"/>
      <c r="W45" s="2"/>
      <c r="X45" s="2">
        <f t="shared" si="2"/>
        <v>3206.11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"4128", " - ", "NON-TAXABLE SALES-ART/TECH")</f>
        <v xml:space="preserve">          4128 - NON-TAXABLE SALES-ART/TECH</v>
      </c>
      <c r="C46" s="11"/>
      <c r="D46" s="2">
        <f>0</f>
        <v>0</v>
      </c>
      <c r="E46" s="2"/>
      <c r="F46" s="22"/>
      <c r="G46" s="2"/>
      <c r="H46" s="2"/>
      <c r="I46" s="2"/>
      <c r="J46" s="22"/>
      <c r="K46" s="2"/>
      <c r="L46" s="2">
        <f t="shared" si="0"/>
        <v>0</v>
      </c>
      <c r="M46" s="2"/>
      <c r="N46" s="22">
        <f t="shared" si="1"/>
        <v>0</v>
      </c>
      <c r="O46" s="11"/>
      <c r="P46" s="2">
        <f>--24.78</f>
        <v>24.78</v>
      </c>
      <c r="Q46" s="2"/>
      <c r="R46" s="22"/>
      <c r="S46" s="2"/>
      <c r="T46" s="2"/>
      <c r="U46" s="2"/>
      <c r="V46" s="22"/>
      <c r="W46" s="2"/>
      <c r="X46" s="2">
        <f t="shared" si="2"/>
        <v>24.78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"4131", " - ", "NON-TAXABLE SALES-FOOD")</f>
        <v xml:space="preserve">          4131 - NON-TAXABLE SALES-FOOD</v>
      </c>
      <c r="C47" s="11"/>
      <c r="D47" s="2">
        <f>--1032.82</f>
        <v>1032.82</v>
      </c>
      <c r="E47" s="2"/>
      <c r="F47" s="22"/>
      <c r="G47" s="2"/>
      <c r="H47" s="2"/>
      <c r="I47" s="2"/>
      <c r="J47" s="22"/>
      <c r="K47" s="2"/>
      <c r="L47" s="2">
        <f t="shared" si="0"/>
        <v>1032.82</v>
      </c>
      <c r="M47" s="2"/>
      <c r="N47" s="22">
        <f t="shared" si="1"/>
        <v>0</v>
      </c>
      <c r="O47" s="11"/>
      <c r="P47" s="2">
        <f>--7542.15</f>
        <v>7542.15</v>
      </c>
      <c r="Q47" s="2"/>
      <c r="R47" s="22"/>
      <c r="S47" s="2"/>
      <c r="T47" s="2"/>
      <c r="U47" s="2"/>
      <c r="V47" s="22"/>
      <c r="W47" s="2"/>
      <c r="X47" s="2">
        <f t="shared" si="2"/>
        <v>7542.15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"4132", " - ", "NON-TAXABLE SALES-JUICE")</f>
        <v xml:space="preserve">          4132 - NON-TAXABLE SALES-JUICE</v>
      </c>
      <c r="C48" s="11"/>
      <c r="D48" s="2">
        <f t="shared" ref="D48:D51" si="6">0</f>
        <v>0</v>
      </c>
      <c r="E48" s="2"/>
      <c r="F48" s="22"/>
      <c r="G48" s="2"/>
      <c r="H48" s="2"/>
      <c r="I48" s="2"/>
      <c r="J48" s="22"/>
      <c r="K48" s="2"/>
      <c r="L48" s="2">
        <f t="shared" si="0"/>
        <v>0</v>
      </c>
      <c r="M48" s="2"/>
      <c r="N48" s="22">
        <f t="shared" si="1"/>
        <v>0</v>
      </c>
      <c r="O48" s="11"/>
      <c r="P48" s="2">
        <f>--22.49</f>
        <v>22.49</v>
      </c>
      <c r="Q48" s="2"/>
      <c r="R48" s="22"/>
      <c r="S48" s="2"/>
      <c r="T48" s="2"/>
      <c r="U48" s="2"/>
      <c r="V48" s="22"/>
      <c r="W48" s="2"/>
      <c r="X48" s="2">
        <f t="shared" si="2"/>
        <v>22.49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"4133", " - ", "NON-TAXABLE SALES-CANDY")</f>
        <v xml:space="preserve">          4133 - NON-TAXABLE SALES-CANDY</v>
      </c>
      <c r="C49" s="11"/>
      <c r="D49" s="2">
        <f t="shared" si="6"/>
        <v>0</v>
      </c>
      <c r="E49" s="2"/>
      <c r="F49" s="22"/>
      <c r="G49" s="2"/>
      <c r="H49" s="2"/>
      <c r="I49" s="2"/>
      <c r="J49" s="22"/>
      <c r="K49" s="2"/>
      <c r="L49" s="2">
        <f t="shared" si="0"/>
        <v>0</v>
      </c>
      <c r="M49" s="2"/>
      <c r="N49" s="22">
        <f t="shared" si="1"/>
        <v>0</v>
      </c>
      <c r="O49" s="11"/>
      <c r="P49" s="2">
        <f>--80.71</f>
        <v>80.709999999999994</v>
      </c>
      <c r="Q49" s="2"/>
      <c r="R49" s="22"/>
      <c r="S49" s="2"/>
      <c r="T49" s="2"/>
      <c r="U49" s="2"/>
      <c r="V49" s="22"/>
      <c r="W49" s="2"/>
      <c r="X49" s="2">
        <f t="shared" si="2"/>
        <v>80.709999999999994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"4134", " - ", "NON-TAXABLE SALES-SODA")</f>
        <v xml:space="preserve">          4134 - NON-TAXABLE SALES-SODA</v>
      </c>
      <c r="C50" s="11"/>
      <c r="D50" s="2">
        <f t="shared" si="6"/>
        <v>0</v>
      </c>
      <c r="E50" s="2"/>
      <c r="F50" s="22"/>
      <c r="G50" s="2"/>
      <c r="H50" s="2"/>
      <c r="I50" s="2"/>
      <c r="J50" s="22"/>
      <c r="K50" s="2"/>
      <c r="L50" s="2">
        <f t="shared" si="0"/>
        <v>0</v>
      </c>
      <c r="M50" s="2"/>
      <c r="N50" s="22">
        <f t="shared" si="1"/>
        <v>0</v>
      </c>
      <c r="O50" s="11"/>
      <c r="P50" s="2">
        <f>--45.53</f>
        <v>45.53</v>
      </c>
      <c r="Q50" s="2"/>
      <c r="R50" s="22"/>
      <c r="S50" s="2"/>
      <c r="T50" s="2"/>
      <c r="U50" s="2"/>
      <c r="V50" s="22"/>
      <c r="W50" s="2"/>
      <c r="X50" s="2">
        <f t="shared" si="2"/>
        <v>45.53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"4137", " - ", "NON-TAXABLE SALES-WATER")</f>
        <v xml:space="preserve">          4137 - NON-TAXABLE SALES-WATER</v>
      </c>
      <c r="C51" s="11"/>
      <c r="D51" s="2">
        <f t="shared" si="6"/>
        <v>0</v>
      </c>
      <c r="E51" s="2"/>
      <c r="F51" s="22"/>
      <c r="G51" s="2"/>
      <c r="H51" s="2"/>
      <c r="I51" s="2"/>
      <c r="J51" s="22"/>
      <c r="K51" s="2"/>
      <c r="L51" s="2">
        <f t="shared" si="0"/>
        <v>0</v>
      </c>
      <c r="M51" s="2"/>
      <c r="N51" s="22">
        <f t="shared" si="1"/>
        <v>0</v>
      </c>
      <c r="O51" s="11"/>
      <c r="P51" s="2">
        <f>--68.25</f>
        <v>68.25</v>
      </c>
      <c r="Q51" s="2"/>
      <c r="R51" s="22"/>
      <c r="S51" s="2"/>
      <c r="T51" s="2"/>
      <c r="U51" s="2"/>
      <c r="V51" s="22"/>
      <c r="W51" s="2"/>
      <c r="X51" s="2">
        <f t="shared" si="2"/>
        <v>68.25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"4140", " - ", "NON-TAXABLE SALES-LOGO CLOTHIN")</f>
        <v xml:space="preserve">          4140 - NON-TAXABLE SALES-LOGO CLOTHIN</v>
      </c>
      <c r="C52" s="11"/>
      <c r="D52" s="2">
        <f>--53650.7</f>
        <v>53650.7</v>
      </c>
      <c r="E52" s="2"/>
      <c r="F52" s="22"/>
      <c r="G52" s="2"/>
      <c r="H52" s="2"/>
      <c r="I52" s="2"/>
      <c r="J52" s="22"/>
      <c r="K52" s="2"/>
      <c r="L52" s="2">
        <f t="shared" si="0"/>
        <v>53650.7</v>
      </c>
      <c r="M52" s="2"/>
      <c r="N52" s="22">
        <f t="shared" si="1"/>
        <v>0</v>
      </c>
      <c r="O52" s="11"/>
      <c r="P52" s="2">
        <f>--103970.97</f>
        <v>103970.97</v>
      </c>
      <c r="Q52" s="2"/>
      <c r="R52" s="22"/>
      <c r="S52" s="2"/>
      <c r="T52" s="2"/>
      <c r="U52" s="2"/>
      <c r="V52" s="22"/>
      <c r="W52" s="2"/>
      <c r="X52" s="2">
        <f t="shared" si="2"/>
        <v>103970.97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"4141", " - ", "NON-TAXABLE SALES-LOGO GIFTS")</f>
        <v xml:space="preserve">          4141 - NON-TAXABLE SALES-LOGO GIFTS</v>
      </c>
      <c r="C53" s="11"/>
      <c r="D53" s="2">
        <f>--1780.23</f>
        <v>1780.23</v>
      </c>
      <c r="E53" s="2"/>
      <c r="F53" s="22"/>
      <c r="G53" s="2"/>
      <c r="H53" s="2"/>
      <c r="I53" s="2"/>
      <c r="J53" s="22"/>
      <c r="K53" s="2"/>
      <c r="L53" s="2">
        <f t="shared" si="0"/>
        <v>1780.23</v>
      </c>
      <c r="M53" s="2"/>
      <c r="N53" s="22">
        <f t="shared" si="1"/>
        <v>0</v>
      </c>
      <c r="O53" s="11"/>
      <c r="P53" s="2">
        <f>--5969.25</f>
        <v>5969.25</v>
      </c>
      <c r="Q53" s="2"/>
      <c r="R53" s="22"/>
      <c r="S53" s="2"/>
      <c r="T53" s="2"/>
      <c r="U53" s="2"/>
      <c r="V53" s="22"/>
      <c r="W53" s="2"/>
      <c r="X53" s="2">
        <f t="shared" si="2"/>
        <v>5969.25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"4142", " - ", "NON-TAXABLE SALES-EVERYDAY GIF")</f>
        <v xml:space="preserve">          4142 - NON-TAXABLE SALES-EVERYDAY GIF</v>
      </c>
      <c r="C54" s="11"/>
      <c r="D54" s="2">
        <f>0</f>
        <v>0</v>
      </c>
      <c r="E54" s="2"/>
      <c r="F54" s="22"/>
      <c r="G54" s="2"/>
      <c r="H54" s="2"/>
      <c r="I54" s="2"/>
      <c r="J54" s="22"/>
      <c r="K54" s="2"/>
      <c r="L54" s="2">
        <f t="shared" si="0"/>
        <v>0</v>
      </c>
      <c r="M54" s="2"/>
      <c r="N54" s="22">
        <f t="shared" si="1"/>
        <v>0</v>
      </c>
      <c r="O54" s="11"/>
      <c r="P54" s="2">
        <f>--2208.19</f>
        <v>2208.19</v>
      </c>
      <c r="Q54" s="2"/>
      <c r="R54" s="22"/>
      <c r="S54" s="2"/>
      <c r="T54" s="2"/>
      <c r="U54" s="2"/>
      <c r="V54" s="22"/>
      <c r="W54" s="2"/>
      <c r="X54" s="2">
        <f t="shared" si="2"/>
        <v>2208.19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"4143", " - ", "NON-TAXABLE SALES-CARDS")</f>
        <v xml:space="preserve">          4143 - NON-TAXABLE SALES-CARDS</v>
      </c>
      <c r="C55" s="11"/>
      <c r="D55" s="2">
        <f>--1697.07</f>
        <v>1697.07</v>
      </c>
      <c r="E55" s="2"/>
      <c r="F55" s="22"/>
      <c r="G55" s="2"/>
      <c r="H55" s="2"/>
      <c r="I55" s="2"/>
      <c r="J55" s="22"/>
      <c r="K55" s="2"/>
      <c r="L55" s="2">
        <f t="shared" si="0"/>
        <v>1697.07</v>
      </c>
      <c r="M55" s="2"/>
      <c r="N55" s="22">
        <f t="shared" si="1"/>
        <v>0</v>
      </c>
      <c r="O55" s="11"/>
      <c r="P55" s="2">
        <f>--1737.03</f>
        <v>1737.03</v>
      </c>
      <c r="Q55" s="2"/>
      <c r="R55" s="22"/>
      <c r="S55" s="2"/>
      <c r="T55" s="2"/>
      <c r="U55" s="2"/>
      <c r="V55" s="22"/>
      <c r="W55" s="2"/>
      <c r="X55" s="2">
        <f t="shared" si="2"/>
        <v>1737.03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"4144", " - ", "NON-TAXABLE SALES-ACCESSORIES")</f>
        <v xml:space="preserve">          4144 - NON-TAXABLE SALES-ACCESSORIES</v>
      </c>
      <c r="C56" s="11"/>
      <c r="D56" s="2">
        <f>--99.8</f>
        <v>99.8</v>
      </c>
      <c r="E56" s="2"/>
      <c r="F56" s="22"/>
      <c r="G56" s="2"/>
      <c r="H56" s="2"/>
      <c r="I56" s="2"/>
      <c r="J56" s="22"/>
      <c r="K56" s="2"/>
      <c r="L56" s="2">
        <f t="shared" si="0"/>
        <v>99.8</v>
      </c>
      <c r="M56" s="2"/>
      <c r="N56" s="22">
        <f t="shared" si="1"/>
        <v>0</v>
      </c>
      <c r="O56" s="11"/>
      <c r="P56" s="2">
        <f>--489.5</f>
        <v>489.5</v>
      </c>
      <c r="Q56" s="2"/>
      <c r="R56" s="22"/>
      <c r="S56" s="2"/>
      <c r="T56" s="2"/>
      <c r="U56" s="2"/>
      <c r="V56" s="22"/>
      <c r="W56" s="2"/>
      <c r="X56" s="2">
        <f t="shared" si="2"/>
        <v>489.5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"4145", " - ", "NON-TAXABLE SALES-SPECIAL ORDE")</f>
        <v xml:space="preserve">          4145 - NON-TAXABLE SALES-SPECIAL ORDE</v>
      </c>
      <c r="C57" s="11"/>
      <c r="D57" s="2">
        <f>--16747.77</f>
        <v>16747.77</v>
      </c>
      <c r="E57" s="2"/>
      <c r="F57" s="22"/>
      <c r="G57" s="2"/>
      <c r="H57" s="2"/>
      <c r="I57" s="2"/>
      <c r="J57" s="22"/>
      <c r="K57" s="2"/>
      <c r="L57" s="2">
        <f t="shared" si="0"/>
        <v>16747.77</v>
      </c>
      <c r="M57" s="2"/>
      <c r="N57" s="22">
        <f t="shared" si="1"/>
        <v>0</v>
      </c>
      <c r="O57" s="11"/>
      <c r="P57" s="2">
        <f>--55393.77</f>
        <v>55393.77</v>
      </c>
      <c r="Q57" s="2"/>
      <c r="R57" s="22"/>
      <c r="S57" s="2"/>
      <c r="T57" s="2"/>
      <c r="U57" s="2"/>
      <c r="V57" s="22"/>
      <c r="W57" s="2"/>
      <c r="X57" s="2">
        <f t="shared" si="2"/>
        <v>55393.77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"4146", " - ", "NON-TAXABLE SALES-COIN OP MACH")</f>
        <v xml:space="preserve">          4146 - NON-TAXABLE SALES-COIN OP MACH</v>
      </c>
      <c r="C58" s="11"/>
      <c r="D58" s="2">
        <f>--19.9</f>
        <v>19.899999999999999</v>
      </c>
      <c r="E58" s="2"/>
      <c r="F58" s="22"/>
      <c r="G58" s="2"/>
      <c r="H58" s="2"/>
      <c r="I58" s="2"/>
      <c r="J58" s="22"/>
      <c r="K58" s="2"/>
      <c r="L58" s="2">
        <f t="shared" si="0"/>
        <v>19.899999999999999</v>
      </c>
      <c r="M58" s="2"/>
      <c r="N58" s="22">
        <f t="shared" si="1"/>
        <v>0</v>
      </c>
      <c r="O58" s="11"/>
      <c r="P58" s="2">
        <f>--127.9</f>
        <v>127.9</v>
      </c>
      <c r="Q58" s="2"/>
      <c r="R58" s="22"/>
      <c r="S58" s="2"/>
      <c r="T58" s="2"/>
      <c r="U58" s="2"/>
      <c r="V58" s="22"/>
      <c r="W58" s="2"/>
      <c r="X58" s="2">
        <f t="shared" si="2"/>
        <v>127.9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"4147", " - ", "NON-TAXABLE SALES-MISC")</f>
        <v xml:space="preserve">          4147 - NON-TAXABLE SALES-MISC</v>
      </c>
      <c r="C59" s="11"/>
      <c r="D59" s="2">
        <f>--13</f>
        <v>13</v>
      </c>
      <c r="E59" s="2"/>
      <c r="F59" s="22"/>
      <c r="G59" s="2"/>
      <c r="H59" s="2"/>
      <c r="I59" s="2"/>
      <c r="J59" s="22"/>
      <c r="K59" s="2"/>
      <c r="L59" s="2">
        <f t="shared" si="0"/>
        <v>13</v>
      </c>
      <c r="M59" s="2"/>
      <c r="N59" s="22">
        <f t="shared" si="1"/>
        <v>0</v>
      </c>
      <c r="O59" s="11"/>
      <c r="P59" s="2">
        <f>--104.5</f>
        <v>104.5</v>
      </c>
      <c r="Q59" s="2"/>
      <c r="R59" s="22"/>
      <c r="S59" s="2"/>
      <c r="T59" s="2"/>
      <c r="U59" s="2"/>
      <c r="V59" s="22"/>
      <c r="W59" s="2"/>
      <c r="X59" s="2">
        <f t="shared" si="2"/>
        <v>104.5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"4181", " - ", "NON-TAXABLE SALES-ELECTRONICS")</f>
        <v xml:space="preserve">          4181 - NON-TAXABLE SALES-ELECTRONICS</v>
      </c>
      <c r="C60" s="11"/>
      <c r="D60" s="2">
        <f>0</f>
        <v>0</v>
      </c>
      <c r="E60" s="2"/>
      <c r="F60" s="22"/>
      <c r="G60" s="2"/>
      <c r="H60" s="2"/>
      <c r="I60" s="2"/>
      <c r="J60" s="22"/>
      <c r="K60" s="2"/>
      <c r="L60" s="2">
        <f t="shared" si="0"/>
        <v>0</v>
      </c>
      <c r="M60" s="2"/>
      <c r="N60" s="22">
        <f t="shared" si="1"/>
        <v>0</v>
      </c>
      <c r="O60" s="11"/>
      <c r="P60" s="2">
        <f>--3534.12</f>
        <v>3534.12</v>
      </c>
      <c r="Q60" s="2"/>
      <c r="R60" s="22"/>
      <c r="S60" s="2"/>
      <c r="T60" s="2"/>
      <c r="U60" s="2"/>
      <c r="V60" s="22"/>
      <c r="W60" s="2"/>
      <c r="X60" s="2">
        <f t="shared" si="2"/>
        <v>3534.12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"4182", " - ", "NON-TAXABLE SALES-COMPUTER HAR")</f>
        <v xml:space="preserve">          4182 - NON-TAXABLE SALES-COMPUTER HAR</v>
      </c>
      <c r="C61" s="11"/>
      <c r="D61" s="2">
        <f>--9513.96</f>
        <v>9513.9599999999991</v>
      </c>
      <c r="E61" s="2"/>
      <c r="F61" s="22"/>
      <c r="G61" s="2"/>
      <c r="H61" s="2"/>
      <c r="I61" s="2"/>
      <c r="J61" s="22"/>
      <c r="K61" s="2"/>
      <c r="L61" s="2">
        <f t="shared" si="0"/>
        <v>9513.9599999999991</v>
      </c>
      <c r="M61" s="2"/>
      <c r="N61" s="22">
        <f t="shared" si="1"/>
        <v>0</v>
      </c>
      <c r="O61" s="11"/>
      <c r="P61" s="2">
        <f>--164308.31</f>
        <v>164308.31</v>
      </c>
      <c r="Q61" s="2"/>
      <c r="R61" s="22"/>
      <c r="S61" s="2"/>
      <c r="T61" s="2"/>
      <c r="U61" s="2"/>
      <c r="V61" s="22"/>
      <c r="W61" s="2"/>
      <c r="X61" s="2">
        <f t="shared" si="2"/>
        <v>164308.31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"4183", " - ", "NON-TAXABLE SALES-COMPUTER EQU")</f>
        <v xml:space="preserve">          4183 - NON-TAXABLE SALES-COMPUTER EQU</v>
      </c>
      <c r="C62" s="11"/>
      <c r="D62" s="2">
        <f>--258.91</f>
        <v>258.91000000000003</v>
      </c>
      <c r="E62" s="2"/>
      <c r="F62" s="22"/>
      <c r="G62" s="2"/>
      <c r="H62" s="2"/>
      <c r="I62" s="2"/>
      <c r="J62" s="22"/>
      <c r="K62" s="2"/>
      <c r="L62" s="2">
        <f t="shared" si="0"/>
        <v>258.91000000000003</v>
      </c>
      <c r="M62" s="2"/>
      <c r="N62" s="22">
        <f t="shared" si="1"/>
        <v>0</v>
      </c>
      <c r="O62" s="11"/>
      <c r="P62" s="2">
        <f>--7629.19</f>
        <v>7629.19</v>
      </c>
      <c r="Q62" s="2"/>
      <c r="R62" s="22"/>
      <c r="S62" s="2"/>
      <c r="T62" s="2"/>
      <c r="U62" s="2"/>
      <c r="V62" s="22"/>
      <c r="W62" s="2"/>
      <c r="X62" s="2">
        <f t="shared" si="2"/>
        <v>7629.19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"4185", " - ", "NON-TAXABLE SALES-SOFTWARE")</f>
        <v xml:space="preserve">          4185 - NON-TAXABLE SALES-SOFTWARE</v>
      </c>
      <c r="C63" s="11"/>
      <c r="D63" s="2">
        <f>--873.93</f>
        <v>873.93</v>
      </c>
      <c r="E63" s="2"/>
      <c r="F63" s="22"/>
      <c r="G63" s="2"/>
      <c r="H63" s="2"/>
      <c r="I63" s="2"/>
      <c r="J63" s="22"/>
      <c r="K63" s="2"/>
      <c r="L63" s="2">
        <f t="shared" si="0"/>
        <v>873.93</v>
      </c>
      <c r="M63" s="2"/>
      <c r="N63" s="22">
        <f t="shared" si="1"/>
        <v>0</v>
      </c>
      <c r="O63" s="11"/>
      <c r="P63" s="2">
        <f>--26680.67</f>
        <v>26680.67</v>
      </c>
      <c r="Q63" s="2"/>
      <c r="R63" s="22"/>
      <c r="S63" s="2"/>
      <c r="T63" s="2"/>
      <c r="U63" s="2"/>
      <c r="V63" s="22"/>
      <c r="W63" s="2"/>
      <c r="X63" s="2">
        <f t="shared" si="2"/>
        <v>26680.67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"4186", " - ", "NON-TAXABLE SALES-COMPUTER SUP")</f>
        <v xml:space="preserve">          4186 - NON-TAXABLE SALES-COMPUTER SUP</v>
      </c>
      <c r="C64" s="11"/>
      <c r="D64" s="2">
        <f>--176.22</f>
        <v>176.22</v>
      </c>
      <c r="E64" s="2"/>
      <c r="F64" s="22"/>
      <c r="G64" s="2"/>
      <c r="H64" s="2"/>
      <c r="I64" s="2"/>
      <c r="J64" s="22"/>
      <c r="K64" s="2"/>
      <c r="L64" s="2">
        <f t="shared" si="0"/>
        <v>176.22</v>
      </c>
      <c r="M64" s="2"/>
      <c r="N64" s="22">
        <f t="shared" si="1"/>
        <v>0</v>
      </c>
      <c r="O64" s="11"/>
      <c r="P64" s="2">
        <f>--1949.99</f>
        <v>1949.99</v>
      </c>
      <c r="Q64" s="2"/>
      <c r="R64" s="22"/>
      <c r="S64" s="2"/>
      <c r="T64" s="2"/>
      <c r="U64" s="2"/>
      <c r="V64" s="22"/>
      <c r="W64" s="2"/>
      <c r="X64" s="2">
        <f t="shared" si="2"/>
        <v>1949.99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"4201", " - ", "SALES RETURN TAXABLE-NEW TEXT")</f>
        <v xml:space="preserve">          4201 - SALES RETURN TAXABLE-NEW TEXT</v>
      </c>
      <c r="C65" s="11"/>
      <c r="D65" s="2">
        <f>-681.18</f>
        <v>-681.18</v>
      </c>
      <c r="E65" s="2"/>
      <c r="F65" s="22"/>
      <c r="G65" s="2"/>
      <c r="H65" s="2"/>
      <c r="I65" s="2"/>
      <c r="J65" s="22"/>
      <c r="K65" s="2"/>
      <c r="L65" s="2">
        <f t="shared" si="0"/>
        <v>-681.18</v>
      </c>
      <c r="M65" s="2"/>
      <c r="N65" s="22">
        <f t="shared" si="1"/>
        <v>0</v>
      </c>
      <c r="O65" s="11"/>
      <c r="P65" s="2">
        <f>-35775.84</f>
        <v>-35775.839999999997</v>
      </c>
      <c r="Q65" s="2"/>
      <c r="R65" s="22"/>
      <c r="S65" s="2"/>
      <c r="T65" s="2"/>
      <c r="U65" s="2"/>
      <c r="V65" s="22"/>
      <c r="W65" s="2"/>
      <c r="X65" s="2">
        <f t="shared" si="2"/>
        <v>-35775.839999999997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"4202", " - ", "SALES RETURN TAXABLE-USED TEXT")</f>
        <v xml:space="preserve">          4202 - SALES RETURN TAXABLE-USED TEXT</v>
      </c>
      <c r="C66" s="11"/>
      <c r="D66" s="2">
        <f>-62.65</f>
        <v>-62.65</v>
      </c>
      <c r="E66" s="2"/>
      <c r="F66" s="22"/>
      <c r="G66" s="2"/>
      <c r="H66" s="2"/>
      <c r="I66" s="2"/>
      <c r="J66" s="22"/>
      <c r="K66" s="2"/>
      <c r="L66" s="2">
        <f t="shared" si="0"/>
        <v>-62.65</v>
      </c>
      <c r="M66" s="2"/>
      <c r="N66" s="22">
        <f t="shared" si="1"/>
        <v>0</v>
      </c>
      <c r="O66" s="11"/>
      <c r="P66" s="2">
        <f>-13866</f>
        <v>-13866</v>
      </c>
      <c r="Q66" s="2"/>
      <c r="R66" s="22"/>
      <c r="S66" s="2"/>
      <c r="T66" s="2"/>
      <c r="U66" s="2"/>
      <c r="V66" s="22"/>
      <c r="W66" s="2"/>
      <c r="X66" s="2">
        <f t="shared" si="2"/>
        <v>-13866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"4204", " - ", "SALES RETURN TAXABLE-DIGITAL T")</f>
        <v xml:space="preserve">          4204 - SALES RETURN TAXABLE-DIGITAL T</v>
      </c>
      <c r="C67" s="11"/>
      <c r="D67" s="2">
        <f t="shared" ref="D67:D68" si="7">0</f>
        <v>0</v>
      </c>
      <c r="E67" s="2"/>
      <c r="F67" s="22"/>
      <c r="G67" s="2"/>
      <c r="H67" s="2"/>
      <c r="I67" s="2"/>
      <c r="J67" s="22"/>
      <c r="K67" s="2"/>
      <c r="L67" s="2">
        <f t="shared" si="0"/>
        <v>0</v>
      </c>
      <c r="M67" s="2"/>
      <c r="N67" s="22">
        <f t="shared" si="1"/>
        <v>0</v>
      </c>
      <c r="O67" s="11"/>
      <c r="P67" s="2">
        <f>-1630.85</f>
        <v>-1630.85</v>
      </c>
      <c r="Q67" s="2"/>
      <c r="R67" s="22"/>
      <c r="S67" s="2"/>
      <c r="T67" s="2"/>
      <c r="U67" s="2"/>
      <c r="V67" s="22"/>
      <c r="W67" s="2"/>
      <c r="X67" s="2">
        <f t="shared" si="2"/>
        <v>-1630.85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"4226", " - ", "SALES RETURN TAXABLE-WRITING I")</f>
        <v xml:space="preserve">          4226 - SALES RETURN TAXABLE-WRITING I</v>
      </c>
      <c r="C68" s="11"/>
      <c r="D68" s="2">
        <f t="shared" si="7"/>
        <v>0</v>
      </c>
      <c r="E68" s="2"/>
      <c r="F68" s="22"/>
      <c r="G68" s="2"/>
      <c r="H68" s="2"/>
      <c r="I68" s="2"/>
      <c r="J68" s="22"/>
      <c r="K68" s="2"/>
      <c r="L68" s="2">
        <f t="shared" si="0"/>
        <v>0</v>
      </c>
      <c r="M68" s="2"/>
      <c r="N68" s="22">
        <f t="shared" si="1"/>
        <v>0</v>
      </c>
      <c r="O68" s="11"/>
      <c r="P68" s="2">
        <f>-34.23</f>
        <v>-34.229999999999997</v>
      </c>
      <c r="Q68" s="2"/>
      <c r="R68" s="22"/>
      <c r="S68" s="2"/>
      <c r="T68" s="2"/>
      <c r="U68" s="2"/>
      <c r="V68" s="22"/>
      <c r="W68" s="2"/>
      <c r="X68" s="2">
        <f t="shared" si="2"/>
        <v>-34.229999999999997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"4227", " - ", "SALES RETURN TAXABLE-SCHOOL SU")</f>
        <v xml:space="preserve">          4227 - SALES RETURN TAXABLE-SCHOOL SU</v>
      </c>
      <c r="C69" s="11"/>
      <c r="D69" s="2">
        <f>-25.82</f>
        <v>-25.82</v>
      </c>
      <c r="E69" s="2"/>
      <c r="F69" s="22"/>
      <c r="G69" s="2"/>
      <c r="H69" s="2"/>
      <c r="I69" s="2"/>
      <c r="J69" s="22"/>
      <c r="K69" s="2"/>
      <c r="L69" s="2">
        <f t="shared" si="0"/>
        <v>-25.82</v>
      </c>
      <c r="M69" s="2"/>
      <c r="N69" s="22">
        <f t="shared" si="1"/>
        <v>0</v>
      </c>
      <c r="O69" s="11"/>
      <c r="P69" s="2">
        <f>-636.46</f>
        <v>-636.46</v>
      </c>
      <c r="Q69" s="2"/>
      <c r="R69" s="22"/>
      <c r="S69" s="2"/>
      <c r="T69" s="2"/>
      <c r="U69" s="2"/>
      <c r="V69" s="22"/>
      <c r="W69" s="2"/>
      <c r="X69" s="2">
        <f t="shared" si="2"/>
        <v>-636.46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"4228", " - ", "SALES RETURN TAXABLE-ART/TECH")</f>
        <v xml:space="preserve">          4228 - SALES RETURN TAXABLE-ART/TECH</v>
      </c>
      <c r="C70" s="11"/>
      <c r="D70" s="2">
        <f>0</f>
        <v>0</v>
      </c>
      <c r="E70" s="2"/>
      <c r="F70" s="22"/>
      <c r="G70" s="2"/>
      <c r="H70" s="2"/>
      <c r="I70" s="2"/>
      <c r="J70" s="22"/>
      <c r="K70" s="2"/>
      <c r="L70" s="2">
        <f t="shared" si="0"/>
        <v>0</v>
      </c>
      <c r="M70" s="2"/>
      <c r="N70" s="22">
        <f t="shared" si="1"/>
        <v>0</v>
      </c>
      <c r="O70" s="11"/>
      <c r="P70" s="2">
        <f>-254.69</f>
        <v>-254.69</v>
      </c>
      <c r="Q70" s="2"/>
      <c r="R70" s="22"/>
      <c r="S70" s="2"/>
      <c r="T70" s="2"/>
      <c r="U70" s="2"/>
      <c r="V70" s="22"/>
      <c r="W70" s="2"/>
      <c r="X70" s="2">
        <f t="shared" si="2"/>
        <v>-254.69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"4240", " - ", "SALES RETURN TAXABLE-LOGO CLOT")</f>
        <v xml:space="preserve">          4240 - SALES RETURN TAXABLE-LOGO CLOT</v>
      </c>
      <c r="C71" s="11"/>
      <c r="D71" s="2">
        <f>-4840.17</f>
        <v>-4840.17</v>
      </c>
      <c r="E71" s="2"/>
      <c r="F71" s="22"/>
      <c r="G71" s="2"/>
      <c r="H71" s="2"/>
      <c r="I71" s="2"/>
      <c r="J71" s="22"/>
      <c r="K71" s="2"/>
      <c r="L71" s="2">
        <f t="shared" si="0"/>
        <v>-4840.17</v>
      </c>
      <c r="M71" s="2"/>
      <c r="N71" s="22">
        <f t="shared" si="1"/>
        <v>0</v>
      </c>
      <c r="O71" s="11"/>
      <c r="P71" s="2">
        <f>-20418.84</f>
        <v>-20418.84</v>
      </c>
      <c r="Q71" s="2"/>
      <c r="R71" s="22"/>
      <c r="S71" s="2"/>
      <c r="T71" s="2"/>
      <c r="U71" s="2"/>
      <c r="V71" s="22"/>
      <c r="W71" s="2"/>
      <c r="X71" s="2">
        <f t="shared" si="2"/>
        <v>-20418.84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"4241", " - ", "SALES RETURN TAXABLE-LOGO GIFT")</f>
        <v xml:space="preserve">          4241 - SALES RETURN TAXABLE-LOGO GIFT</v>
      </c>
      <c r="C72" s="11"/>
      <c r="D72" s="2">
        <f>-755.16</f>
        <v>-755.16</v>
      </c>
      <c r="E72" s="2"/>
      <c r="F72" s="22"/>
      <c r="G72" s="2"/>
      <c r="H72" s="2"/>
      <c r="I72" s="2"/>
      <c r="J72" s="22"/>
      <c r="K72" s="2"/>
      <c r="L72" s="2">
        <f t="shared" si="0"/>
        <v>-755.16</v>
      </c>
      <c r="M72" s="2"/>
      <c r="N72" s="22">
        <f t="shared" si="1"/>
        <v>0</v>
      </c>
      <c r="O72" s="11"/>
      <c r="P72" s="2">
        <f>-3560.01</f>
        <v>-3560.01</v>
      </c>
      <c r="Q72" s="2"/>
      <c r="R72" s="22"/>
      <c r="S72" s="2"/>
      <c r="T72" s="2"/>
      <c r="U72" s="2"/>
      <c r="V72" s="22"/>
      <c r="W72" s="2"/>
      <c r="X72" s="2">
        <f t="shared" si="2"/>
        <v>-3560.01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"4242", " - ", "SALES RETURN TAXABLE-EVERYDAY")</f>
        <v xml:space="preserve">          4242 - SALES RETURN TAXABLE-EVERYDAY</v>
      </c>
      <c r="C73" s="11"/>
      <c r="D73" s="2">
        <f>-287.93</f>
        <v>-287.93</v>
      </c>
      <c r="E73" s="2"/>
      <c r="F73" s="22"/>
      <c r="G73" s="2"/>
      <c r="H73" s="2"/>
      <c r="I73" s="2"/>
      <c r="J73" s="22"/>
      <c r="K73" s="2"/>
      <c r="L73" s="2">
        <f t="shared" si="0"/>
        <v>-287.93</v>
      </c>
      <c r="M73" s="2"/>
      <c r="N73" s="22">
        <f t="shared" si="1"/>
        <v>0</v>
      </c>
      <c r="O73" s="11"/>
      <c r="P73" s="2">
        <f>-1616.92</f>
        <v>-1616.92</v>
      </c>
      <c r="Q73" s="2"/>
      <c r="R73" s="22"/>
      <c r="S73" s="2"/>
      <c r="T73" s="2"/>
      <c r="U73" s="2"/>
      <c r="V73" s="22"/>
      <c r="W73" s="2"/>
      <c r="X73" s="2">
        <f t="shared" si="2"/>
        <v>-1616.92</v>
      </c>
      <c r="Y73" s="2"/>
      <c r="Z73" s="22">
        <f t="shared" si="3"/>
        <v>0</v>
      </c>
    </row>
    <row r="74" spans="1:26" s="24" customFormat="1" hidden="1" outlineLevel="1" x14ac:dyDescent="0.25">
      <c r="A74" s="51"/>
      <c r="B74" s="11" t="str">
        <f>CONCATENATE("          ", "4243", " - ", "SALES RETURN TAXABLE-CARDS")</f>
        <v xml:space="preserve">          4243 - SALES RETURN TAXABLE-CARDS</v>
      </c>
      <c r="C74" s="11"/>
      <c r="D74" s="2">
        <f>-1765.08</f>
        <v>-1765.08</v>
      </c>
      <c r="E74" s="2"/>
      <c r="F74" s="22"/>
      <c r="G74" s="2"/>
      <c r="H74" s="2"/>
      <c r="I74" s="2"/>
      <c r="J74" s="22"/>
      <c r="K74" s="2"/>
      <c r="L74" s="2">
        <f t="shared" si="0"/>
        <v>-1765.08</v>
      </c>
      <c r="M74" s="2"/>
      <c r="N74" s="22">
        <f t="shared" si="1"/>
        <v>0</v>
      </c>
      <c r="O74" s="11"/>
      <c r="P74" s="2">
        <f>-3577.54</f>
        <v>-3577.54</v>
      </c>
      <c r="Q74" s="2"/>
      <c r="R74" s="22"/>
      <c r="S74" s="2"/>
      <c r="T74" s="2"/>
      <c r="U74" s="2"/>
      <c r="V74" s="22"/>
      <c r="W74" s="2"/>
      <c r="X74" s="2">
        <f t="shared" si="2"/>
        <v>-3577.54</v>
      </c>
      <c r="Y74" s="2"/>
      <c r="Z74" s="22">
        <f t="shared" si="3"/>
        <v>0</v>
      </c>
    </row>
    <row r="75" spans="1:26" s="24" customFormat="1" hidden="1" outlineLevel="1" x14ac:dyDescent="0.25">
      <c r="A75" s="51"/>
      <c r="B75" s="11" t="str">
        <f>CONCATENATE("          ", "4244", " - ", "SALES RETURN TAXABLE-ACCESSORI")</f>
        <v xml:space="preserve">          4244 - SALES RETURN TAXABLE-ACCESSORI</v>
      </c>
      <c r="C75" s="11"/>
      <c r="D75" s="2">
        <f>-299.93</f>
        <v>-299.93</v>
      </c>
      <c r="E75" s="2"/>
      <c r="F75" s="22"/>
      <c r="G75" s="2"/>
      <c r="H75" s="2"/>
      <c r="I75" s="2"/>
      <c r="J75" s="22"/>
      <c r="K75" s="2"/>
      <c r="L75" s="2">
        <f t="shared" si="0"/>
        <v>-299.93</v>
      </c>
      <c r="M75" s="2"/>
      <c r="N75" s="22">
        <f t="shared" si="1"/>
        <v>0</v>
      </c>
      <c r="O75" s="11"/>
      <c r="P75" s="2">
        <f>-890.87</f>
        <v>-890.87</v>
      </c>
      <c r="Q75" s="2"/>
      <c r="R75" s="22"/>
      <c r="S75" s="2"/>
      <c r="T75" s="2"/>
      <c r="U75" s="2"/>
      <c r="V75" s="22"/>
      <c r="W75" s="2"/>
      <c r="X75" s="2">
        <f t="shared" si="2"/>
        <v>-890.87</v>
      </c>
      <c r="Y75" s="2"/>
      <c r="Z75" s="22">
        <f t="shared" si="3"/>
        <v>0</v>
      </c>
    </row>
    <row r="76" spans="1:26" s="24" customFormat="1" hidden="1" outlineLevel="1" x14ac:dyDescent="0.25">
      <c r="A76" s="51"/>
      <c r="B76" s="11" t="str">
        <f>CONCATENATE("          ", "4245", " - ", "SALES RETURN TAXABLE-SPECIAL O")</f>
        <v xml:space="preserve">          4245 - SALES RETURN TAXABLE-SPECIAL O</v>
      </c>
      <c r="C76" s="11"/>
      <c r="D76" s="2">
        <f>-9752.79</f>
        <v>-9752.7900000000009</v>
      </c>
      <c r="E76" s="2"/>
      <c r="F76" s="22"/>
      <c r="G76" s="2"/>
      <c r="H76" s="2"/>
      <c r="I76" s="2"/>
      <c r="J76" s="22"/>
      <c r="K76" s="2"/>
      <c r="L76" s="2">
        <f t="shared" si="0"/>
        <v>-9752.7900000000009</v>
      </c>
      <c r="M76" s="2"/>
      <c r="N76" s="22">
        <f t="shared" si="1"/>
        <v>0</v>
      </c>
      <c r="O76" s="11"/>
      <c r="P76" s="2">
        <f>-11345.61</f>
        <v>-11345.61</v>
      </c>
      <c r="Q76" s="2"/>
      <c r="R76" s="22"/>
      <c r="S76" s="2"/>
      <c r="T76" s="2"/>
      <c r="U76" s="2"/>
      <c r="V76" s="22"/>
      <c r="W76" s="2"/>
      <c r="X76" s="2">
        <f t="shared" si="2"/>
        <v>-11345.61</v>
      </c>
      <c r="Y76" s="2"/>
      <c r="Z76" s="22">
        <f t="shared" si="3"/>
        <v>0</v>
      </c>
    </row>
    <row r="77" spans="1:26" s="24" customFormat="1" hidden="1" outlineLevel="1" x14ac:dyDescent="0.25">
      <c r="A77" s="51"/>
      <c r="B77" s="11" t="str">
        <f>CONCATENATE("          ", "4281", " - ", "SALES RETURN TAXABLE-ELECTRONI")</f>
        <v xml:space="preserve">          4281 - SALES RETURN TAXABLE-ELECTRONI</v>
      </c>
      <c r="C77" s="11"/>
      <c r="D77" s="2">
        <f>0</f>
        <v>0</v>
      </c>
      <c r="E77" s="2"/>
      <c r="F77" s="22"/>
      <c r="G77" s="2"/>
      <c r="H77" s="2"/>
      <c r="I77" s="2"/>
      <c r="J77" s="22"/>
      <c r="K77" s="2"/>
      <c r="L77" s="2">
        <f t="shared" si="0"/>
        <v>0</v>
      </c>
      <c r="M77" s="2"/>
      <c r="N77" s="22">
        <f t="shared" si="1"/>
        <v>0</v>
      </c>
      <c r="O77" s="11"/>
      <c r="P77" s="2">
        <f>-14632.15</f>
        <v>-14632.15</v>
      </c>
      <c r="Q77" s="2"/>
      <c r="R77" s="22"/>
      <c r="S77" s="2"/>
      <c r="T77" s="2"/>
      <c r="U77" s="2"/>
      <c r="V77" s="22"/>
      <c r="W77" s="2"/>
      <c r="X77" s="2">
        <f t="shared" si="2"/>
        <v>-14632.15</v>
      </c>
      <c r="Y77" s="2"/>
      <c r="Z77" s="22">
        <f t="shared" si="3"/>
        <v>0</v>
      </c>
    </row>
    <row r="78" spans="1:26" s="24" customFormat="1" hidden="1" outlineLevel="1" x14ac:dyDescent="0.25">
      <c r="A78" s="51"/>
      <c r="B78" s="11" t="str">
        <f>CONCATENATE("          ", "4282", " - ", "SALES RETURN TAXABLE-COMPUTER")</f>
        <v xml:space="preserve">          4282 - SALES RETURN TAXABLE-COMPUTER</v>
      </c>
      <c r="C78" s="11"/>
      <c r="D78" s="2">
        <f>-7936</f>
        <v>-7936</v>
      </c>
      <c r="E78" s="2"/>
      <c r="F78" s="22"/>
      <c r="G78" s="2"/>
      <c r="H78" s="2"/>
      <c r="I78" s="2"/>
      <c r="J78" s="22"/>
      <c r="K78" s="2"/>
      <c r="L78" s="2">
        <f t="shared" si="0"/>
        <v>-7936</v>
      </c>
      <c r="M78" s="2"/>
      <c r="N78" s="22">
        <f t="shared" si="1"/>
        <v>0</v>
      </c>
      <c r="O78" s="11"/>
      <c r="P78" s="2">
        <f>-92020.01</f>
        <v>-92020.01</v>
      </c>
      <c r="Q78" s="2"/>
      <c r="R78" s="22"/>
      <c r="S78" s="2"/>
      <c r="T78" s="2"/>
      <c r="U78" s="2"/>
      <c r="V78" s="22"/>
      <c r="W78" s="2"/>
      <c r="X78" s="2">
        <f t="shared" si="2"/>
        <v>-92020.01</v>
      </c>
      <c r="Y78" s="2"/>
      <c r="Z78" s="22">
        <f t="shared" si="3"/>
        <v>0</v>
      </c>
    </row>
    <row r="79" spans="1:26" s="24" customFormat="1" hidden="1" outlineLevel="1" x14ac:dyDescent="0.25">
      <c r="A79" s="51"/>
      <c r="B79" s="11" t="str">
        <f>CONCATENATE("          ", "4283", " - ", "SALES RETURN TAXABLE-COMPUTER")</f>
        <v xml:space="preserve">          4283 - SALES RETURN TAXABLE-COMPUTER</v>
      </c>
      <c r="C79" s="11"/>
      <c r="D79" s="2">
        <f>-99.99</f>
        <v>-99.99</v>
      </c>
      <c r="E79" s="2"/>
      <c r="F79" s="22"/>
      <c r="G79" s="2"/>
      <c r="H79" s="2"/>
      <c r="I79" s="2"/>
      <c r="J79" s="22"/>
      <c r="K79" s="2"/>
      <c r="L79" s="2">
        <f t="shared" si="0"/>
        <v>-99.99</v>
      </c>
      <c r="M79" s="2"/>
      <c r="N79" s="22">
        <f t="shared" si="1"/>
        <v>0</v>
      </c>
      <c r="O79" s="11"/>
      <c r="P79" s="2">
        <f>-3411.26</f>
        <v>-3411.26</v>
      </c>
      <c r="Q79" s="2"/>
      <c r="R79" s="22"/>
      <c r="S79" s="2"/>
      <c r="T79" s="2"/>
      <c r="U79" s="2"/>
      <c r="V79" s="22"/>
      <c r="W79" s="2"/>
      <c r="X79" s="2">
        <f t="shared" si="2"/>
        <v>-3411.26</v>
      </c>
      <c r="Y79" s="2"/>
      <c r="Z79" s="22">
        <f t="shared" si="3"/>
        <v>0</v>
      </c>
    </row>
    <row r="80" spans="1:26" s="24" customFormat="1" hidden="1" outlineLevel="1" x14ac:dyDescent="0.25">
      <c r="A80" s="51"/>
      <c r="B80" s="11" t="str">
        <f>CONCATENATE("          ", "4285", " - ", "SALES RETURN TAXABLE-SOFTWARE")</f>
        <v xml:space="preserve">          4285 - SALES RETURN TAXABLE-SOFTWARE</v>
      </c>
      <c r="C80" s="11"/>
      <c r="D80" s="2">
        <f>0</f>
        <v>0</v>
      </c>
      <c r="E80" s="2"/>
      <c r="F80" s="22"/>
      <c r="G80" s="2"/>
      <c r="H80" s="2"/>
      <c r="I80" s="2"/>
      <c r="J80" s="22"/>
      <c r="K80" s="2"/>
      <c r="L80" s="2">
        <f t="shared" si="0"/>
        <v>0</v>
      </c>
      <c r="M80" s="2"/>
      <c r="N80" s="22">
        <f t="shared" si="1"/>
        <v>0</v>
      </c>
      <c r="O80" s="11"/>
      <c r="P80" s="2">
        <f>-691.98</f>
        <v>-691.98</v>
      </c>
      <c r="Q80" s="2"/>
      <c r="R80" s="22"/>
      <c r="S80" s="2"/>
      <c r="T80" s="2"/>
      <c r="U80" s="2"/>
      <c r="V80" s="22"/>
      <c r="W80" s="2"/>
      <c r="X80" s="2">
        <f t="shared" si="2"/>
        <v>-691.98</v>
      </c>
      <c r="Y80" s="2"/>
      <c r="Z80" s="22">
        <f t="shared" si="3"/>
        <v>0</v>
      </c>
    </row>
    <row r="81" spans="1:26" s="24" customFormat="1" hidden="1" outlineLevel="1" x14ac:dyDescent="0.25">
      <c r="A81" s="51"/>
      <c r="B81" s="11" t="str">
        <f>CONCATENATE("          ", "4286", " - ", "SALES RETURN TAXABLE-COMPUTER")</f>
        <v xml:space="preserve">          4286 - SALES RETURN TAXABLE-COMPUTER</v>
      </c>
      <c r="C81" s="11"/>
      <c r="D81" s="2">
        <f>-4127</f>
        <v>-4127</v>
      </c>
      <c r="E81" s="2"/>
      <c r="F81" s="22"/>
      <c r="G81" s="2"/>
      <c r="H81" s="2"/>
      <c r="I81" s="2"/>
      <c r="J81" s="22"/>
      <c r="K81" s="2"/>
      <c r="L81" s="2">
        <f t="shared" si="0"/>
        <v>-4127</v>
      </c>
      <c r="M81" s="2"/>
      <c r="N81" s="22">
        <f t="shared" si="1"/>
        <v>0</v>
      </c>
      <c r="O81" s="11"/>
      <c r="P81" s="2">
        <f>-4708.35</f>
        <v>-4708.3500000000004</v>
      </c>
      <c r="Q81" s="2"/>
      <c r="R81" s="22"/>
      <c r="S81" s="2"/>
      <c r="T81" s="2"/>
      <c r="U81" s="2"/>
      <c r="V81" s="22"/>
      <c r="W81" s="2"/>
      <c r="X81" s="2">
        <f t="shared" si="2"/>
        <v>-4708.3500000000004</v>
      </c>
      <c r="Y81" s="2"/>
      <c r="Z81" s="22">
        <f t="shared" si="3"/>
        <v>0</v>
      </c>
    </row>
    <row r="82" spans="1:26" s="24" customFormat="1" hidden="1" outlineLevel="1" x14ac:dyDescent="0.25">
      <c r="A82" s="51"/>
      <c r="B82" s="11" t="str">
        <f>CONCATENATE("          ", "4301", " - ", "SALES RETURN NON TAXABLE-NEW T")</f>
        <v xml:space="preserve">          4301 - SALES RETURN NON TAXABLE-NEW T</v>
      </c>
      <c r="C82" s="11"/>
      <c r="D82" s="2">
        <f>-372.93</f>
        <v>-372.93</v>
      </c>
      <c r="E82" s="2"/>
      <c r="F82" s="22"/>
      <c r="G82" s="2"/>
      <c r="H82" s="2"/>
      <c r="I82" s="2"/>
      <c r="J82" s="22"/>
      <c r="K82" s="2"/>
      <c r="L82" s="2">
        <f t="shared" si="0"/>
        <v>-372.93</v>
      </c>
      <c r="M82" s="2"/>
      <c r="N82" s="22">
        <f t="shared" si="1"/>
        <v>0</v>
      </c>
      <c r="O82" s="11"/>
      <c r="P82" s="2">
        <f>-2749.1</f>
        <v>-2749.1</v>
      </c>
      <c r="Q82" s="2"/>
      <c r="R82" s="22"/>
      <c r="S82" s="2"/>
      <c r="T82" s="2"/>
      <c r="U82" s="2"/>
      <c r="V82" s="22"/>
      <c r="W82" s="2"/>
      <c r="X82" s="2">
        <f t="shared" si="2"/>
        <v>-2749.1</v>
      </c>
      <c r="Y82" s="2"/>
      <c r="Z82" s="22">
        <f t="shared" si="3"/>
        <v>0</v>
      </c>
    </row>
    <row r="83" spans="1:26" s="24" customFormat="1" hidden="1" outlineLevel="1" x14ac:dyDescent="0.25">
      <c r="A83" s="51"/>
      <c r="B83" s="11" t="str">
        <f>CONCATENATE("          ", "4302", " - ", "SALES RETURN NON TAXABLE-TEXT")</f>
        <v xml:space="preserve">          4302 - SALES RETURN NON TAXABLE-TEXT</v>
      </c>
      <c r="C83" s="11"/>
      <c r="D83" s="2">
        <f>-77.35</f>
        <v>-77.349999999999994</v>
      </c>
      <c r="E83" s="2"/>
      <c r="F83" s="22"/>
      <c r="G83" s="2"/>
      <c r="H83" s="2"/>
      <c r="I83" s="2"/>
      <c r="J83" s="22"/>
      <c r="K83" s="2"/>
      <c r="L83" s="2">
        <f t="shared" si="0"/>
        <v>-77.349999999999994</v>
      </c>
      <c r="M83" s="2"/>
      <c r="N83" s="22">
        <f t="shared" si="1"/>
        <v>0</v>
      </c>
      <c r="O83" s="11"/>
      <c r="P83" s="2">
        <f>-1470.2</f>
        <v>-1470.2</v>
      </c>
      <c r="Q83" s="2"/>
      <c r="R83" s="22"/>
      <c r="S83" s="2"/>
      <c r="T83" s="2"/>
      <c r="U83" s="2"/>
      <c r="V83" s="22"/>
      <c r="W83" s="2"/>
      <c r="X83" s="2">
        <f t="shared" si="2"/>
        <v>-1470.2</v>
      </c>
      <c r="Y83" s="2"/>
      <c r="Z83" s="22">
        <f t="shared" si="3"/>
        <v>0</v>
      </c>
    </row>
    <row r="84" spans="1:26" s="24" customFormat="1" hidden="1" outlineLevel="1" x14ac:dyDescent="0.25">
      <c r="A84" s="51"/>
      <c r="B84" s="11" t="str">
        <f>CONCATENATE("          ", "4304", " - ", "SALES RETURN NON TAXABLE-DIGIT")</f>
        <v xml:space="preserve">          4304 - SALES RETURN NON TAXABLE-DIGIT</v>
      </c>
      <c r="C84" s="11"/>
      <c r="D84" s="2">
        <f>-144.23</f>
        <v>-144.22999999999999</v>
      </c>
      <c r="E84" s="2"/>
      <c r="F84" s="22"/>
      <c r="G84" s="2"/>
      <c r="H84" s="2"/>
      <c r="I84" s="2"/>
      <c r="J84" s="22"/>
      <c r="K84" s="2"/>
      <c r="L84" s="2">
        <f t="shared" si="0"/>
        <v>-144.22999999999999</v>
      </c>
      <c r="M84" s="2"/>
      <c r="N84" s="22">
        <f t="shared" si="1"/>
        <v>0</v>
      </c>
      <c r="O84" s="11"/>
      <c r="P84" s="2">
        <f>-14422.77</f>
        <v>-14422.77</v>
      </c>
      <c r="Q84" s="2"/>
      <c r="R84" s="22"/>
      <c r="S84" s="2"/>
      <c r="T84" s="2"/>
      <c r="U84" s="2"/>
      <c r="V84" s="22"/>
      <c r="W84" s="2"/>
      <c r="X84" s="2">
        <f t="shared" si="2"/>
        <v>-14422.77</v>
      </c>
      <c r="Y84" s="2"/>
      <c r="Z84" s="22">
        <f t="shared" si="3"/>
        <v>0</v>
      </c>
    </row>
    <row r="85" spans="1:26" s="24" customFormat="1" hidden="1" outlineLevel="1" x14ac:dyDescent="0.25">
      <c r="A85" s="51"/>
      <c r="B85" s="11" t="str">
        <f>CONCATENATE("          ", "4340", " - ", "SALES RETURN NON TAXABLE-LOGO")</f>
        <v xml:space="preserve">          4340 - SALES RETURN NON TAXABLE-LOGO</v>
      </c>
      <c r="C85" s="11"/>
      <c r="D85" s="2">
        <f>-543.24</f>
        <v>-543.24</v>
      </c>
      <c r="E85" s="2"/>
      <c r="F85" s="22"/>
      <c r="G85" s="2"/>
      <c r="H85" s="2"/>
      <c r="I85" s="2"/>
      <c r="J85" s="22"/>
      <c r="K85" s="2"/>
      <c r="L85" s="2">
        <f t="shared" si="0"/>
        <v>-543.24</v>
      </c>
      <c r="M85" s="2"/>
      <c r="N85" s="22">
        <f t="shared" si="1"/>
        <v>0</v>
      </c>
      <c r="O85" s="11"/>
      <c r="P85" s="2">
        <f>-1483.72</f>
        <v>-1483.72</v>
      </c>
      <c r="Q85" s="2"/>
      <c r="R85" s="22"/>
      <c r="S85" s="2"/>
      <c r="T85" s="2"/>
      <c r="U85" s="2"/>
      <c r="V85" s="22"/>
      <c r="W85" s="2"/>
      <c r="X85" s="2">
        <f t="shared" si="2"/>
        <v>-1483.72</v>
      </c>
      <c r="Y85" s="2"/>
      <c r="Z85" s="22">
        <f t="shared" si="3"/>
        <v>0</v>
      </c>
    </row>
    <row r="86" spans="1:26" s="24" customFormat="1" hidden="1" outlineLevel="1" x14ac:dyDescent="0.25">
      <c r="A86" s="51"/>
      <c r="B86" s="11" t="str">
        <f>CONCATENATE("          ", "4341", " - ", "SALES RETURN NON TAXABLE-LOGO")</f>
        <v xml:space="preserve">          4341 - SALES RETURN NON TAXABLE-LOGO</v>
      </c>
      <c r="C86" s="11"/>
      <c r="D86" s="2">
        <f>-33.85</f>
        <v>-33.85</v>
      </c>
      <c r="E86" s="2"/>
      <c r="F86" s="22"/>
      <c r="G86" s="2"/>
      <c r="H86" s="2"/>
      <c r="I86" s="2"/>
      <c r="J86" s="22"/>
      <c r="K86" s="2"/>
      <c r="L86" s="2">
        <f t="shared" si="0"/>
        <v>-33.85</v>
      </c>
      <c r="M86" s="2"/>
      <c r="N86" s="22">
        <f t="shared" si="1"/>
        <v>0</v>
      </c>
      <c r="O86" s="11"/>
      <c r="P86" s="2">
        <f>-335.64</f>
        <v>-335.64</v>
      </c>
      <c r="Q86" s="2"/>
      <c r="R86" s="22"/>
      <c r="S86" s="2"/>
      <c r="T86" s="2"/>
      <c r="U86" s="2"/>
      <c r="V86" s="22"/>
      <c r="W86" s="2"/>
      <c r="X86" s="2">
        <f t="shared" si="2"/>
        <v>-335.64</v>
      </c>
      <c r="Y86" s="2"/>
      <c r="Z86" s="22">
        <f t="shared" si="3"/>
        <v>0</v>
      </c>
    </row>
    <row r="87" spans="1:26" s="24" customFormat="1" hidden="1" outlineLevel="1" x14ac:dyDescent="0.25">
      <c r="A87" s="51"/>
      <c r="B87" s="11" t="str">
        <f>CONCATENATE("          ", "4342", " - ", "SALES RETURN NON TAXABLE-EVERY")</f>
        <v xml:space="preserve">          4342 - SALES RETURN NON TAXABLE-EVERY</v>
      </c>
      <c r="C87" s="11"/>
      <c r="D87" s="2">
        <f t="shared" ref="D87:D88" si="8">0</f>
        <v>0</v>
      </c>
      <c r="E87" s="2"/>
      <c r="F87" s="22"/>
      <c r="G87" s="2"/>
      <c r="H87" s="2"/>
      <c r="I87" s="2"/>
      <c r="J87" s="22"/>
      <c r="K87" s="2"/>
      <c r="L87" s="2">
        <f t="shared" si="0"/>
        <v>0</v>
      </c>
      <c r="M87" s="2"/>
      <c r="N87" s="22">
        <f t="shared" si="1"/>
        <v>0</v>
      </c>
      <c r="O87" s="11"/>
      <c r="P87" s="2">
        <f>-118.7</f>
        <v>-118.7</v>
      </c>
      <c r="Q87" s="2"/>
      <c r="R87" s="22"/>
      <c r="S87" s="2"/>
      <c r="T87" s="2"/>
      <c r="U87" s="2"/>
      <c r="V87" s="22"/>
      <c r="W87" s="2"/>
      <c r="X87" s="2">
        <f t="shared" si="2"/>
        <v>-118.7</v>
      </c>
      <c r="Y87" s="2"/>
      <c r="Z87" s="22">
        <f t="shared" si="3"/>
        <v>0</v>
      </c>
    </row>
    <row r="88" spans="1:26" s="24" customFormat="1" hidden="1" outlineLevel="1" x14ac:dyDescent="0.25">
      <c r="A88" s="51"/>
      <c r="B88" s="11" t="str">
        <f>CONCATENATE("          ", "4381", " - ", "SALES RETURN NON TAXABLE-ELECT")</f>
        <v xml:space="preserve">          4381 - SALES RETURN NON TAXABLE-ELECT</v>
      </c>
      <c r="C88" s="11"/>
      <c r="D88" s="2">
        <f t="shared" si="8"/>
        <v>0</v>
      </c>
      <c r="E88" s="2"/>
      <c r="F88" s="22"/>
      <c r="G88" s="2"/>
      <c r="H88" s="2"/>
      <c r="I88" s="2"/>
      <c r="J88" s="22"/>
      <c r="K88" s="2"/>
      <c r="L88" s="2">
        <f t="shared" si="0"/>
        <v>0</v>
      </c>
      <c r="M88" s="2"/>
      <c r="N88" s="22">
        <f t="shared" si="1"/>
        <v>0</v>
      </c>
      <c r="O88" s="11"/>
      <c r="P88" s="2">
        <f>-5624.15</f>
        <v>-5624.15</v>
      </c>
      <c r="Q88" s="2"/>
      <c r="R88" s="22"/>
      <c r="S88" s="2"/>
      <c r="T88" s="2"/>
      <c r="U88" s="2"/>
      <c r="V88" s="22"/>
      <c r="W88" s="2"/>
      <c r="X88" s="2">
        <f t="shared" si="2"/>
        <v>-5624.15</v>
      </c>
      <c r="Y88" s="2"/>
      <c r="Z88" s="22">
        <f t="shared" si="3"/>
        <v>0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collapsed="1" x14ac:dyDescent="0.25">
      <c r="A90" s="10"/>
      <c r="B90" s="26" t="s">
        <v>8</v>
      </c>
      <c r="C90" s="10"/>
      <c r="D90" s="4">
        <f>SUM(OSRRefD16x_0)</f>
        <v>207177.40000000002</v>
      </c>
      <c r="E90" s="4"/>
      <c r="F90" s="12">
        <f t="shared" ref="F90:F133" si="9">IF(D$12=0,0,D90/D$12)</f>
        <v>0.66175352639394147</v>
      </c>
      <c r="G90" s="4"/>
      <c r="H90" s="4">
        <f>SUM(OSRRefH16x_0)</f>
        <v>238062</v>
      </c>
      <c r="I90" s="4"/>
      <c r="J90" s="12">
        <f t="shared" ref="J90:J133" si="10">IF(H$12=0,0,H90/H$12)</f>
        <v>0.5326605956190007</v>
      </c>
      <c r="K90" s="4"/>
      <c r="L90" s="4">
        <f t="shared" ref="L90:L133" si="11">+D90-H90</f>
        <v>-30884.599999999977</v>
      </c>
      <c r="M90" s="4"/>
      <c r="N90" s="12">
        <f t="shared" ref="N90:N133" si="12">IF(H90=0,0,L90/H90)</f>
        <v>-0.12973343078693775</v>
      </c>
      <c r="O90" s="10"/>
      <c r="P90" s="4">
        <f>SUM(OSRRefP16x_0)</f>
        <v>2950590.27</v>
      </c>
      <c r="Q90" s="4"/>
      <c r="R90" s="12">
        <f t="shared" ref="R90:R133" si="13">IF(P$12=0,0,P90/P$12)</f>
        <v>0.74248127279455323</v>
      </c>
      <c r="S90" s="4"/>
      <c r="T90" s="4">
        <f>SUM(OSRRefT16x_0)</f>
        <v>3925998</v>
      </c>
      <c r="U90" s="4"/>
      <c r="V90" s="12">
        <f t="shared" ref="V90:V133" si="14">IF(T$12=0,0,T90/T$12)</f>
        <v>0.63977502591448687</v>
      </c>
      <c r="W90" s="4"/>
      <c r="X90" s="4">
        <f t="shared" ref="X90:X133" si="15">+P90-T90</f>
        <v>-975407.73</v>
      </c>
      <c r="Y90" s="4"/>
      <c r="Z90" s="12">
        <f t="shared" ref="Z90:Z133" si="16">IF(T90=0,0,X90/T90)</f>
        <v>-0.2484483512217785</v>
      </c>
    </row>
    <row r="91" spans="1:26" s="24" customFormat="1" hidden="1" outlineLevel="1" x14ac:dyDescent="0.25">
      <c r="A91" s="51"/>
      <c r="B91" s="11" t="str">
        <f>CONCATENATE("          ", "5000", " - ", "PURCHASES @ COST")</f>
        <v xml:space="preserve">          5000 - PURCHASES @ COST</v>
      </c>
      <c r="C91" s="11"/>
      <c r="D91" s="2"/>
      <c r="E91" s="2"/>
      <c r="F91" s="22">
        <f t="shared" si="9"/>
        <v>0</v>
      </c>
      <c r="G91" s="2"/>
      <c r="H91" s="2">
        <v>238062</v>
      </c>
      <c r="I91" s="2"/>
      <c r="J91" s="22">
        <f t="shared" si="10"/>
        <v>0.5326605956190007</v>
      </c>
      <c r="K91" s="2"/>
      <c r="L91" s="2">
        <f t="shared" si="11"/>
        <v>-238062</v>
      </c>
      <c r="M91" s="2"/>
      <c r="N91" s="22">
        <f t="shared" si="12"/>
        <v>-1</v>
      </c>
      <c r="O91" s="11"/>
      <c r="P91" s="2"/>
      <c r="Q91" s="2"/>
      <c r="R91" s="22">
        <f t="shared" si="13"/>
        <v>0</v>
      </c>
      <c r="S91" s="2"/>
      <c r="T91" s="2">
        <v>3925998</v>
      </c>
      <c r="U91" s="2"/>
      <c r="V91" s="22">
        <f t="shared" si="14"/>
        <v>0.63977502591448687</v>
      </c>
      <c r="W91" s="2"/>
      <c r="X91" s="2">
        <f t="shared" si="15"/>
        <v>-3925998</v>
      </c>
      <c r="Y91" s="2"/>
      <c r="Z91" s="22">
        <f t="shared" si="16"/>
        <v>-1</v>
      </c>
    </row>
    <row r="92" spans="1:26" s="24" customFormat="1" hidden="1" outlineLevel="1" x14ac:dyDescent="0.25">
      <c r="A92" s="51"/>
      <c r="B92" s="11" t="str">
        <f>CONCATENATE("          ", "5001", " - ", "PURCHASES @ COST-NEW TEXT")</f>
        <v xml:space="preserve">          5001 - PURCHASES @ COST-NEW TEXT</v>
      </c>
      <c r="C92" s="11"/>
      <c r="D92" s="2">
        <v>37317.56</v>
      </c>
      <c r="E92" s="2"/>
      <c r="F92" s="22">
        <f t="shared" si="9"/>
        <v>0.11919749415919638</v>
      </c>
      <c r="G92" s="2"/>
      <c r="H92" s="2"/>
      <c r="I92" s="2"/>
      <c r="J92" s="22">
        <f t="shared" si="10"/>
        <v>0</v>
      </c>
      <c r="K92" s="2"/>
      <c r="L92" s="2">
        <f t="shared" si="11"/>
        <v>37317.56</v>
      </c>
      <c r="M92" s="2"/>
      <c r="N92" s="22">
        <f t="shared" si="12"/>
        <v>0</v>
      </c>
      <c r="O92" s="11"/>
      <c r="P92" s="2">
        <v>1277913.04</v>
      </c>
      <c r="Q92" s="2"/>
      <c r="R92" s="22">
        <f t="shared" si="13"/>
        <v>0.32157175806722793</v>
      </c>
      <c r="S92" s="2"/>
      <c r="T92" s="2"/>
      <c r="U92" s="2"/>
      <c r="V92" s="22">
        <f t="shared" si="14"/>
        <v>0</v>
      </c>
      <c r="W92" s="2"/>
      <c r="X92" s="2">
        <f t="shared" si="15"/>
        <v>1277913.04</v>
      </c>
      <c r="Y92" s="2"/>
      <c r="Z92" s="22">
        <f t="shared" si="16"/>
        <v>0</v>
      </c>
    </row>
    <row r="93" spans="1:26" s="24" customFormat="1" hidden="1" outlineLevel="1" x14ac:dyDescent="0.25">
      <c r="A93" s="51"/>
      <c r="B93" s="11" t="str">
        <f>CONCATENATE("          ", "5002", " - ", "PURCHASES @ COST-USED TEXT")</f>
        <v xml:space="preserve">          5002 - PURCHASES @ COST-USED TEXT</v>
      </c>
      <c r="C93" s="11"/>
      <c r="D93" s="2">
        <v>70238.87</v>
      </c>
      <c r="E93" s="2"/>
      <c r="F93" s="22">
        <f t="shared" si="9"/>
        <v>0.22435275233894053</v>
      </c>
      <c r="G93" s="2"/>
      <c r="H93" s="2"/>
      <c r="I93" s="2"/>
      <c r="J93" s="22">
        <f t="shared" si="10"/>
        <v>0</v>
      </c>
      <c r="K93" s="2"/>
      <c r="L93" s="2">
        <f t="shared" si="11"/>
        <v>70238.87</v>
      </c>
      <c r="M93" s="2"/>
      <c r="N93" s="22">
        <f t="shared" si="12"/>
        <v>0</v>
      </c>
      <c r="O93" s="11"/>
      <c r="P93" s="2">
        <v>164472.92000000001</v>
      </c>
      <c r="Q93" s="2"/>
      <c r="R93" s="22">
        <f t="shared" si="13"/>
        <v>4.1387672230694617E-2</v>
      </c>
      <c r="S93" s="2"/>
      <c r="T93" s="2"/>
      <c r="U93" s="2"/>
      <c r="V93" s="22">
        <f t="shared" si="14"/>
        <v>0</v>
      </c>
      <c r="W93" s="2"/>
      <c r="X93" s="2">
        <f t="shared" si="15"/>
        <v>164472.92000000001</v>
      </c>
      <c r="Y93" s="2"/>
      <c r="Z93" s="22">
        <f t="shared" si="16"/>
        <v>0</v>
      </c>
    </row>
    <row r="94" spans="1:26" s="24" customFormat="1" hidden="1" outlineLevel="1" x14ac:dyDescent="0.25">
      <c r="A94" s="51"/>
      <c r="B94" s="11" t="str">
        <f>CONCATENATE("          ", "5003", " - ", "PURCHASES @ COST-RENTAL TEXT")</f>
        <v xml:space="preserve">          5003 - PURCHASES @ COST-RENTAL TEXT</v>
      </c>
      <c r="C94" s="11"/>
      <c r="D94" s="2"/>
      <c r="E94" s="2"/>
      <c r="F94" s="22">
        <f t="shared" si="9"/>
        <v>0</v>
      </c>
      <c r="G94" s="2"/>
      <c r="H94" s="2"/>
      <c r="I94" s="2"/>
      <c r="J94" s="22">
        <f t="shared" si="10"/>
        <v>0</v>
      </c>
      <c r="K94" s="2"/>
      <c r="L94" s="2">
        <f t="shared" si="11"/>
        <v>0</v>
      </c>
      <c r="M94" s="2"/>
      <c r="N94" s="22">
        <f t="shared" si="12"/>
        <v>0</v>
      </c>
      <c r="O94" s="11"/>
      <c r="P94" s="2">
        <v>32.520000000000003</v>
      </c>
      <c r="Q94" s="2"/>
      <c r="R94" s="22">
        <f t="shared" si="13"/>
        <v>8.1832747964965228E-6</v>
      </c>
      <c r="S94" s="2"/>
      <c r="T94" s="2"/>
      <c r="U94" s="2"/>
      <c r="V94" s="22">
        <f t="shared" si="14"/>
        <v>0</v>
      </c>
      <c r="W94" s="2"/>
      <c r="X94" s="2">
        <f t="shared" si="15"/>
        <v>32.520000000000003</v>
      </c>
      <c r="Y94" s="2"/>
      <c r="Z94" s="22">
        <f t="shared" si="16"/>
        <v>0</v>
      </c>
    </row>
    <row r="95" spans="1:26" s="24" customFormat="1" hidden="1" outlineLevel="1" x14ac:dyDescent="0.25">
      <c r="A95" s="51"/>
      <c r="B95" s="11" t="str">
        <f>CONCATENATE("          ", "5004", " - ", "PURCHASES @ COST-DIGITAL TEXT")</f>
        <v xml:space="preserve">          5004 - PURCHASES @ COST-DIGITAL TEXT</v>
      </c>
      <c r="C95" s="11"/>
      <c r="D95" s="2">
        <v>900</v>
      </c>
      <c r="E95" s="2"/>
      <c r="F95" s="22">
        <f t="shared" si="9"/>
        <v>2.8747255914715955E-3</v>
      </c>
      <c r="G95" s="2"/>
      <c r="H95" s="2"/>
      <c r="I95" s="2"/>
      <c r="J95" s="22">
        <f t="shared" si="10"/>
        <v>0</v>
      </c>
      <c r="K95" s="2"/>
      <c r="L95" s="2">
        <f t="shared" si="11"/>
        <v>900</v>
      </c>
      <c r="M95" s="2"/>
      <c r="N95" s="22">
        <f t="shared" si="12"/>
        <v>0</v>
      </c>
      <c r="O95" s="11"/>
      <c r="P95" s="2">
        <v>197838.11000000002</v>
      </c>
      <c r="Q95" s="2"/>
      <c r="R95" s="22">
        <f t="shared" si="13"/>
        <v>4.9783629131288643E-2</v>
      </c>
      <c r="S95" s="2"/>
      <c r="T95" s="2"/>
      <c r="U95" s="2"/>
      <c r="V95" s="22">
        <f t="shared" si="14"/>
        <v>0</v>
      </c>
      <c r="W95" s="2"/>
      <c r="X95" s="2">
        <f t="shared" si="15"/>
        <v>197838.11000000002</v>
      </c>
      <c r="Y95" s="2"/>
      <c r="Z95" s="22">
        <f t="shared" si="16"/>
        <v>0</v>
      </c>
    </row>
    <row r="96" spans="1:26" s="24" customFormat="1" hidden="1" outlineLevel="1" x14ac:dyDescent="0.25">
      <c r="A96" s="51"/>
      <c r="B96" s="11" t="str">
        <f>CONCATENATE("          ", "5011", " - ", "PURCHASES @ COST-NO VALUE TEXT")</f>
        <v xml:space="preserve">          5011 - PURCHASES @ COST-NO VALUE TEXT</v>
      </c>
      <c r="C96" s="11"/>
      <c r="D96" s="2"/>
      <c r="E96" s="2"/>
      <c r="F96" s="22">
        <f t="shared" si="9"/>
        <v>0</v>
      </c>
      <c r="G96" s="2"/>
      <c r="H96" s="2"/>
      <c r="I96" s="2"/>
      <c r="J96" s="22">
        <f t="shared" si="10"/>
        <v>0</v>
      </c>
      <c r="K96" s="2"/>
      <c r="L96" s="2">
        <f t="shared" si="11"/>
        <v>0</v>
      </c>
      <c r="M96" s="2"/>
      <c r="N96" s="22">
        <f t="shared" si="12"/>
        <v>0</v>
      </c>
      <c r="O96" s="11"/>
      <c r="P96" s="2">
        <v>67.17</v>
      </c>
      <c r="Q96" s="2"/>
      <c r="R96" s="22">
        <f t="shared" si="13"/>
        <v>1.6902538993870585E-5</v>
      </c>
      <c r="S96" s="2"/>
      <c r="T96" s="2"/>
      <c r="U96" s="2"/>
      <c r="V96" s="22">
        <f t="shared" si="14"/>
        <v>0</v>
      </c>
      <c r="W96" s="2"/>
      <c r="X96" s="2">
        <f t="shared" si="15"/>
        <v>67.17</v>
      </c>
      <c r="Y96" s="2"/>
      <c r="Z96" s="22">
        <f t="shared" si="16"/>
        <v>0</v>
      </c>
    </row>
    <row r="97" spans="1:26" s="24" customFormat="1" hidden="1" outlineLevel="1" x14ac:dyDescent="0.25">
      <c r="A97" s="51"/>
      <c r="B97" s="11" t="str">
        <f>CONCATENATE("          ", "5013", " - ", "PURCHASES @ COST-TRADE BOOKS")</f>
        <v xml:space="preserve">          5013 - PURCHASES @ COST-TRADE BOOKS</v>
      </c>
      <c r="C97" s="11"/>
      <c r="D97" s="2">
        <v>31.11</v>
      </c>
      <c r="E97" s="2"/>
      <c r="F97" s="22">
        <f t="shared" si="9"/>
        <v>9.9369681278534811E-5</v>
      </c>
      <c r="G97" s="2"/>
      <c r="H97" s="2"/>
      <c r="I97" s="2"/>
      <c r="J97" s="22">
        <f t="shared" si="10"/>
        <v>0</v>
      </c>
      <c r="K97" s="2"/>
      <c r="L97" s="2">
        <f t="shared" si="11"/>
        <v>31.11</v>
      </c>
      <c r="M97" s="2"/>
      <c r="N97" s="22">
        <f t="shared" si="12"/>
        <v>0</v>
      </c>
      <c r="O97" s="11"/>
      <c r="P97" s="2">
        <v>2125.85</v>
      </c>
      <c r="Q97" s="2"/>
      <c r="R97" s="22">
        <f t="shared" si="13"/>
        <v>5.3494510227958584E-4</v>
      </c>
      <c r="S97" s="2"/>
      <c r="T97" s="2"/>
      <c r="U97" s="2"/>
      <c r="V97" s="22">
        <f t="shared" si="14"/>
        <v>0</v>
      </c>
      <c r="W97" s="2"/>
      <c r="X97" s="2">
        <f t="shared" si="15"/>
        <v>2125.85</v>
      </c>
      <c r="Y97" s="2"/>
      <c r="Z97" s="22">
        <f t="shared" si="16"/>
        <v>0</v>
      </c>
    </row>
    <row r="98" spans="1:26" s="24" customFormat="1" hidden="1" outlineLevel="1" x14ac:dyDescent="0.25">
      <c r="A98" s="51"/>
      <c r="B98" s="11" t="str">
        <f>CONCATENATE("          ", "5014", " - ", "PURCHASES @ COST-REMAINDERS")</f>
        <v xml:space="preserve">          5014 - PURCHASES @ COST-REMAINDERS</v>
      </c>
      <c r="C98" s="11"/>
      <c r="D98" s="2"/>
      <c r="E98" s="2"/>
      <c r="F98" s="22">
        <f t="shared" si="9"/>
        <v>0</v>
      </c>
      <c r="G98" s="2"/>
      <c r="H98" s="2"/>
      <c r="I98" s="2"/>
      <c r="J98" s="22">
        <f t="shared" si="10"/>
        <v>0</v>
      </c>
      <c r="K98" s="2"/>
      <c r="L98" s="2">
        <f t="shared" si="11"/>
        <v>0</v>
      </c>
      <c r="M98" s="2"/>
      <c r="N98" s="22">
        <f t="shared" si="12"/>
        <v>0</v>
      </c>
      <c r="O98" s="11"/>
      <c r="P98" s="2">
        <v>90.41</v>
      </c>
      <c r="Q98" s="2"/>
      <c r="R98" s="22">
        <f t="shared" si="13"/>
        <v>2.275061114241238E-5</v>
      </c>
      <c r="S98" s="2"/>
      <c r="T98" s="2"/>
      <c r="U98" s="2"/>
      <c r="V98" s="22">
        <f t="shared" si="14"/>
        <v>0</v>
      </c>
      <c r="W98" s="2"/>
      <c r="X98" s="2">
        <f t="shared" si="15"/>
        <v>90.41</v>
      </c>
      <c r="Y98" s="2"/>
      <c r="Z98" s="22">
        <f t="shared" si="16"/>
        <v>0</v>
      </c>
    </row>
    <row r="99" spans="1:26" s="24" customFormat="1" hidden="1" outlineLevel="1" x14ac:dyDescent="0.25">
      <c r="A99" s="51"/>
      <c r="B99" s="11" t="str">
        <f>CONCATENATE("          ", "5018", " - ", "PURCHASES @ COST-STUDY GUIDES")</f>
        <v xml:space="preserve">          5018 - PURCHASES @ COST-STUDY GUIDES</v>
      </c>
      <c r="C99" s="11"/>
      <c r="D99" s="2"/>
      <c r="E99" s="2"/>
      <c r="F99" s="22">
        <f t="shared" si="9"/>
        <v>0</v>
      </c>
      <c r="G99" s="2"/>
      <c r="H99" s="2"/>
      <c r="I99" s="2"/>
      <c r="J99" s="22">
        <f t="shared" si="10"/>
        <v>0</v>
      </c>
      <c r="K99" s="2"/>
      <c r="L99" s="2">
        <f t="shared" si="11"/>
        <v>0</v>
      </c>
      <c r="M99" s="2"/>
      <c r="N99" s="22">
        <f t="shared" si="12"/>
        <v>0</v>
      </c>
      <c r="O99" s="11"/>
      <c r="P99" s="2">
        <v>106.34</v>
      </c>
      <c r="Q99" s="2"/>
      <c r="R99" s="22">
        <f t="shared" si="13"/>
        <v>2.675920792925708E-5</v>
      </c>
      <c r="S99" s="2"/>
      <c r="T99" s="2"/>
      <c r="U99" s="2"/>
      <c r="V99" s="22">
        <f t="shared" si="14"/>
        <v>0</v>
      </c>
      <c r="W99" s="2"/>
      <c r="X99" s="2">
        <f t="shared" si="15"/>
        <v>106.34</v>
      </c>
      <c r="Y99" s="2"/>
      <c r="Z99" s="22">
        <f t="shared" si="16"/>
        <v>0</v>
      </c>
    </row>
    <row r="100" spans="1:26" s="24" customFormat="1" hidden="1" outlineLevel="1" x14ac:dyDescent="0.25">
      <c r="A100" s="51"/>
      <c r="B100" s="11" t="str">
        <f>CONCATENATE("          ", "5025", " - ", "PURCHASES @ COST-TEST FORMS")</f>
        <v xml:space="preserve">          5025 - PURCHASES @ COST-TEST FORMS</v>
      </c>
      <c r="C100" s="11"/>
      <c r="D100" s="2"/>
      <c r="E100" s="2"/>
      <c r="F100" s="22">
        <f t="shared" si="9"/>
        <v>0</v>
      </c>
      <c r="G100" s="2"/>
      <c r="H100" s="2"/>
      <c r="I100" s="2"/>
      <c r="J100" s="22">
        <f t="shared" si="10"/>
        <v>0</v>
      </c>
      <c r="K100" s="2"/>
      <c r="L100" s="2">
        <f t="shared" si="11"/>
        <v>0</v>
      </c>
      <c r="M100" s="2"/>
      <c r="N100" s="22">
        <f t="shared" si="12"/>
        <v>0</v>
      </c>
      <c r="O100" s="11"/>
      <c r="P100" s="2">
        <v>599.29</v>
      </c>
      <c r="Q100" s="2"/>
      <c r="R100" s="22">
        <f t="shared" si="13"/>
        <v>1.5080426669103323E-4</v>
      </c>
      <c r="S100" s="2"/>
      <c r="T100" s="2"/>
      <c r="U100" s="2"/>
      <c r="V100" s="22">
        <f t="shared" si="14"/>
        <v>0</v>
      </c>
      <c r="W100" s="2"/>
      <c r="X100" s="2">
        <f t="shared" si="15"/>
        <v>599.29</v>
      </c>
      <c r="Y100" s="2"/>
      <c r="Z100" s="22">
        <f t="shared" si="16"/>
        <v>0</v>
      </c>
    </row>
    <row r="101" spans="1:26" s="24" customFormat="1" hidden="1" outlineLevel="1" x14ac:dyDescent="0.25">
      <c r="A101" s="51"/>
      <c r="B101" s="11" t="str">
        <f>CONCATENATE("          ", "5026", " - ", "PURCHASES @ COST-WRITING INSTR")</f>
        <v xml:space="preserve">          5026 - PURCHASES @ COST-WRITING INSTR</v>
      </c>
      <c r="C101" s="11"/>
      <c r="D101" s="2">
        <v>-5.1100000000000003</v>
      </c>
      <c r="E101" s="2"/>
      <c r="F101" s="22">
        <f t="shared" si="9"/>
        <v>-1.6322053080466503E-5</v>
      </c>
      <c r="G101" s="2"/>
      <c r="H101" s="2"/>
      <c r="I101" s="2"/>
      <c r="J101" s="22">
        <f t="shared" si="10"/>
        <v>0</v>
      </c>
      <c r="K101" s="2"/>
      <c r="L101" s="2">
        <f t="shared" si="11"/>
        <v>-5.1100000000000003</v>
      </c>
      <c r="M101" s="2"/>
      <c r="N101" s="22">
        <f t="shared" si="12"/>
        <v>0</v>
      </c>
      <c r="O101" s="11"/>
      <c r="P101" s="2">
        <v>374.91</v>
      </c>
      <c r="Q101" s="2"/>
      <c r="R101" s="22">
        <f t="shared" si="13"/>
        <v>9.4341683700938241E-5</v>
      </c>
      <c r="S101" s="2"/>
      <c r="T101" s="2"/>
      <c r="U101" s="2"/>
      <c r="V101" s="22">
        <f t="shared" si="14"/>
        <v>0</v>
      </c>
      <c r="W101" s="2"/>
      <c r="X101" s="2">
        <f t="shared" si="15"/>
        <v>374.91</v>
      </c>
      <c r="Y101" s="2"/>
      <c r="Z101" s="22">
        <f t="shared" si="16"/>
        <v>0</v>
      </c>
    </row>
    <row r="102" spans="1:26" s="24" customFormat="1" hidden="1" outlineLevel="1" x14ac:dyDescent="0.25">
      <c r="A102" s="51"/>
      <c r="B102" s="11" t="str">
        <f>CONCATENATE("          ", "5027", " - ", "PURCHASES @ COST-SCHOOL SUPPLI")</f>
        <v xml:space="preserve">          5027 - PURCHASES @ COST-SCHOOL SUPPLI</v>
      </c>
      <c r="C102" s="11"/>
      <c r="D102" s="2"/>
      <c r="E102" s="2"/>
      <c r="F102" s="22">
        <f t="shared" si="9"/>
        <v>0</v>
      </c>
      <c r="G102" s="2"/>
      <c r="H102" s="2"/>
      <c r="I102" s="2"/>
      <c r="J102" s="22">
        <f t="shared" si="10"/>
        <v>0</v>
      </c>
      <c r="K102" s="2"/>
      <c r="L102" s="2">
        <f t="shared" si="11"/>
        <v>0</v>
      </c>
      <c r="M102" s="2"/>
      <c r="N102" s="22">
        <f t="shared" si="12"/>
        <v>0</v>
      </c>
      <c r="O102" s="11"/>
      <c r="P102" s="2">
        <v>19071.350000000002</v>
      </c>
      <c r="Q102" s="2"/>
      <c r="R102" s="22">
        <f t="shared" si="13"/>
        <v>4.7990804978525203E-3</v>
      </c>
      <c r="S102" s="2"/>
      <c r="T102" s="2"/>
      <c r="U102" s="2"/>
      <c r="V102" s="22">
        <f t="shared" si="14"/>
        <v>0</v>
      </c>
      <c r="W102" s="2"/>
      <c r="X102" s="2">
        <f t="shared" si="15"/>
        <v>19071.350000000002</v>
      </c>
      <c r="Y102" s="2"/>
      <c r="Z102" s="22">
        <f t="shared" si="16"/>
        <v>0</v>
      </c>
    </row>
    <row r="103" spans="1:26" s="24" customFormat="1" hidden="1" outlineLevel="1" x14ac:dyDescent="0.25">
      <c r="A103" s="51"/>
      <c r="B103" s="11" t="str">
        <f>CONCATENATE("          ", "5028", " - ", "PURCHASES @ COST-ART/TECH")</f>
        <v xml:space="preserve">          5028 - PURCHASES @ COST-ART/TECH</v>
      </c>
      <c r="C103" s="11"/>
      <c r="D103" s="2"/>
      <c r="E103" s="2"/>
      <c r="F103" s="22">
        <f t="shared" si="9"/>
        <v>0</v>
      </c>
      <c r="G103" s="2"/>
      <c r="H103" s="2"/>
      <c r="I103" s="2"/>
      <c r="J103" s="22">
        <f t="shared" si="10"/>
        <v>0</v>
      </c>
      <c r="K103" s="2"/>
      <c r="L103" s="2">
        <f t="shared" si="11"/>
        <v>0</v>
      </c>
      <c r="M103" s="2"/>
      <c r="N103" s="22">
        <f t="shared" si="12"/>
        <v>0</v>
      </c>
      <c r="O103" s="11"/>
      <c r="P103" s="2">
        <v>41358.449999999997</v>
      </c>
      <c r="Q103" s="2"/>
      <c r="R103" s="22">
        <f t="shared" si="13"/>
        <v>1.0407366590011119E-2</v>
      </c>
      <c r="S103" s="2"/>
      <c r="T103" s="2"/>
      <c r="U103" s="2"/>
      <c r="V103" s="22">
        <f t="shared" si="14"/>
        <v>0</v>
      </c>
      <c r="W103" s="2"/>
      <c r="X103" s="2">
        <f t="shared" si="15"/>
        <v>41358.449999999997</v>
      </c>
      <c r="Y103" s="2"/>
      <c r="Z103" s="22">
        <f t="shared" si="16"/>
        <v>0</v>
      </c>
    </row>
    <row r="104" spans="1:26" s="24" customFormat="1" hidden="1" outlineLevel="1" x14ac:dyDescent="0.25">
      <c r="A104" s="51"/>
      <c r="B104" s="11" t="str">
        <f>CONCATENATE("          ", "5031", " - ", "PURCHASES @ COST-FOOD")</f>
        <v xml:space="preserve">          5031 - PURCHASES @ COST-FOOD</v>
      </c>
      <c r="C104" s="11"/>
      <c r="D104" s="2">
        <v>-1260</v>
      </c>
      <c r="E104" s="2"/>
      <c r="F104" s="22">
        <f t="shared" si="9"/>
        <v>-4.0246158280602337E-3</v>
      </c>
      <c r="G104" s="2"/>
      <c r="H104" s="2"/>
      <c r="I104" s="2"/>
      <c r="J104" s="22">
        <f t="shared" si="10"/>
        <v>0</v>
      </c>
      <c r="K104" s="2"/>
      <c r="L104" s="2">
        <f t="shared" si="11"/>
        <v>-1260</v>
      </c>
      <c r="M104" s="2"/>
      <c r="N104" s="22">
        <f t="shared" si="12"/>
        <v>0</v>
      </c>
      <c r="O104" s="11"/>
      <c r="P104" s="2">
        <v>7275.1</v>
      </c>
      <c r="Q104" s="2"/>
      <c r="R104" s="22">
        <f t="shared" si="13"/>
        <v>1.8306931879456289E-3</v>
      </c>
      <c r="S104" s="2"/>
      <c r="T104" s="2"/>
      <c r="U104" s="2"/>
      <c r="V104" s="22">
        <f t="shared" si="14"/>
        <v>0</v>
      </c>
      <c r="W104" s="2"/>
      <c r="X104" s="2">
        <f t="shared" si="15"/>
        <v>7275.1</v>
      </c>
      <c r="Y104" s="2"/>
      <c r="Z104" s="22">
        <f t="shared" si="16"/>
        <v>0</v>
      </c>
    </row>
    <row r="105" spans="1:26" s="24" customFormat="1" hidden="1" outlineLevel="1" x14ac:dyDescent="0.25">
      <c r="A105" s="51"/>
      <c r="B105" s="11" t="str">
        <f>CONCATENATE("          ", "5040", " - ", "PURCHASES @ COST-LOGO CLOTHING")</f>
        <v xml:space="preserve">          5040 - PURCHASES @ COST-LOGO CLOTHING</v>
      </c>
      <c r="C105" s="11"/>
      <c r="D105" s="2">
        <v>38175.120000000003</v>
      </c>
      <c r="E105" s="2"/>
      <c r="F105" s="22">
        <f t="shared" si="9"/>
        <v>0.12193666046833238</v>
      </c>
      <c r="G105" s="2"/>
      <c r="H105" s="2"/>
      <c r="I105" s="2"/>
      <c r="J105" s="22">
        <f t="shared" si="10"/>
        <v>0</v>
      </c>
      <c r="K105" s="2"/>
      <c r="L105" s="2">
        <f t="shared" si="11"/>
        <v>38175.120000000003</v>
      </c>
      <c r="M105" s="2"/>
      <c r="N105" s="22">
        <f t="shared" si="12"/>
        <v>0</v>
      </c>
      <c r="O105" s="11"/>
      <c r="P105" s="2">
        <v>132470.39999999999</v>
      </c>
      <c r="Q105" s="2"/>
      <c r="R105" s="22">
        <f t="shared" si="13"/>
        <v>3.333461517840753E-2</v>
      </c>
      <c r="S105" s="2"/>
      <c r="T105" s="2"/>
      <c r="U105" s="2"/>
      <c r="V105" s="22">
        <f t="shared" si="14"/>
        <v>0</v>
      </c>
      <c r="W105" s="2"/>
      <c r="X105" s="2">
        <f t="shared" si="15"/>
        <v>132470.39999999999</v>
      </c>
      <c r="Y105" s="2"/>
      <c r="Z105" s="22">
        <f t="shared" si="16"/>
        <v>0</v>
      </c>
    </row>
    <row r="106" spans="1:26" s="24" customFormat="1" hidden="1" outlineLevel="1" x14ac:dyDescent="0.25">
      <c r="A106" s="51"/>
      <c r="B106" s="11" t="str">
        <f>CONCATENATE("          ", "5041", " - ", "PURCHASES @ COST-LOGO GIFTS")</f>
        <v xml:space="preserve">          5041 - PURCHASES @ COST-LOGO GIFTS</v>
      </c>
      <c r="C106" s="11"/>
      <c r="D106" s="2">
        <v>5559.99</v>
      </c>
      <c r="E106" s="2"/>
      <c r="F106" s="22">
        <f t="shared" si="9"/>
        <v>1.775938393480684E-2</v>
      </c>
      <c r="G106" s="2"/>
      <c r="H106" s="2"/>
      <c r="I106" s="2"/>
      <c r="J106" s="22">
        <f t="shared" si="10"/>
        <v>0</v>
      </c>
      <c r="K106" s="2"/>
      <c r="L106" s="2">
        <f t="shared" si="11"/>
        <v>5559.99</v>
      </c>
      <c r="M106" s="2"/>
      <c r="N106" s="22">
        <f t="shared" si="12"/>
        <v>0</v>
      </c>
      <c r="O106" s="11"/>
      <c r="P106" s="2">
        <v>32201.759999999998</v>
      </c>
      <c r="Q106" s="2"/>
      <c r="R106" s="22">
        <f t="shared" si="13"/>
        <v>8.1031934505175224E-3</v>
      </c>
      <c r="S106" s="2"/>
      <c r="T106" s="2"/>
      <c r="U106" s="2"/>
      <c r="V106" s="22">
        <f t="shared" si="14"/>
        <v>0</v>
      </c>
      <c r="W106" s="2"/>
      <c r="X106" s="2">
        <f t="shared" si="15"/>
        <v>32201.759999999998</v>
      </c>
      <c r="Y106" s="2"/>
      <c r="Z106" s="22">
        <f t="shared" si="16"/>
        <v>0</v>
      </c>
    </row>
    <row r="107" spans="1:26" s="24" customFormat="1" hidden="1" outlineLevel="1" x14ac:dyDescent="0.25">
      <c r="A107" s="51"/>
      <c r="B107" s="11" t="str">
        <f>CONCATENATE("          ", "5042", " - ", "PURCHASES @ COST-EVERYDAY GIFT")</f>
        <v xml:space="preserve">          5042 - PURCHASES @ COST-EVERYDAY GIFT</v>
      </c>
      <c r="C107" s="11"/>
      <c r="D107" s="2">
        <v>148.6</v>
      </c>
      <c r="E107" s="2"/>
      <c r="F107" s="22">
        <f t="shared" si="9"/>
        <v>4.7464913654742116E-4</v>
      </c>
      <c r="G107" s="2"/>
      <c r="H107" s="2"/>
      <c r="I107" s="2"/>
      <c r="J107" s="22">
        <f t="shared" si="10"/>
        <v>0</v>
      </c>
      <c r="K107" s="2"/>
      <c r="L107" s="2">
        <f t="shared" si="11"/>
        <v>148.6</v>
      </c>
      <c r="M107" s="2"/>
      <c r="N107" s="22">
        <f t="shared" si="12"/>
        <v>0</v>
      </c>
      <c r="O107" s="11"/>
      <c r="P107" s="2">
        <v>11061.28</v>
      </c>
      <c r="Q107" s="2"/>
      <c r="R107" s="22">
        <f t="shared" si="13"/>
        <v>2.7834407700181754E-3</v>
      </c>
      <c r="S107" s="2"/>
      <c r="T107" s="2"/>
      <c r="U107" s="2"/>
      <c r="V107" s="22">
        <f t="shared" si="14"/>
        <v>0</v>
      </c>
      <c r="W107" s="2"/>
      <c r="X107" s="2">
        <f t="shared" si="15"/>
        <v>11061.28</v>
      </c>
      <c r="Y107" s="2"/>
      <c r="Z107" s="22">
        <f t="shared" si="16"/>
        <v>0</v>
      </c>
    </row>
    <row r="108" spans="1:26" s="24" customFormat="1" hidden="1" outlineLevel="1" x14ac:dyDescent="0.25">
      <c r="A108" s="51"/>
      <c r="B108" s="11" t="str">
        <f>CONCATENATE("          ", "5043", " - ", "PURCHASES @ COST-CARDS")</f>
        <v xml:space="preserve">          5043 - PURCHASES @ COST-CARDS</v>
      </c>
      <c r="C108" s="11"/>
      <c r="D108" s="2">
        <v>2448</v>
      </c>
      <c r="E108" s="2"/>
      <c r="F108" s="22">
        <f t="shared" si="9"/>
        <v>7.8192536088027391E-3</v>
      </c>
      <c r="G108" s="2"/>
      <c r="H108" s="2"/>
      <c r="I108" s="2"/>
      <c r="J108" s="22">
        <f t="shared" si="10"/>
        <v>0</v>
      </c>
      <c r="K108" s="2"/>
      <c r="L108" s="2">
        <f t="shared" si="11"/>
        <v>2448</v>
      </c>
      <c r="M108" s="2"/>
      <c r="N108" s="22">
        <f t="shared" si="12"/>
        <v>0</v>
      </c>
      <c r="O108" s="11"/>
      <c r="P108" s="2">
        <v>46621.23</v>
      </c>
      <c r="Q108" s="2"/>
      <c r="R108" s="22">
        <f t="shared" si="13"/>
        <v>1.1731683162382153E-2</v>
      </c>
      <c r="S108" s="2"/>
      <c r="T108" s="2"/>
      <c r="U108" s="2"/>
      <c r="V108" s="22">
        <f t="shared" si="14"/>
        <v>0</v>
      </c>
      <c r="W108" s="2"/>
      <c r="X108" s="2">
        <f t="shared" si="15"/>
        <v>46621.23</v>
      </c>
      <c r="Y108" s="2"/>
      <c r="Z108" s="22">
        <f t="shared" si="16"/>
        <v>0</v>
      </c>
    </row>
    <row r="109" spans="1:26" s="24" customFormat="1" hidden="1" outlineLevel="1" x14ac:dyDescent="0.25">
      <c r="A109" s="51"/>
      <c r="B109" s="11" t="str">
        <f>CONCATENATE("          ", "5044", " - ", "PURCHASES @ COST-ACCESSORIES")</f>
        <v xml:space="preserve">          5044 - PURCHASES @ COST-ACCESSORIES</v>
      </c>
      <c r="C109" s="11"/>
      <c r="D109" s="2"/>
      <c r="E109" s="2"/>
      <c r="F109" s="22">
        <f t="shared" si="9"/>
        <v>0</v>
      </c>
      <c r="G109" s="2"/>
      <c r="H109" s="2"/>
      <c r="I109" s="2"/>
      <c r="J109" s="22">
        <f t="shared" si="10"/>
        <v>0</v>
      </c>
      <c r="K109" s="2"/>
      <c r="L109" s="2">
        <f t="shared" si="11"/>
        <v>0</v>
      </c>
      <c r="M109" s="2"/>
      <c r="N109" s="22">
        <f t="shared" si="12"/>
        <v>0</v>
      </c>
      <c r="O109" s="11"/>
      <c r="P109" s="2">
        <v>282.33</v>
      </c>
      <c r="Q109" s="2"/>
      <c r="R109" s="22">
        <f t="shared" si="13"/>
        <v>7.1045017628993326E-5</v>
      </c>
      <c r="S109" s="2"/>
      <c r="T109" s="2"/>
      <c r="U109" s="2"/>
      <c r="V109" s="22">
        <f t="shared" si="14"/>
        <v>0</v>
      </c>
      <c r="W109" s="2"/>
      <c r="X109" s="2">
        <f t="shared" si="15"/>
        <v>282.33</v>
      </c>
      <c r="Y109" s="2"/>
      <c r="Z109" s="22">
        <f t="shared" si="16"/>
        <v>0</v>
      </c>
    </row>
    <row r="110" spans="1:26" s="24" customFormat="1" hidden="1" outlineLevel="1" x14ac:dyDescent="0.25">
      <c r="A110" s="51"/>
      <c r="B110" s="11" t="str">
        <f>CONCATENATE("          ", "5045", " - ", "PURCHASES @ COST-SPECIAL ORDER")</f>
        <v xml:space="preserve">          5045 - PURCHASES @ COST-SPECIAL ORDER</v>
      </c>
      <c r="C110" s="11"/>
      <c r="D110" s="2">
        <v>10676.48</v>
      </c>
      <c r="E110" s="2"/>
      <c r="F110" s="22">
        <f t="shared" si="9"/>
        <v>3.4102166980927398E-2</v>
      </c>
      <c r="G110" s="2"/>
      <c r="H110" s="2"/>
      <c r="I110" s="2"/>
      <c r="J110" s="22">
        <f t="shared" si="10"/>
        <v>0</v>
      </c>
      <c r="K110" s="2"/>
      <c r="L110" s="2">
        <f t="shared" si="11"/>
        <v>10676.48</v>
      </c>
      <c r="M110" s="2"/>
      <c r="N110" s="22">
        <f t="shared" si="12"/>
        <v>0</v>
      </c>
      <c r="O110" s="11"/>
      <c r="P110" s="2">
        <v>87609</v>
      </c>
      <c r="Q110" s="2"/>
      <c r="R110" s="22">
        <f t="shared" si="13"/>
        <v>2.2045772498347598E-2</v>
      </c>
      <c r="S110" s="2"/>
      <c r="T110" s="2"/>
      <c r="U110" s="2"/>
      <c r="V110" s="22">
        <f t="shared" si="14"/>
        <v>0</v>
      </c>
      <c r="W110" s="2"/>
      <c r="X110" s="2">
        <f t="shared" si="15"/>
        <v>87609</v>
      </c>
      <c r="Y110" s="2"/>
      <c r="Z110" s="22">
        <f t="shared" si="16"/>
        <v>0</v>
      </c>
    </row>
    <row r="111" spans="1:26" s="24" customFormat="1" hidden="1" outlineLevel="1" x14ac:dyDescent="0.25">
      <c r="A111" s="51"/>
      <c r="B111" s="11" t="str">
        <f>CONCATENATE("          ", "5081", " - ", "PURCHASES @ COST-ELECTRONICS")</f>
        <v xml:space="preserve">          5081 - PURCHASES @ COST-ELECTRONICS</v>
      </c>
      <c r="C111" s="11"/>
      <c r="D111" s="2">
        <v>945.44</v>
      </c>
      <c r="E111" s="2"/>
      <c r="F111" s="22">
        <f t="shared" si="9"/>
        <v>3.0198672924454501E-3</v>
      </c>
      <c r="G111" s="2"/>
      <c r="H111" s="2"/>
      <c r="I111" s="2"/>
      <c r="J111" s="22">
        <f t="shared" si="10"/>
        <v>0</v>
      </c>
      <c r="K111" s="2"/>
      <c r="L111" s="2">
        <f t="shared" si="11"/>
        <v>945.44</v>
      </c>
      <c r="M111" s="2"/>
      <c r="N111" s="22">
        <f t="shared" si="12"/>
        <v>0</v>
      </c>
      <c r="O111" s="11"/>
      <c r="P111" s="2">
        <v>25260.510000000002</v>
      </c>
      <c r="Q111" s="2"/>
      <c r="R111" s="22">
        <f t="shared" si="13"/>
        <v>6.3565096811084992E-3</v>
      </c>
      <c r="S111" s="2"/>
      <c r="T111" s="2"/>
      <c r="U111" s="2"/>
      <c r="V111" s="22">
        <f t="shared" si="14"/>
        <v>0</v>
      </c>
      <c r="W111" s="2"/>
      <c r="X111" s="2">
        <f t="shared" si="15"/>
        <v>25260.510000000002</v>
      </c>
      <c r="Y111" s="2"/>
      <c r="Z111" s="22">
        <f t="shared" si="16"/>
        <v>0</v>
      </c>
    </row>
    <row r="112" spans="1:26" s="24" customFormat="1" hidden="1" outlineLevel="1" x14ac:dyDescent="0.25">
      <c r="A112" s="51"/>
      <c r="B112" s="11" t="str">
        <f>CONCATENATE("          ", "5082", " - ", "PURCHASES @ COST-COMPUTER HARD")</f>
        <v xml:space="preserve">          5082 - PURCHASES @ COST-COMPUTER HARD</v>
      </c>
      <c r="C112" s="11"/>
      <c r="D112" s="2">
        <v>20916.710000000003</v>
      </c>
      <c r="E112" s="2"/>
      <c r="F112" s="22">
        <f t="shared" si="9"/>
        <v>6.6810890584877602E-2</v>
      </c>
      <c r="G112" s="2"/>
      <c r="H112" s="2"/>
      <c r="I112" s="2"/>
      <c r="J112" s="22">
        <f t="shared" si="10"/>
        <v>0</v>
      </c>
      <c r="K112" s="2"/>
      <c r="L112" s="2">
        <f t="shared" si="11"/>
        <v>20916.710000000003</v>
      </c>
      <c r="M112" s="2"/>
      <c r="N112" s="22">
        <f t="shared" si="12"/>
        <v>0</v>
      </c>
      <c r="O112" s="11"/>
      <c r="P112" s="2">
        <v>980936.82000000007</v>
      </c>
      <c r="Q112" s="2"/>
      <c r="R112" s="22">
        <f t="shared" si="13"/>
        <v>0.24684119176080707</v>
      </c>
      <c r="S112" s="2"/>
      <c r="T112" s="2"/>
      <c r="U112" s="2"/>
      <c r="V112" s="22">
        <f t="shared" si="14"/>
        <v>0</v>
      </c>
      <c r="W112" s="2"/>
      <c r="X112" s="2">
        <f t="shared" si="15"/>
        <v>980936.82000000007</v>
      </c>
      <c r="Y112" s="2"/>
      <c r="Z112" s="22">
        <f t="shared" si="16"/>
        <v>0</v>
      </c>
    </row>
    <row r="113" spans="1:26" s="24" customFormat="1" hidden="1" outlineLevel="1" x14ac:dyDescent="0.25">
      <c r="A113" s="51"/>
      <c r="B113" s="11" t="str">
        <f>CONCATENATE("          ", "5083", " - ", "PURCHASES @ COST-COMPUTER EQUI")</f>
        <v xml:space="preserve">          5083 - PURCHASES @ COST-COMPUTER EQUI</v>
      </c>
      <c r="C113" s="11"/>
      <c r="D113" s="2">
        <v>5833.72</v>
      </c>
      <c r="E113" s="2"/>
      <c r="F113" s="22">
        <f t="shared" si="9"/>
        <v>1.8633715752755197E-2</v>
      </c>
      <c r="G113" s="2"/>
      <c r="H113" s="2"/>
      <c r="I113" s="2"/>
      <c r="J113" s="22">
        <f t="shared" si="10"/>
        <v>0</v>
      </c>
      <c r="K113" s="2"/>
      <c r="L113" s="2">
        <f t="shared" si="11"/>
        <v>5833.72</v>
      </c>
      <c r="M113" s="2"/>
      <c r="N113" s="22">
        <f t="shared" si="12"/>
        <v>0</v>
      </c>
      <c r="O113" s="11"/>
      <c r="P113" s="2">
        <v>81726.840000000011</v>
      </c>
      <c r="Q113" s="2"/>
      <c r="R113" s="22">
        <f t="shared" si="13"/>
        <v>2.056559624751857E-2</v>
      </c>
      <c r="S113" s="2"/>
      <c r="T113" s="2"/>
      <c r="U113" s="2"/>
      <c r="V113" s="22">
        <f t="shared" si="14"/>
        <v>0</v>
      </c>
      <c r="W113" s="2"/>
      <c r="X113" s="2">
        <f t="shared" si="15"/>
        <v>81726.840000000011</v>
      </c>
      <c r="Y113" s="2"/>
      <c r="Z113" s="22">
        <f t="shared" si="16"/>
        <v>0</v>
      </c>
    </row>
    <row r="114" spans="1:26" s="24" customFormat="1" hidden="1" outlineLevel="1" x14ac:dyDescent="0.25">
      <c r="A114" s="51"/>
      <c r="B114" s="11" t="str">
        <f>CONCATENATE("          ", "5085", " - ", "PURCHASES @ COST-SOFTWARE")</f>
        <v xml:space="preserve">          5085 - PURCHASES @ COST-SOFTWARE</v>
      </c>
      <c r="C114" s="11"/>
      <c r="D114" s="2">
        <v>496.16</v>
      </c>
      <c r="E114" s="2"/>
      <c r="F114" s="22">
        <f t="shared" si="9"/>
        <v>1.5848042771828298E-3</v>
      </c>
      <c r="G114" s="2"/>
      <c r="H114" s="2"/>
      <c r="I114" s="2"/>
      <c r="J114" s="22">
        <f t="shared" si="10"/>
        <v>0</v>
      </c>
      <c r="K114" s="2"/>
      <c r="L114" s="2">
        <f t="shared" si="11"/>
        <v>496.16</v>
      </c>
      <c r="M114" s="2"/>
      <c r="N114" s="22">
        <f t="shared" si="12"/>
        <v>0</v>
      </c>
      <c r="O114" s="11"/>
      <c r="P114" s="2">
        <v>24572.080000000002</v>
      </c>
      <c r="Q114" s="2"/>
      <c r="R114" s="22">
        <f t="shared" si="13"/>
        <v>6.1832743838098492E-3</v>
      </c>
      <c r="S114" s="2"/>
      <c r="T114" s="2"/>
      <c r="U114" s="2"/>
      <c r="V114" s="22">
        <f t="shared" si="14"/>
        <v>0</v>
      </c>
      <c r="W114" s="2"/>
      <c r="X114" s="2">
        <f t="shared" si="15"/>
        <v>24572.080000000002</v>
      </c>
      <c r="Y114" s="2"/>
      <c r="Z114" s="22">
        <f t="shared" si="16"/>
        <v>0</v>
      </c>
    </row>
    <row r="115" spans="1:26" s="24" customFormat="1" hidden="1" outlineLevel="1" x14ac:dyDescent="0.25">
      <c r="A115" s="51"/>
      <c r="B115" s="11" t="str">
        <f>CONCATENATE("          ", "5086", " - ", "PURCHASES @ COST-COMPUTER SUPP")</f>
        <v xml:space="preserve">          5086 - PURCHASES @ COST-COMPUTER SUPP</v>
      </c>
      <c r="C115" s="11"/>
      <c r="D115" s="2"/>
      <c r="E115" s="2"/>
      <c r="F115" s="22">
        <f t="shared" si="9"/>
        <v>0</v>
      </c>
      <c r="G115" s="2"/>
      <c r="H115" s="2"/>
      <c r="I115" s="2"/>
      <c r="J115" s="22">
        <f t="shared" si="10"/>
        <v>0</v>
      </c>
      <c r="K115" s="2"/>
      <c r="L115" s="2">
        <f t="shared" si="11"/>
        <v>0</v>
      </c>
      <c r="M115" s="2"/>
      <c r="N115" s="22">
        <f t="shared" si="12"/>
        <v>0</v>
      </c>
      <c r="O115" s="11"/>
      <c r="P115" s="2">
        <v>22718.609999999997</v>
      </c>
      <c r="Q115" s="2"/>
      <c r="R115" s="22">
        <f t="shared" si="13"/>
        <v>5.7168704989063292E-3</v>
      </c>
      <c r="S115" s="2"/>
      <c r="T115" s="2"/>
      <c r="U115" s="2"/>
      <c r="V115" s="22">
        <f t="shared" si="14"/>
        <v>0</v>
      </c>
      <c r="W115" s="2"/>
      <c r="X115" s="2">
        <f t="shared" si="15"/>
        <v>22718.609999999997</v>
      </c>
      <c r="Y115" s="2"/>
      <c r="Z115" s="22">
        <f t="shared" si="16"/>
        <v>0</v>
      </c>
    </row>
    <row r="116" spans="1:26" s="24" customFormat="1" hidden="1" outlineLevel="1" x14ac:dyDescent="0.25">
      <c r="A116" s="51"/>
      <c r="B116" s="11" t="str">
        <f>CONCATENATE("          ", "5200", " - ", "PURCHASES OFFSET")</f>
        <v xml:space="preserve">          5200 - PURCHASES OFFSET</v>
      </c>
      <c r="C116" s="11"/>
      <c r="D116" s="2">
        <v>-200857.41</v>
      </c>
      <c r="E116" s="2"/>
      <c r="F116" s="22">
        <f t="shared" si="9"/>
        <v>-0.64156659640411418</v>
      </c>
      <c r="G116" s="2"/>
      <c r="H116" s="2"/>
      <c r="I116" s="2"/>
      <c r="J116" s="22">
        <f t="shared" si="10"/>
        <v>0</v>
      </c>
      <c r="K116" s="2"/>
      <c r="L116" s="2">
        <f t="shared" si="11"/>
        <v>-200857.41</v>
      </c>
      <c r="M116" s="2"/>
      <c r="N116" s="22">
        <f t="shared" si="12"/>
        <v>0</v>
      </c>
      <c r="O116" s="11"/>
      <c r="P116" s="2">
        <v>-2876672.9699999997</v>
      </c>
      <c r="Q116" s="2"/>
      <c r="R116" s="22">
        <f t="shared" si="13"/>
        <v>-0.72388085526333934</v>
      </c>
      <c r="S116" s="2"/>
      <c r="T116" s="2"/>
      <c r="U116" s="2"/>
      <c r="V116" s="22">
        <f t="shared" si="14"/>
        <v>0</v>
      </c>
      <c r="W116" s="2"/>
      <c r="X116" s="2">
        <f t="shared" si="15"/>
        <v>-2876672.9699999997</v>
      </c>
      <c r="Y116" s="2"/>
      <c r="Z116" s="22">
        <f t="shared" si="16"/>
        <v>0</v>
      </c>
    </row>
    <row r="117" spans="1:26" s="24" customFormat="1" hidden="1" outlineLevel="1" x14ac:dyDescent="0.25">
      <c r="A117" s="51"/>
      <c r="B117" s="11" t="str">
        <f>CONCATENATE("          ", "5300", " - ", "COG$ OFFSET")</f>
        <v xml:space="preserve">          5300 - COG$ OFFSET</v>
      </c>
      <c r="C117" s="11"/>
      <c r="D117" s="2">
        <v>208821</v>
      </c>
      <c r="E117" s="2"/>
      <c r="F117" s="22">
        <f t="shared" si="9"/>
        <v>0.6670034141518778</v>
      </c>
      <c r="G117" s="2"/>
      <c r="H117" s="2"/>
      <c r="I117" s="2"/>
      <c r="J117" s="22">
        <f t="shared" si="10"/>
        <v>0</v>
      </c>
      <c r="K117" s="2"/>
      <c r="L117" s="2">
        <f t="shared" si="11"/>
        <v>208821</v>
      </c>
      <c r="M117" s="2"/>
      <c r="N117" s="22">
        <f t="shared" si="12"/>
        <v>0</v>
      </c>
      <c r="O117" s="11"/>
      <c r="P117" s="2">
        <v>2603154</v>
      </c>
      <c r="Q117" s="2"/>
      <c r="R117" s="22">
        <f t="shared" si="13"/>
        <v>0.65505302950796762</v>
      </c>
      <c r="S117" s="2"/>
      <c r="T117" s="2"/>
      <c r="U117" s="2"/>
      <c r="V117" s="22">
        <f t="shared" si="14"/>
        <v>0</v>
      </c>
      <c r="W117" s="2"/>
      <c r="X117" s="2">
        <f t="shared" si="15"/>
        <v>2603154</v>
      </c>
      <c r="Y117" s="2"/>
      <c r="Z117" s="22">
        <f t="shared" si="16"/>
        <v>0</v>
      </c>
    </row>
    <row r="118" spans="1:26" s="24" customFormat="1" hidden="1" outlineLevel="1" x14ac:dyDescent="0.25">
      <c r="A118" s="51"/>
      <c r="B118" s="11" t="str">
        <f>CONCATENATE("          ", "5501", " - ", "FREIGHT-IN-NEW TEXT")</f>
        <v xml:space="preserve">          5501 - FREIGHT-IN-NEW TEXT</v>
      </c>
      <c r="C118" s="11"/>
      <c r="D118" s="2">
        <v>2414.77</v>
      </c>
      <c r="E118" s="2"/>
      <c r="F118" s="22">
        <f t="shared" si="9"/>
        <v>7.7131123516865161E-3</v>
      </c>
      <c r="G118" s="2"/>
      <c r="H118" s="2"/>
      <c r="I118" s="2"/>
      <c r="J118" s="22">
        <f t="shared" si="10"/>
        <v>0</v>
      </c>
      <c r="K118" s="2"/>
      <c r="L118" s="2">
        <f t="shared" si="11"/>
        <v>2414.77</v>
      </c>
      <c r="M118" s="2"/>
      <c r="N118" s="22">
        <f t="shared" si="12"/>
        <v>0</v>
      </c>
      <c r="O118" s="11"/>
      <c r="P118" s="2">
        <v>37463.58</v>
      </c>
      <c r="Q118" s="2"/>
      <c r="R118" s="22">
        <f t="shared" si="13"/>
        <v>9.4272684502008357E-3</v>
      </c>
      <c r="S118" s="2"/>
      <c r="T118" s="2"/>
      <c r="U118" s="2"/>
      <c r="V118" s="22">
        <f t="shared" si="14"/>
        <v>0</v>
      </c>
      <c r="W118" s="2"/>
      <c r="X118" s="2">
        <f t="shared" si="15"/>
        <v>37463.58</v>
      </c>
      <c r="Y118" s="2"/>
      <c r="Z118" s="22">
        <f t="shared" si="16"/>
        <v>0</v>
      </c>
    </row>
    <row r="119" spans="1:26" s="24" customFormat="1" hidden="1" outlineLevel="1" x14ac:dyDescent="0.25">
      <c r="A119" s="51"/>
      <c r="B119" s="11" t="str">
        <f>CONCATENATE("          ", "5502", " - ", "FREIGHT-IN-USED TEXT")</f>
        <v xml:space="preserve">          5502 - FREIGHT-IN-USED TEXT</v>
      </c>
      <c r="C119" s="11"/>
      <c r="D119" s="2">
        <v>2389.48</v>
      </c>
      <c r="E119" s="2"/>
      <c r="F119" s="22">
        <f t="shared" si="9"/>
        <v>7.6323325625661641E-3</v>
      </c>
      <c r="G119" s="2"/>
      <c r="H119" s="2"/>
      <c r="I119" s="2"/>
      <c r="J119" s="22">
        <f t="shared" si="10"/>
        <v>0</v>
      </c>
      <c r="K119" s="2"/>
      <c r="L119" s="2">
        <f t="shared" si="11"/>
        <v>2389.48</v>
      </c>
      <c r="M119" s="2"/>
      <c r="N119" s="22">
        <f t="shared" si="12"/>
        <v>0</v>
      </c>
      <c r="O119" s="11"/>
      <c r="P119" s="2">
        <v>13522.57</v>
      </c>
      <c r="Q119" s="2"/>
      <c r="R119" s="22">
        <f t="shared" si="13"/>
        <v>3.4027953955984001E-3</v>
      </c>
      <c r="S119" s="2"/>
      <c r="T119" s="2"/>
      <c r="U119" s="2"/>
      <c r="V119" s="22">
        <f t="shared" si="14"/>
        <v>0</v>
      </c>
      <c r="W119" s="2"/>
      <c r="X119" s="2">
        <f t="shared" si="15"/>
        <v>13522.57</v>
      </c>
      <c r="Y119" s="2"/>
      <c r="Z119" s="22">
        <f t="shared" si="16"/>
        <v>0</v>
      </c>
    </row>
    <row r="120" spans="1:26" s="24" customFormat="1" hidden="1" outlineLevel="1" x14ac:dyDescent="0.25">
      <c r="A120" s="51"/>
      <c r="B120" s="11" t="str">
        <f>CONCATENATE("          ", "5504", " - ", "FREIGHT-IN-DIGITAL TEXT")</f>
        <v xml:space="preserve">          5504 - FREIGHT-IN-DIGITAL TEXT</v>
      </c>
      <c r="C120" s="11"/>
      <c r="D120" s="2"/>
      <c r="E120" s="2"/>
      <c r="F120" s="22">
        <f t="shared" si="9"/>
        <v>0</v>
      </c>
      <c r="G120" s="2"/>
      <c r="H120" s="2"/>
      <c r="I120" s="2"/>
      <c r="J120" s="22">
        <f t="shared" si="10"/>
        <v>0</v>
      </c>
      <c r="K120" s="2"/>
      <c r="L120" s="2">
        <f t="shared" si="11"/>
        <v>0</v>
      </c>
      <c r="M120" s="2"/>
      <c r="N120" s="22">
        <f t="shared" si="12"/>
        <v>0</v>
      </c>
      <c r="O120" s="11"/>
      <c r="P120" s="2">
        <v>21.98</v>
      </c>
      <c r="Q120" s="2"/>
      <c r="R120" s="22">
        <f t="shared" si="13"/>
        <v>5.5310079959100111E-6</v>
      </c>
      <c r="S120" s="2"/>
      <c r="T120" s="2"/>
      <c r="U120" s="2"/>
      <c r="V120" s="22">
        <f t="shared" si="14"/>
        <v>0</v>
      </c>
      <c r="W120" s="2"/>
      <c r="X120" s="2">
        <f t="shared" si="15"/>
        <v>21.98</v>
      </c>
      <c r="Y120" s="2"/>
      <c r="Z120" s="22">
        <f t="shared" si="16"/>
        <v>0</v>
      </c>
    </row>
    <row r="121" spans="1:26" s="24" customFormat="1" hidden="1" outlineLevel="1" x14ac:dyDescent="0.25">
      <c r="A121" s="51"/>
      <c r="B121" s="11" t="str">
        <f>CONCATENATE("          ", "5513", " - ", "FREIGHT-IN-TRADE BOOKS")</f>
        <v xml:space="preserve">          5513 - FREIGHT-IN-TRADE BOOKS</v>
      </c>
      <c r="C121" s="11"/>
      <c r="D121" s="2"/>
      <c r="E121" s="2"/>
      <c r="F121" s="22">
        <f t="shared" si="9"/>
        <v>0</v>
      </c>
      <c r="G121" s="2"/>
      <c r="H121" s="2"/>
      <c r="I121" s="2"/>
      <c r="J121" s="22">
        <f t="shared" si="10"/>
        <v>0</v>
      </c>
      <c r="K121" s="2"/>
      <c r="L121" s="2">
        <f t="shared" si="11"/>
        <v>0</v>
      </c>
      <c r="M121" s="2"/>
      <c r="N121" s="22">
        <f t="shared" si="12"/>
        <v>0</v>
      </c>
      <c r="O121" s="11"/>
      <c r="P121" s="2">
        <v>26.46</v>
      </c>
      <c r="Q121" s="2"/>
      <c r="R121" s="22">
        <f t="shared" si="13"/>
        <v>6.6583472052674662E-6</v>
      </c>
      <c r="S121" s="2"/>
      <c r="T121" s="2"/>
      <c r="U121" s="2"/>
      <c r="V121" s="22">
        <f t="shared" si="14"/>
        <v>0</v>
      </c>
      <c r="W121" s="2"/>
      <c r="X121" s="2">
        <f t="shared" si="15"/>
        <v>26.46</v>
      </c>
      <c r="Y121" s="2"/>
      <c r="Z121" s="22">
        <f t="shared" si="16"/>
        <v>0</v>
      </c>
    </row>
    <row r="122" spans="1:26" s="24" customFormat="1" hidden="1" outlineLevel="1" x14ac:dyDescent="0.25">
      <c r="A122" s="51"/>
      <c r="B122" s="11" t="str">
        <f>CONCATENATE("          ", "5525", " - ", "FREIGHT-IN-TEST FORMS")</f>
        <v xml:space="preserve">          5525 - FREIGHT-IN-TEST FORMS</v>
      </c>
      <c r="C122" s="11"/>
      <c r="D122" s="2"/>
      <c r="E122" s="2"/>
      <c r="F122" s="22">
        <f t="shared" si="9"/>
        <v>0</v>
      </c>
      <c r="G122" s="2"/>
      <c r="H122" s="2"/>
      <c r="I122" s="2"/>
      <c r="J122" s="22">
        <f t="shared" si="10"/>
        <v>0</v>
      </c>
      <c r="K122" s="2"/>
      <c r="L122" s="2">
        <f t="shared" si="11"/>
        <v>0</v>
      </c>
      <c r="M122" s="2"/>
      <c r="N122" s="22">
        <f t="shared" si="12"/>
        <v>0</v>
      </c>
      <c r="O122" s="11"/>
      <c r="P122" s="2">
        <v>48.14</v>
      </c>
      <c r="Q122" s="2"/>
      <c r="R122" s="22">
        <f t="shared" si="13"/>
        <v>1.2113863736265147E-5</v>
      </c>
      <c r="S122" s="2"/>
      <c r="T122" s="2"/>
      <c r="U122" s="2"/>
      <c r="V122" s="22">
        <f t="shared" si="14"/>
        <v>0</v>
      </c>
      <c r="W122" s="2"/>
      <c r="X122" s="2">
        <f t="shared" si="15"/>
        <v>48.14</v>
      </c>
      <c r="Y122" s="2"/>
      <c r="Z122" s="22">
        <f t="shared" si="16"/>
        <v>0</v>
      </c>
    </row>
    <row r="123" spans="1:26" s="24" customFormat="1" hidden="1" outlineLevel="1" x14ac:dyDescent="0.25">
      <c r="A123" s="51"/>
      <c r="B123" s="11" t="str">
        <f>CONCATENATE("          ", "5527", " - ", "FREIGHT-IN-SCHOOL SUPPLIES")</f>
        <v xml:space="preserve">          5527 - FREIGHT-IN-SCHOOL SUPPLIES</v>
      </c>
      <c r="C123" s="11"/>
      <c r="D123" s="2">
        <v>121.5</v>
      </c>
      <c r="E123" s="2"/>
      <c r="F123" s="22">
        <f t="shared" si="9"/>
        <v>3.8808795484866537E-4</v>
      </c>
      <c r="G123" s="2"/>
      <c r="H123" s="2"/>
      <c r="I123" s="2"/>
      <c r="J123" s="22">
        <f t="shared" si="10"/>
        <v>0</v>
      </c>
      <c r="K123" s="2"/>
      <c r="L123" s="2">
        <f t="shared" si="11"/>
        <v>121.5</v>
      </c>
      <c r="M123" s="2"/>
      <c r="N123" s="22">
        <f t="shared" si="12"/>
        <v>0</v>
      </c>
      <c r="O123" s="11"/>
      <c r="P123" s="2">
        <v>177.5</v>
      </c>
      <c r="Q123" s="2"/>
      <c r="R123" s="22">
        <f t="shared" si="13"/>
        <v>4.4665783406461643E-5</v>
      </c>
      <c r="S123" s="2"/>
      <c r="T123" s="2"/>
      <c r="U123" s="2"/>
      <c r="V123" s="22">
        <f t="shared" si="14"/>
        <v>0</v>
      </c>
      <c r="W123" s="2"/>
      <c r="X123" s="2">
        <f t="shared" si="15"/>
        <v>177.5</v>
      </c>
      <c r="Y123" s="2"/>
      <c r="Z123" s="22">
        <f t="shared" si="16"/>
        <v>0</v>
      </c>
    </row>
    <row r="124" spans="1:26" s="24" customFormat="1" hidden="1" outlineLevel="1" x14ac:dyDescent="0.25">
      <c r="A124" s="51"/>
      <c r="B124" s="11" t="str">
        <f>CONCATENATE("          ", "5528", " - ", "FREIGHT-IN-ART/TECH")</f>
        <v xml:space="preserve">          5528 - FREIGHT-IN-ART/TECH</v>
      </c>
      <c r="C124" s="11"/>
      <c r="D124" s="2">
        <v>4.29</v>
      </c>
      <c r="E124" s="2"/>
      <c r="F124" s="22">
        <f t="shared" si="9"/>
        <v>1.3702858652681272E-5</v>
      </c>
      <c r="G124" s="2"/>
      <c r="H124" s="2"/>
      <c r="I124" s="2"/>
      <c r="J124" s="22">
        <f t="shared" si="10"/>
        <v>0</v>
      </c>
      <c r="K124" s="2"/>
      <c r="L124" s="2">
        <f t="shared" si="11"/>
        <v>4.29</v>
      </c>
      <c r="M124" s="2"/>
      <c r="N124" s="22">
        <f t="shared" si="12"/>
        <v>0</v>
      </c>
      <c r="O124" s="11"/>
      <c r="P124" s="2">
        <v>290.20999999999998</v>
      </c>
      <c r="Q124" s="2"/>
      <c r="R124" s="22">
        <f t="shared" si="13"/>
        <v>7.3027926774023847E-5</v>
      </c>
      <c r="S124" s="2"/>
      <c r="T124" s="2"/>
      <c r="U124" s="2"/>
      <c r="V124" s="22">
        <f t="shared" si="14"/>
        <v>0</v>
      </c>
      <c r="W124" s="2"/>
      <c r="X124" s="2">
        <f t="shared" si="15"/>
        <v>290.20999999999998</v>
      </c>
      <c r="Y124" s="2"/>
      <c r="Z124" s="22">
        <f t="shared" si="16"/>
        <v>0</v>
      </c>
    </row>
    <row r="125" spans="1:26" s="24" customFormat="1" hidden="1" outlineLevel="1" x14ac:dyDescent="0.25">
      <c r="A125" s="51"/>
      <c r="B125" s="11" t="str">
        <f>CONCATENATE("          ", "5540", " - ", "FREIGHT-IN-LOGO CLOTHING")</f>
        <v xml:space="preserve">          5540 - FREIGHT-IN-LOGO CLOTHING</v>
      </c>
      <c r="C125" s="11"/>
      <c r="D125" s="2">
        <v>907.48</v>
      </c>
      <c r="E125" s="2"/>
      <c r="F125" s="22">
        <f t="shared" si="9"/>
        <v>2.8986177552762704E-3</v>
      </c>
      <c r="G125" s="2"/>
      <c r="H125" s="2"/>
      <c r="I125" s="2"/>
      <c r="J125" s="22">
        <f t="shared" si="10"/>
        <v>0</v>
      </c>
      <c r="K125" s="2"/>
      <c r="L125" s="2">
        <f t="shared" si="11"/>
        <v>907.48</v>
      </c>
      <c r="M125" s="2"/>
      <c r="N125" s="22">
        <f t="shared" si="12"/>
        <v>0</v>
      </c>
      <c r="O125" s="11"/>
      <c r="P125" s="2">
        <v>5442.96</v>
      </c>
      <c r="Q125" s="2"/>
      <c r="R125" s="22">
        <f t="shared" si="13"/>
        <v>1.3696567461973775E-3</v>
      </c>
      <c r="S125" s="2"/>
      <c r="T125" s="2"/>
      <c r="U125" s="2"/>
      <c r="V125" s="22">
        <f t="shared" si="14"/>
        <v>0</v>
      </c>
      <c r="W125" s="2"/>
      <c r="X125" s="2">
        <f t="shared" si="15"/>
        <v>5442.96</v>
      </c>
      <c r="Y125" s="2"/>
      <c r="Z125" s="22">
        <f t="shared" si="16"/>
        <v>0</v>
      </c>
    </row>
    <row r="126" spans="1:26" s="24" customFormat="1" hidden="1" outlineLevel="1" x14ac:dyDescent="0.25">
      <c r="A126" s="51"/>
      <c r="B126" s="11" t="str">
        <f>CONCATENATE("          ", "5541", " - ", "FREIGHT-IN-LOGO GIFTS")</f>
        <v xml:space="preserve">          5541 - FREIGHT-IN-LOGO GIFTS</v>
      </c>
      <c r="C126" s="11"/>
      <c r="D126" s="2">
        <v>84.07</v>
      </c>
      <c r="E126" s="2"/>
      <c r="F126" s="22">
        <f t="shared" si="9"/>
        <v>2.6853131163890779E-4</v>
      </c>
      <c r="G126" s="2"/>
      <c r="H126" s="2"/>
      <c r="I126" s="2"/>
      <c r="J126" s="22">
        <f t="shared" si="10"/>
        <v>0</v>
      </c>
      <c r="K126" s="2"/>
      <c r="L126" s="2">
        <f t="shared" si="11"/>
        <v>84.07</v>
      </c>
      <c r="M126" s="2"/>
      <c r="N126" s="22">
        <f t="shared" si="12"/>
        <v>0</v>
      </c>
      <c r="O126" s="11"/>
      <c r="P126" s="2">
        <v>1519.94</v>
      </c>
      <c r="Q126" s="2"/>
      <c r="R126" s="22">
        <f t="shared" si="13"/>
        <v>3.8247499059615388E-4</v>
      </c>
      <c r="S126" s="2"/>
      <c r="T126" s="2"/>
      <c r="U126" s="2"/>
      <c r="V126" s="22">
        <f t="shared" si="14"/>
        <v>0</v>
      </c>
      <c r="W126" s="2"/>
      <c r="X126" s="2">
        <f t="shared" si="15"/>
        <v>1519.94</v>
      </c>
      <c r="Y126" s="2"/>
      <c r="Z126" s="22">
        <f t="shared" si="16"/>
        <v>0</v>
      </c>
    </row>
    <row r="127" spans="1:26" s="24" customFormat="1" hidden="1" outlineLevel="1" x14ac:dyDescent="0.25">
      <c r="A127" s="51"/>
      <c r="B127" s="11" t="str">
        <f>CONCATENATE("          ", "5542", " - ", "FREIGHT-IN-EVERYDAY GIFTS")</f>
        <v xml:space="preserve">          5542 - FREIGHT-IN-EVERYDAY GIFTS</v>
      </c>
      <c r="C127" s="11"/>
      <c r="D127" s="2"/>
      <c r="E127" s="2"/>
      <c r="F127" s="22">
        <f t="shared" si="9"/>
        <v>0</v>
      </c>
      <c r="G127" s="2"/>
      <c r="H127" s="2"/>
      <c r="I127" s="2"/>
      <c r="J127" s="22">
        <f t="shared" si="10"/>
        <v>0</v>
      </c>
      <c r="K127" s="2"/>
      <c r="L127" s="2">
        <f t="shared" si="11"/>
        <v>0</v>
      </c>
      <c r="M127" s="2"/>
      <c r="N127" s="22">
        <f t="shared" si="12"/>
        <v>0</v>
      </c>
      <c r="O127" s="11"/>
      <c r="P127" s="2">
        <v>196.55</v>
      </c>
      <c r="Q127" s="2"/>
      <c r="R127" s="22">
        <f t="shared" si="13"/>
        <v>4.9459491428394575E-5</v>
      </c>
      <c r="S127" s="2"/>
      <c r="T127" s="2"/>
      <c r="U127" s="2"/>
      <c r="V127" s="22">
        <f t="shared" si="14"/>
        <v>0</v>
      </c>
      <c r="W127" s="2"/>
      <c r="X127" s="2">
        <f t="shared" si="15"/>
        <v>196.55</v>
      </c>
      <c r="Y127" s="2"/>
      <c r="Z127" s="22">
        <f t="shared" si="16"/>
        <v>0</v>
      </c>
    </row>
    <row r="128" spans="1:26" s="24" customFormat="1" hidden="1" outlineLevel="1" x14ac:dyDescent="0.25">
      <c r="A128" s="51"/>
      <c r="B128" s="11" t="str">
        <f>CONCATENATE("          ", "5543", " - ", "FREIGHT-IN-CARDS")</f>
        <v xml:space="preserve">          5543 - FREIGHT-IN-CARDS</v>
      </c>
      <c r="C128" s="11"/>
      <c r="D128" s="2">
        <v>605.41</v>
      </c>
      <c r="E128" s="2"/>
      <c r="F128" s="22">
        <f t="shared" si="9"/>
        <v>1.9337640225920204E-3</v>
      </c>
      <c r="G128" s="2"/>
      <c r="H128" s="2"/>
      <c r="I128" s="2"/>
      <c r="J128" s="22">
        <f t="shared" si="10"/>
        <v>0</v>
      </c>
      <c r="K128" s="2"/>
      <c r="L128" s="2">
        <f t="shared" si="11"/>
        <v>605.41</v>
      </c>
      <c r="M128" s="2"/>
      <c r="N128" s="22">
        <f t="shared" si="12"/>
        <v>0</v>
      </c>
      <c r="O128" s="11"/>
      <c r="P128" s="2">
        <v>7117.72</v>
      </c>
      <c r="Q128" s="2"/>
      <c r="R128" s="22">
        <f t="shared" si="13"/>
        <v>1.7910903654526208E-3</v>
      </c>
      <c r="S128" s="2"/>
      <c r="T128" s="2"/>
      <c r="U128" s="2"/>
      <c r="V128" s="22">
        <f t="shared" si="14"/>
        <v>0</v>
      </c>
      <c r="W128" s="2"/>
      <c r="X128" s="2">
        <f t="shared" si="15"/>
        <v>7117.72</v>
      </c>
      <c r="Y128" s="2"/>
      <c r="Z128" s="22">
        <f t="shared" si="16"/>
        <v>0</v>
      </c>
    </row>
    <row r="129" spans="1:26" s="24" customFormat="1" hidden="1" outlineLevel="1" x14ac:dyDescent="0.25">
      <c r="A129" s="51"/>
      <c r="B129" s="11" t="str">
        <f>CONCATENATE("          ", "5545", " - ", "FREIGHT-IN-SPECIAL ORDERS")</f>
        <v xml:space="preserve">          5545 - FREIGHT-IN-SPECIAL ORDERS</v>
      </c>
      <c r="C129" s="11"/>
      <c r="D129" s="2">
        <v>225.93</v>
      </c>
      <c r="E129" s="2"/>
      <c r="F129" s="22">
        <f t="shared" si="9"/>
        <v>7.216519476457528E-4</v>
      </c>
      <c r="G129" s="2"/>
      <c r="H129" s="2"/>
      <c r="I129" s="2"/>
      <c r="J129" s="22">
        <f t="shared" si="10"/>
        <v>0</v>
      </c>
      <c r="K129" s="2"/>
      <c r="L129" s="2">
        <f t="shared" si="11"/>
        <v>225.93</v>
      </c>
      <c r="M129" s="2"/>
      <c r="N129" s="22">
        <f t="shared" si="12"/>
        <v>0</v>
      </c>
      <c r="O129" s="11"/>
      <c r="P129" s="2">
        <v>1113.79</v>
      </c>
      <c r="Q129" s="2"/>
      <c r="R129" s="22">
        <f t="shared" si="13"/>
        <v>2.8027212901567838E-4</v>
      </c>
      <c r="S129" s="2"/>
      <c r="T129" s="2"/>
      <c r="U129" s="2"/>
      <c r="V129" s="22">
        <f t="shared" si="14"/>
        <v>0</v>
      </c>
      <c r="W129" s="2"/>
      <c r="X129" s="2">
        <f t="shared" si="15"/>
        <v>1113.79</v>
      </c>
      <c r="Y129" s="2"/>
      <c r="Z129" s="22">
        <f t="shared" si="16"/>
        <v>0</v>
      </c>
    </row>
    <row r="130" spans="1:26" s="24" customFormat="1" hidden="1" outlineLevel="1" x14ac:dyDescent="0.25">
      <c r="A130" s="51"/>
      <c r="B130" s="11" t="str">
        <f>CONCATENATE("          ", "5581", " - ", "FREIGHT-IN-ELECTRONICS")</f>
        <v xml:space="preserve">          5581 - FREIGHT-IN-ELECTRONICS</v>
      </c>
      <c r="C130" s="11"/>
      <c r="D130" s="2">
        <v>31</v>
      </c>
      <c r="E130" s="2"/>
      <c r="F130" s="22">
        <f t="shared" si="9"/>
        <v>9.9018325928466067E-5</v>
      </c>
      <c r="G130" s="2"/>
      <c r="H130" s="2"/>
      <c r="I130" s="2"/>
      <c r="J130" s="22">
        <f t="shared" si="10"/>
        <v>0</v>
      </c>
      <c r="K130" s="2"/>
      <c r="L130" s="2">
        <f t="shared" si="11"/>
        <v>31</v>
      </c>
      <c r="M130" s="2"/>
      <c r="N130" s="22">
        <f t="shared" si="12"/>
        <v>0</v>
      </c>
      <c r="O130" s="11"/>
      <c r="P130" s="2">
        <v>31</v>
      </c>
      <c r="Q130" s="2"/>
      <c r="R130" s="22">
        <f t="shared" si="13"/>
        <v>7.8007847076073866E-6</v>
      </c>
      <c r="S130" s="2"/>
      <c r="T130" s="2"/>
      <c r="U130" s="2"/>
      <c r="V130" s="22">
        <f t="shared" si="14"/>
        <v>0</v>
      </c>
      <c r="W130" s="2"/>
      <c r="X130" s="2">
        <f t="shared" si="15"/>
        <v>31</v>
      </c>
      <c r="Y130" s="2"/>
      <c r="Z130" s="22">
        <f t="shared" si="16"/>
        <v>0</v>
      </c>
    </row>
    <row r="131" spans="1:26" s="24" customFormat="1" hidden="1" outlineLevel="1" x14ac:dyDescent="0.25">
      <c r="A131" s="51"/>
      <c r="B131" s="11" t="str">
        <f>CONCATENATE("          ", "5582", " - ", "FREIGHT-IN-COMPUTER HARDWARE")</f>
        <v xml:space="preserve">          5582 - FREIGHT-IN-COMPUTER HARDWARE</v>
      </c>
      <c r="C131" s="11"/>
      <c r="D131" s="2"/>
      <c r="E131" s="2"/>
      <c r="F131" s="22">
        <f t="shared" si="9"/>
        <v>0</v>
      </c>
      <c r="G131" s="2"/>
      <c r="H131" s="2"/>
      <c r="I131" s="2"/>
      <c r="J131" s="22">
        <f t="shared" si="10"/>
        <v>0</v>
      </c>
      <c r="K131" s="2"/>
      <c r="L131" s="2">
        <f t="shared" si="11"/>
        <v>0</v>
      </c>
      <c r="M131" s="2"/>
      <c r="N131" s="22">
        <f t="shared" si="12"/>
        <v>0</v>
      </c>
      <c r="O131" s="11"/>
      <c r="P131" s="2">
        <v>94</v>
      </c>
      <c r="Q131" s="2"/>
      <c r="R131" s="22">
        <f t="shared" si="13"/>
        <v>2.3653992339196589E-5</v>
      </c>
      <c r="S131" s="2"/>
      <c r="T131" s="2"/>
      <c r="U131" s="2"/>
      <c r="V131" s="22">
        <f t="shared" si="14"/>
        <v>0</v>
      </c>
      <c r="W131" s="2"/>
      <c r="X131" s="2">
        <f t="shared" si="15"/>
        <v>94</v>
      </c>
      <c r="Y131" s="2"/>
      <c r="Z131" s="22">
        <f t="shared" si="16"/>
        <v>0</v>
      </c>
    </row>
    <row r="132" spans="1:26" s="24" customFormat="1" hidden="1" outlineLevel="1" x14ac:dyDescent="0.25">
      <c r="A132" s="51"/>
      <c r="B132" s="11" t="str">
        <f>CONCATENATE("          ", "5583", " - ", "FREIGHT-IN-COMPUTER EQUIPMENT")</f>
        <v xml:space="preserve">          5583 - FREIGHT-IN-COMPUTER EQUIPMENT</v>
      </c>
      <c r="C132" s="11"/>
      <c r="D132" s="2">
        <v>7.23</v>
      </c>
      <c r="E132" s="2"/>
      <c r="F132" s="22">
        <f t="shared" si="9"/>
        <v>2.3093628918155151E-5</v>
      </c>
      <c r="G132" s="2"/>
      <c r="H132" s="2"/>
      <c r="I132" s="2"/>
      <c r="J132" s="22">
        <f t="shared" si="10"/>
        <v>0</v>
      </c>
      <c r="K132" s="2"/>
      <c r="L132" s="2">
        <f t="shared" si="11"/>
        <v>7.23</v>
      </c>
      <c r="M132" s="2"/>
      <c r="N132" s="22">
        <f t="shared" si="12"/>
        <v>0</v>
      </c>
      <c r="O132" s="11"/>
      <c r="P132" s="2">
        <v>232.4</v>
      </c>
      <c r="Q132" s="2"/>
      <c r="R132" s="22">
        <f t="shared" si="13"/>
        <v>5.8480721485417955E-5</v>
      </c>
      <c r="S132" s="2"/>
      <c r="T132" s="2"/>
      <c r="U132" s="2"/>
      <c r="V132" s="22">
        <f t="shared" si="14"/>
        <v>0</v>
      </c>
      <c r="W132" s="2"/>
      <c r="X132" s="2">
        <f t="shared" si="15"/>
        <v>232.4</v>
      </c>
      <c r="Y132" s="2"/>
      <c r="Z132" s="22">
        <f t="shared" si="16"/>
        <v>0</v>
      </c>
    </row>
    <row r="133" spans="1:26" s="24" customFormat="1" hidden="1" outlineLevel="1" x14ac:dyDescent="0.25">
      <c r="A133" s="51"/>
      <c r="B133" s="11" t="str">
        <f>CONCATENATE("          ", "5586", " - ", "FREIGHT-IN-COMPUTER SUPPLIES")</f>
        <v xml:space="preserve">          5586 - FREIGHT-IN-COMPUTER SUPPLIES</v>
      </c>
      <c r="C133" s="11"/>
      <c r="D133" s="2"/>
      <c r="E133" s="2"/>
      <c r="F133" s="22">
        <f t="shared" si="9"/>
        <v>0</v>
      </c>
      <c r="G133" s="2"/>
      <c r="H133" s="2"/>
      <c r="I133" s="2"/>
      <c r="J133" s="22">
        <f t="shared" si="10"/>
        <v>0</v>
      </c>
      <c r="K133" s="2"/>
      <c r="L133" s="2">
        <f t="shared" si="11"/>
        <v>0</v>
      </c>
      <c r="M133" s="2"/>
      <c r="N133" s="22">
        <f t="shared" si="12"/>
        <v>0</v>
      </c>
      <c r="O133" s="11"/>
      <c r="P133" s="2">
        <v>24.12</v>
      </c>
      <c r="Q133" s="2"/>
      <c r="R133" s="22">
        <f t="shared" si="13"/>
        <v>6.0695137789512958E-6</v>
      </c>
      <c r="S133" s="2"/>
      <c r="T133" s="2"/>
      <c r="U133" s="2"/>
      <c r="V133" s="22">
        <f t="shared" si="14"/>
        <v>0</v>
      </c>
      <c r="W133" s="2"/>
      <c r="X133" s="2">
        <f t="shared" si="15"/>
        <v>24.12</v>
      </c>
      <c r="Y133" s="2"/>
      <c r="Z133" s="22">
        <f t="shared" si="16"/>
        <v>0</v>
      </c>
    </row>
    <row r="134" spans="1:26" x14ac:dyDescent="0.25">
      <c r="A134" s="9"/>
      <c r="B134" s="10"/>
      <c r="C134" s="10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O134" s="10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x14ac:dyDescent="0.25">
      <c r="A135" s="10"/>
      <c r="B135" s="25" t="s">
        <v>6</v>
      </c>
      <c r="C135" s="25"/>
      <c r="D135" s="21">
        <f>D12-D90</f>
        <v>105895.96000000008</v>
      </c>
      <c r="E135" s="13"/>
      <c r="F135" s="19">
        <f>IF(D$12=0,0,D135/D$12)</f>
        <v>0.33824647360605847</v>
      </c>
      <c r="G135" s="13"/>
      <c r="H135" s="21">
        <f>H12-H90</f>
        <v>208868</v>
      </c>
      <c r="I135" s="13"/>
      <c r="J135" s="19">
        <f>IF(H$12=0,0,H135/H$12)</f>
        <v>0.46733940438099925</v>
      </c>
      <c r="K135" s="16"/>
      <c r="L135" s="21">
        <f>+D135-H135</f>
        <v>-102972.03999999992</v>
      </c>
      <c r="M135" s="16"/>
      <c r="N135" s="19">
        <f>IF(H135=0,0,L135/H135)</f>
        <v>-0.49300055537468601</v>
      </c>
      <c r="O135" s="26"/>
      <c r="P135" s="21">
        <f>P12-P90</f>
        <v>1023368.9100000015</v>
      </c>
      <c r="Q135" s="13"/>
      <c r="R135" s="19">
        <f>IF(P$12=0,0,P135/P$12)</f>
        <v>0.25751872720544683</v>
      </c>
      <c r="S135" s="13"/>
      <c r="T135" s="21">
        <f>T12-T90</f>
        <v>2210531</v>
      </c>
      <c r="U135" s="13"/>
      <c r="V135" s="19">
        <f>IF(T$12=0,0,T135/T$12)</f>
        <v>0.36022497408551318</v>
      </c>
      <c r="W135" s="16"/>
      <c r="X135" s="21">
        <f>+P135-T135</f>
        <v>-1187162.0899999985</v>
      </c>
      <c r="Y135" s="16"/>
      <c r="Z135" s="19">
        <f>IF(T135=0,0,X135/T135)</f>
        <v>-0.53704837887367263</v>
      </c>
    </row>
    <row r="136" spans="1:26" x14ac:dyDescent="0.25">
      <c r="A136" s="9"/>
      <c r="B136" s="10"/>
      <c r="C136" s="9"/>
      <c r="D136" s="1"/>
      <c r="E136" s="1"/>
      <c r="F136" s="5"/>
      <c r="G136" s="1"/>
      <c r="H136" s="1"/>
      <c r="I136" s="1"/>
      <c r="J136" s="5"/>
      <c r="K136" s="1"/>
      <c r="L136" s="1"/>
      <c r="M136" s="1"/>
      <c r="N136" s="5"/>
      <c r="O136" s="36"/>
      <c r="P136" s="1"/>
      <c r="Q136" s="1"/>
      <c r="R136" s="5"/>
      <c r="S136" s="1"/>
      <c r="T136" s="1"/>
      <c r="U136" s="1"/>
      <c r="V136" s="5"/>
      <c r="W136" s="1"/>
      <c r="X136" s="1"/>
      <c r="Y136" s="1"/>
      <c r="Z136" s="5"/>
    </row>
    <row r="137" spans="1:26" s="23" customFormat="1" x14ac:dyDescent="0.25">
      <c r="A137" s="10"/>
      <c r="B137" s="26" t="s">
        <v>9</v>
      </c>
      <c r="C137" s="10"/>
      <c r="D137" s="20">
        <f>SUM(OSRRefD22x_0)</f>
        <v>262468.05000000005</v>
      </c>
      <c r="E137" s="20"/>
      <c r="F137" s="30">
        <f t="shared" ref="F137:F148" si="17">IF(D$12=0,0,D137/D$12)</f>
        <v>0.83835957808738493</v>
      </c>
      <c r="G137" s="20"/>
      <c r="H137" s="20">
        <f>SUM(OSRRefH22x_0)</f>
        <v>362320.73537796154</v>
      </c>
      <c r="I137" s="20"/>
      <c r="J137" s="30">
        <f t="shared" ref="J137:J148" si="18">IF(H$12=0,0,H137/H$12)</f>
        <v>0.81068788261687852</v>
      </c>
      <c r="K137" s="4"/>
      <c r="L137" s="20">
        <f t="shared" ref="L137:L148" si="19">+D137-H137</f>
        <v>-99852.68537796149</v>
      </c>
      <c r="M137" s="4"/>
      <c r="N137" s="30">
        <f t="shared" ref="N137:N148" si="20">IF(H137=0,0,L137/H137)</f>
        <v>-0.27559197039550698</v>
      </c>
      <c r="O137" s="10"/>
      <c r="P137" s="20">
        <f>SUM(OSRRefP22x_0)</f>
        <v>1687651.5999999987</v>
      </c>
      <c r="Q137" s="20"/>
      <c r="R137" s="30">
        <f t="shared" ref="R137:R148" si="21">IF(P$12=0,0,P137/P$12)</f>
        <v>0.4246776384854557</v>
      </c>
      <c r="S137" s="20"/>
      <c r="T137" s="20">
        <f>SUM(OSRRefT22x_0)</f>
        <v>2343406.6212652503</v>
      </c>
      <c r="U137" s="20"/>
      <c r="V137" s="30">
        <f t="shared" ref="V137:V148" si="22">IF(T$12=0,0,T137/T$12)</f>
        <v>0.38187819551822377</v>
      </c>
      <c r="W137" s="4"/>
      <c r="X137" s="20">
        <f t="shared" ref="X137:X148" si="23">+P137-T137</f>
        <v>-655755.02126525156</v>
      </c>
      <c r="Y137" s="4"/>
      <c r="Z137" s="30">
        <f t="shared" ref="Z137:Z148" si="24">IF(T137=0,0,X137/T137)</f>
        <v>-0.27982980645125805</v>
      </c>
    </row>
    <row r="138" spans="1:26" s="28" customFormat="1" outlineLevel="1" collapsed="1" x14ac:dyDescent="0.25">
      <c r="A138" s="27"/>
      <c r="B138" s="14" t="str">
        <f>CONCATENATE("     ","*Benefits                                         ")</f>
        <v xml:space="preserve">     *Benefits                                         </v>
      </c>
      <c r="C138" s="14"/>
      <c r="D138" s="1">
        <f>SUM(OSRRefD22_0x_0)</f>
        <v>46307.37000000001</v>
      </c>
      <c r="E138" s="1"/>
      <c r="F138" s="5">
        <f t="shared" si="17"/>
        <v>0.14791220179193781</v>
      </c>
      <c r="G138" s="1"/>
      <c r="H138" s="1">
        <f>SUM(OSRRefH22_0x_0)</f>
        <v>43374.782595807701</v>
      </c>
      <c r="I138" s="1"/>
      <c r="J138" s="5">
        <f t="shared" si="18"/>
        <v>9.7050505886397645E-2</v>
      </c>
      <c r="K138" s="1"/>
      <c r="L138" s="1">
        <f t="shared" si="19"/>
        <v>2932.5874041923089</v>
      </c>
      <c r="M138" s="1"/>
      <c r="N138" s="5">
        <f t="shared" si="20"/>
        <v>6.7610423123498312E-2</v>
      </c>
      <c r="O138" s="14"/>
      <c r="P138" s="1">
        <f>SUM(OSRRefP22_0x_0)</f>
        <v>285683.48</v>
      </c>
      <c r="Q138" s="1"/>
      <c r="R138" s="5">
        <f t="shared" si="21"/>
        <v>7.1888881354840659E-2</v>
      </c>
      <c r="S138" s="1"/>
      <c r="T138" s="1">
        <f>SUM(OSRRefT22_0x_0)</f>
        <v>286479.47318124992</v>
      </c>
      <c r="U138" s="1"/>
      <c r="V138" s="5">
        <f t="shared" si="22"/>
        <v>4.6684285722637331E-2</v>
      </c>
      <c r="W138" s="1"/>
      <c r="X138" s="1">
        <f t="shared" si="23"/>
        <v>-795.9931812499417</v>
      </c>
      <c r="Y138" s="1"/>
      <c r="Z138" s="5">
        <f t="shared" si="24"/>
        <v>-2.7785347843973887E-3</v>
      </c>
    </row>
    <row r="139" spans="1:26" s="24" customFormat="1" hidden="1" outlineLevel="2" x14ac:dyDescent="0.25">
      <c r="A139" s="29"/>
      <c r="B139" s="11" t="str">
        <f>CONCATENATE("          ", "6111", " - ", "F.I.C.A.")</f>
        <v xml:space="preserve">          6111 - F.I.C.A.</v>
      </c>
      <c r="C139" s="11"/>
      <c r="D139" s="7">
        <v>7760.36</v>
      </c>
      <c r="E139" s="2"/>
      <c r="F139" s="6">
        <f t="shared" si="17"/>
        <v>2.4787672767813899E-2</v>
      </c>
      <c r="G139" s="2"/>
      <c r="H139" s="7">
        <v>6768.7055634230783</v>
      </c>
      <c r="I139" s="2"/>
      <c r="J139" s="6">
        <f t="shared" si="18"/>
        <v>1.5144889721932021E-2</v>
      </c>
      <c r="K139" s="2"/>
      <c r="L139" s="7">
        <f t="shared" si="19"/>
        <v>991.6544365769214</v>
      </c>
      <c r="M139" s="2"/>
      <c r="N139" s="6">
        <f t="shared" si="20"/>
        <v>0.14650577237923476</v>
      </c>
      <c r="O139" s="11"/>
      <c r="P139" s="7">
        <v>58907.6</v>
      </c>
      <c r="Q139" s="2"/>
      <c r="R139" s="6">
        <f t="shared" si="21"/>
        <v>1.4823403394898479E-2</v>
      </c>
      <c r="S139" s="2"/>
      <c r="T139" s="7">
        <v>54772.63388175</v>
      </c>
      <c r="U139" s="2"/>
      <c r="V139" s="6">
        <f t="shared" si="22"/>
        <v>8.9256701763733206E-3</v>
      </c>
      <c r="W139" s="2"/>
      <c r="X139" s="7">
        <f t="shared" si="23"/>
        <v>4134.9661182499985</v>
      </c>
      <c r="Y139" s="2"/>
      <c r="Z139" s="6">
        <f t="shared" si="24"/>
        <v>7.5493286066488599E-2</v>
      </c>
    </row>
    <row r="140" spans="1:26" s="24" customFormat="1" hidden="1" outlineLevel="2" x14ac:dyDescent="0.25">
      <c r="A140" s="29"/>
      <c r="B140" s="11" t="str">
        <f>CONCATENATE("          ", "6112", " - ", "COMPENSATION INSURANCE")</f>
        <v xml:space="preserve">          6112 - COMPENSATION INSURANCE</v>
      </c>
      <c r="C140" s="11"/>
      <c r="D140" s="7">
        <v>3205.55</v>
      </c>
      <c r="E140" s="2"/>
      <c r="F140" s="6">
        <f t="shared" si="17"/>
        <v>1.0238974021935304E-2</v>
      </c>
      <c r="G140" s="2"/>
      <c r="H140" s="7">
        <v>2908.6726180769238</v>
      </c>
      <c r="I140" s="2"/>
      <c r="J140" s="6">
        <f t="shared" si="18"/>
        <v>6.508116747761224E-3</v>
      </c>
      <c r="K140" s="2"/>
      <c r="L140" s="7">
        <f t="shared" si="19"/>
        <v>296.87738192307643</v>
      </c>
      <c r="M140" s="2"/>
      <c r="N140" s="6">
        <f t="shared" si="20"/>
        <v>0.10206627589438294</v>
      </c>
      <c r="O140" s="11"/>
      <c r="P140" s="7">
        <v>16667.939999999999</v>
      </c>
      <c r="Q140" s="2"/>
      <c r="R140" s="6">
        <f t="shared" si="21"/>
        <v>4.194290692236047E-3</v>
      </c>
      <c r="S140" s="2"/>
      <c r="T140" s="7">
        <v>19732.581832499996</v>
      </c>
      <c r="U140" s="2"/>
      <c r="V140" s="6">
        <f t="shared" si="22"/>
        <v>3.2155933480474052E-3</v>
      </c>
      <c r="W140" s="2"/>
      <c r="X140" s="7">
        <f t="shared" si="23"/>
        <v>-3064.6418324999977</v>
      </c>
      <c r="Y140" s="2"/>
      <c r="Z140" s="6">
        <f t="shared" si="24"/>
        <v>-0.15530871015836686</v>
      </c>
    </row>
    <row r="141" spans="1:26" s="24" customFormat="1" hidden="1" outlineLevel="2" x14ac:dyDescent="0.25">
      <c r="A141" s="29"/>
      <c r="B141" s="11" t="str">
        <f>CONCATENATE("          ", "6113", " - ", "GROUP INSURANCE")</f>
        <v xml:space="preserve">          6113 - GROUP INSURANCE</v>
      </c>
      <c r="C141" s="11"/>
      <c r="D141" s="7">
        <v>16046.6</v>
      </c>
      <c r="E141" s="2"/>
      <c r="F141" s="6">
        <f t="shared" si="17"/>
        <v>5.1255079640120112E-2</v>
      </c>
      <c r="G141" s="2"/>
      <c r="H141" s="7">
        <v>18233.846153846156</v>
      </c>
      <c r="I141" s="2"/>
      <c r="J141" s="6">
        <f t="shared" si="18"/>
        <v>4.0797991081033172E-2</v>
      </c>
      <c r="K141" s="2"/>
      <c r="L141" s="7">
        <f t="shared" si="19"/>
        <v>-2187.2461538461557</v>
      </c>
      <c r="M141" s="2"/>
      <c r="N141" s="6">
        <f t="shared" si="20"/>
        <v>-0.11995528180897748</v>
      </c>
      <c r="O141" s="11"/>
      <c r="P141" s="7">
        <v>94612.479999999996</v>
      </c>
      <c r="Q141" s="2"/>
      <c r="R141" s="6">
        <f t="shared" si="21"/>
        <v>2.3808115713961599E-2</v>
      </c>
      <c r="S141" s="2"/>
      <c r="T141" s="7">
        <v>111269.99999999997</v>
      </c>
      <c r="U141" s="2"/>
      <c r="V141" s="6">
        <f t="shared" si="22"/>
        <v>1.8132400254280551E-2</v>
      </c>
      <c r="W141" s="2"/>
      <c r="X141" s="7">
        <f t="shared" si="23"/>
        <v>-16657.519999999975</v>
      </c>
      <c r="Y141" s="2"/>
      <c r="Z141" s="6">
        <f t="shared" si="24"/>
        <v>-0.14970360384649933</v>
      </c>
    </row>
    <row r="142" spans="1:26" s="24" customFormat="1" hidden="1" outlineLevel="2" x14ac:dyDescent="0.25">
      <c r="A142" s="29"/>
      <c r="B142" s="11" t="str">
        <f>CONCATENATE("          ", "6114", " - ", "STATE UNEMPLOYMENT INSURANCE")</f>
        <v xml:space="preserve">          6114 - STATE UNEMPLOYMENT INSURANCE</v>
      </c>
      <c r="C142" s="11"/>
      <c r="D142" s="7"/>
      <c r="E142" s="2"/>
      <c r="F142" s="6">
        <f t="shared" si="17"/>
        <v>0</v>
      </c>
      <c r="G142" s="2"/>
      <c r="H142" s="7">
        <v>413.07902200000001</v>
      </c>
      <c r="I142" s="2"/>
      <c r="J142" s="6">
        <f t="shared" si="18"/>
        <v>9.2425888170406996E-4</v>
      </c>
      <c r="K142" s="2"/>
      <c r="L142" s="7">
        <f t="shared" si="19"/>
        <v>-413.07902200000001</v>
      </c>
      <c r="M142" s="2"/>
      <c r="N142" s="6">
        <f t="shared" si="20"/>
        <v>-1</v>
      </c>
      <c r="O142" s="11"/>
      <c r="P142" s="7">
        <v>2064.96</v>
      </c>
      <c r="Q142" s="2"/>
      <c r="R142" s="6">
        <f t="shared" si="21"/>
        <v>5.1962285128454673E-4</v>
      </c>
      <c r="S142" s="2"/>
      <c r="T142" s="7">
        <v>2794.3527169999998</v>
      </c>
      <c r="U142" s="2"/>
      <c r="V142" s="6">
        <f t="shared" si="22"/>
        <v>4.5536372711674623E-4</v>
      </c>
      <c r="W142" s="2"/>
      <c r="X142" s="7">
        <f t="shared" si="23"/>
        <v>-729.39271699999972</v>
      </c>
      <c r="Y142" s="2"/>
      <c r="Z142" s="6">
        <f t="shared" si="24"/>
        <v>-0.26102385449145138</v>
      </c>
    </row>
    <row r="143" spans="1:26" s="24" customFormat="1" hidden="1" outlineLevel="2" x14ac:dyDescent="0.25">
      <c r="A143" s="29"/>
      <c r="B143" s="11" t="str">
        <f>CONCATENATE("          ", "6115", " - ", "P.E.R.S.")</f>
        <v xml:space="preserve">          6115 - P.E.R.S.</v>
      </c>
      <c r="C143" s="11"/>
      <c r="D143" s="7">
        <v>6633.21</v>
      </c>
      <c r="E143" s="2"/>
      <c r="F143" s="6">
        <f t="shared" si="17"/>
        <v>2.1187398378450333E-2</v>
      </c>
      <c r="G143" s="2"/>
      <c r="H143" s="7">
        <v>4889.0335153846154</v>
      </c>
      <c r="I143" s="2"/>
      <c r="J143" s="6">
        <f t="shared" si="18"/>
        <v>1.0939148223177266E-2</v>
      </c>
      <c r="K143" s="2"/>
      <c r="L143" s="7">
        <f t="shared" si="19"/>
        <v>1744.1764846153847</v>
      </c>
      <c r="M143" s="2"/>
      <c r="N143" s="6">
        <f t="shared" si="20"/>
        <v>0.35675281814429782</v>
      </c>
      <c r="O143" s="11"/>
      <c r="P143" s="7">
        <v>41164.780000000006</v>
      </c>
      <c r="Q143" s="2"/>
      <c r="R143" s="6">
        <f t="shared" si="21"/>
        <v>1.0358631816645885E-2</v>
      </c>
      <c r="S143" s="2"/>
      <c r="T143" s="7">
        <v>31778.717849999997</v>
      </c>
      <c r="U143" s="2"/>
      <c r="V143" s="6">
        <f t="shared" si="22"/>
        <v>5.1786144659301692E-3</v>
      </c>
      <c r="W143" s="2"/>
      <c r="X143" s="7">
        <f t="shared" si="23"/>
        <v>9386.0621500000088</v>
      </c>
      <c r="Y143" s="2"/>
      <c r="Z143" s="6">
        <f t="shared" si="24"/>
        <v>0.29535685468191442</v>
      </c>
    </row>
    <row r="144" spans="1:26" s="24" customFormat="1" hidden="1" outlineLevel="2" x14ac:dyDescent="0.25">
      <c r="A144" s="29"/>
      <c r="B144" s="11" t="str">
        <f>CONCATENATE("          ", "6116", " - ", "EDUCATIONAL BENEFITS")</f>
        <v xml:space="preserve">          6116 - EDUCATIONAL BENEFITS</v>
      </c>
      <c r="C144" s="11"/>
      <c r="D144" s="7"/>
      <c r="E144" s="2"/>
      <c r="F144" s="6">
        <f t="shared" si="17"/>
        <v>0</v>
      </c>
      <c r="G144" s="2"/>
      <c r="H144" s="7">
        <v>0</v>
      </c>
      <c r="I144" s="2"/>
      <c r="J144" s="6">
        <f t="shared" si="18"/>
        <v>0</v>
      </c>
      <c r="K144" s="2"/>
      <c r="L144" s="7">
        <f t="shared" si="19"/>
        <v>0</v>
      </c>
      <c r="M144" s="2"/>
      <c r="N144" s="6">
        <f t="shared" si="20"/>
        <v>0</v>
      </c>
      <c r="O144" s="11"/>
      <c r="P144" s="7">
        <v>0</v>
      </c>
      <c r="Q144" s="2"/>
      <c r="R144" s="6">
        <f t="shared" si="21"/>
        <v>0</v>
      </c>
      <c r="S144" s="2"/>
      <c r="T144" s="7">
        <v>0</v>
      </c>
      <c r="U144" s="2"/>
      <c r="V144" s="6">
        <f t="shared" si="22"/>
        <v>0</v>
      </c>
      <c r="W144" s="2"/>
      <c r="X144" s="7">
        <f t="shared" si="23"/>
        <v>0</v>
      </c>
      <c r="Y144" s="2"/>
      <c r="Z144" s="6">
        <f t="shared" si="24"/>
        <v>0</v>
      </c>
    </row>
    <row r="145" spans="1:26" s="24" customFormat="1" hidden="1" outlineLevel="2" x14ac:dyDescent="0.25">
      <c r="A145" s="29"/>
      <c r="B145" s="11" t="str">
        <f>CONCATENATE("          ", "6117", " - ", "RETIREMENT STAFF HOURLY")</f>
        <v xml:space="preserve">          6117 - RETIREMENT STAFF HOURLY</v>
      </c>
      <c r="C145" s="11"/>
      <c r="D145" s="7">
        <v>611.42999999999995</v>
      </c>
      <c r="E145" s="2"/>
      <c r="F145" s="6">
        <f t="shared" si="17"/>
        <v>1.9529927426594194E-3</v>
      </c>
      <c r="G145" s="2"/>
      <c r="H145" s="7"/>
      <c r="I145" s="2"/>
      <c r="J145" s="6">
        <f t="shared" si="18"/>
        <v>0</v>
      </c>
      <c r="K145" s="2"/>
      <c r="L145" s="7">
        <f t="shared" si="19"/>
        <v>611.42999999999995</v>
      </c>
      <c r="M145" s="2"/>
      <c r="N145" s="6">
        <f t="shared" si="20"/>
        <v>0</v>
      </c>
      <c r="O145" s="11"/>
      <c r="P145" s="7">
        <v>2839.16</v>
      </c>
      <c r="Q145" s="2"/>
      <c r="R145" s="6">
        <f t="shared" si="21"/>
        <v>7.1444115840163178E-4</v>
      </c>
      <c r="S145" s="2"/>
      <c r="T145" s="7"/>
      <c r="U145" s="2"/>
      <c r="V145" s="6">
        <f t="shared" si="22"/>
        <v>0</v>
      </c>
      <c r="W145" s="2"/>
      <c r="X145" s="7">
        <f t="shared" si="23"/>
        <v>2839.16</v>
      </c>
      <c r="Y145" s="2"/>
      <c r="Z145" s="6">
        <f t="shared" si="24"/>
        <v>0</v>
      </c>
    </row>
    <row r="146" spans="1:26" s="24" customFormat="1" hidden="1" outlineLevel="2" x14ac:dyDescent="0.25">
      <c r="A146" s="29"/>
      <c r="B146" s="11" t="str">
        <f>CONCATENATE("          ", "6118", " - ", "VACATION")</f>
        <v xml:space="preserve">          6118 - VACATION</v>
      </c>
      <c r="C146" s="11"/>
      <c r="D146" s="7">
        <v>6117.98</v>
      </c>
      <c r="E146" s="2"/>
      <c r="F146" s="6">
        <f t="shared" si="17"/>
        <v>1.9541681860123766E-2</v>
      </c>
      <c r="G146" s="2"/>
      <c r="H146" s="7">
        <v>4140.4924200000014</v>
      </c>
      <c r="I146" s="2"/>
      <c r="J146" s="6">
        <f t="shared" si="18"/>
        <v>9.2642973620030017E-3</v>
      </c>
      <c r="K146" s="2"/>
      <c r="L146" s="7">
        <f t="shared" si="19"/>
        <v>1977.4875799999982</v>
      </c>
      <c r="M146" s="2"/>
      <c r="N146" s="6">
        <f t="shared" si="20"/>
        <v>0.47759719845109572</v>
      </c>
      <c r="O146" s="11"/>
      <c r="P146" s="7">
        <v>33975.79</v>
      </c>
      <c r="Q146" s="2"/>
      <c r="R146" s="6">
        <f t="shared" si="21"/>
        <v>8.5496071955122564E-3</v>
      </c>
      <c r="S146" s="2"/>
      <c r="T146" s="7">
        <v>26913.200729999997</v>
      </c>
      <c r="U146" s="2"/>
      <c r="V146" s="6">
        <f t="shared" si="22"/>
        <v>4.3857367462941995E-3</v>
      </c>
      <c r="W146" s="2"/>
      <c r="X146" s="7">
        <f t="shared" si="23"/>
        <v>7062.589270000004</v>
      </c>
      <c r="Y146" s="2"/>
      <c r="Z146" s="6">
        <f t="shared" si="24"/>
        <v>0.26242100822022907</v>
      </c>
    </row>
    <row r="147" spans="1:26" s="24" customFormat="1" hidden="1" outlineLevel="2" x14ac:dyDescent="0.25">
      <c r="A147" s="29"/>
      <c r="B147" s="11" t="str">
        <f>CONCATENATE("          ", "6119", " - ", "SICK LEAVE")</f>
        <v xml:space="preserve">          6119 - SICK LEAVE</v>
      </c>
      <c r="C147" s="11"/>
      <c r="D147" s="7">
        <v>4299.62</v>
      </c>
      <c r="E147" s="2"/>
      <c r="F147" s="6">
        <f t="shared" si="17"/>
        <v>1.3733586275114557E-2</v>
      </c>
      <c r="G147" s="2"/>
      <c r="H147" s="7">
        <v>4220.9533030769198</v>
      </c>
      <c r="I147" s="2"/>
      <c r="J147" s="6">
        <f t="shared" si="18"/>
        <v>9.4443275302103676E-3</v>
      </c>
      <c r="K147" s="2"/>
      <c r="L147" s="7">
        <f t="shared" si="19"/>
        <v>78.666696923080053</v>
      </c>
      <c r="M147" s="2"/>
      <c r="N147" s="6">
        <f t="shared" si="20"/>
        <v>1.863718721212455E-2</v>
      </c>
      <c r="O147" s="11"/>
      <c r="P147" s="7">
        <v>25065.4</v>
      </c>
      <c r="Q147" s="2"/>
      <c r="R147" s="6">
        <f t="shared" si="21"/>
        <v>6.3074125487116838E-3</v>
      </c>
      <c r="S147" s="2"/>
      <c r="T147" s="7">
        <v>28417.986169999982</v>
      </c>
      <c r="U147" s="2"/>
      <c r="V147" s="6">
        <f t="shared" si="22"/>
        <v>4.6309544320575985E-3</v>
      </c>
      <c r="W147" s="2"/>
      <c r="X147" s="7">
        <f t="shared" si="23"/>
        <v>-3352.5861699999805</v>
      </c>
      <c r="Y147" s="2"/>
      <c r="Z147" s="6">
        <f t="shared" si="24"/>
        <v>-0.11797409393981638</v>
      </c>
    </row>
    <row r="148" spans="1:26" s="24" customFormat="1" hidden="1" outlineLevel="2" x14ac:dyDescent="0.25">
      <c r="A148" s="29"/>
      <c r="B148" s="11" t="str">
        <f>CONCATENATE("          ", "6156", " - ", "EMPLOYEE MEALS")</f>
        <v xml:space="preserve">          6156 - EMPLOYEE MEALS</v>
      </c>
      <c r="C148" s="11"/>
      <c r="D148" s="7">
        <v>1632.62</v>
      </c>
      <c r="E148" s="2"/>
      <c r="F148" s="6">
        <f t="shared" si="17"/>
        <v>5.2148161057203948E-3</v>
      </c>
      <c r="G148" s="2"/>
      <c r="H148" s="7">
        <v>1800</v>
      </c>
      <c r="I148" s="2"/>
      <c r="J148" s="6">
        <f t="shared" si="18"/>
        <v>4.0274763385765109E-3</v>
      </c>
      <c r="K148" s="2"/>
      <c r="L148" s="7">
        <f t="shared" si="19"/>
        <v>-167.38000000000011</v>
      </c>
      <c r="M148" s="2"/>
      <c r="N148" s="6">
        <f t="shared" si="20"/>
        <v>-9.2988888888888954E-2</v>
      </c>
      <c r="O148" s="11"/>
      <c r="P148" s="7">
        <v>10385.370000000001</v>
      </c>
      <c r="Q148" s="2"/>
      <c r="R148" s="6">
        <f t="shared" si="21"/>
        <v>2.6133559831885331E-3</v>
      </c>
      <c r="S148" s="2"/>
      <c r="T148" s="7">
        <v>10800</v>
      </c>
      <c r="U148" s="2"/>
      <c r="V148" s="6">
        <f t="shared" si="22"/>
        <v>1.7599525725373415E-3</v>
      </c>
      <c r="W148" s="2"/>
      <c r="X148" s="7">
        <f t="shared" si="23"/>
        <v>-414.6299999999992</v>
      </c>
      <c r="Y148" s="2"/>
      <c r="Z148" s="6">
        <f t="shared" si="24"/>
        <v>-3.8391666666666595E-2</v>
      </c>
    </row>
    <row r="149" spans="1:26" s="28" customFormat="1" outlineLevel="1" collapsed="1" x14ac:dyDescent="0.25">
      <c r="A149" s="27"/>
      <c r="B149" s="14" t="str">
        <f>CONCATENATE("     ","*Payroll                                          ")</f>
        <v xml:space="preserve">     *Payroll                                          </v>
      </c>
      <c r="C149" s="14"/>
      <c r="D149" s="1">
        <f>SUM(OSRRefD22_1x_0)</f>
        <v>127761.00000000003</v>
      </c>
      <c r="E149" s="1"/>
      <c r="F149" s="5">
        <f t="shared" ref="F149:F159" si="25">IF(D$12=0,0,D149/D$12)</f>
        <v>0.40808646254666953</v>
      </c>
      <c r="G149" s="1"/>
      <c r="H149" s="1">
        <f>SUM(OSRRefH22_1x_0)</f>
        <v>146879.95278215385</v>
      </c>
      <c r="I149" s="1"/>
      <c r="J149" s="5">
        <f t="shared" ref="J149:J159" si="26">IF(H$12=0,0,H149/H$12)</f>
        <v>0.3286419635785332</v>
      </c>
      <c r="K149" s="1"/>
      <c r="L149" s="1">
        <f t="shared" ref="L149:L159" si="27">+D149-H149</f>
        <v>-19118.952782153821</v>
      </c>
      <c r="M149" s="1"/>
      <c r="N149" s="5">
        <f t="shared" ref="N149:N159" si="28">IF(H149=0,0,L149/H149)</f>
        <v>-0.13016720403301221</v>
      </c>
      <c r="O149" s="14"/>
      <c r="P149" s="1">
        <f>SUM(OSRRefP22_1x_0)</f>
        <v>777650.6399999999</v>
      </c>
      <c r="Q149" s="1"/>
      <c r="R149" s="5">
        <f t="shared" ref="R149:R159" si="29">IF(P$12=0,0,P149/P$12)</f>
        <v>0.19568662001203535</v>
      </c>
      <c r="S149" s="1"/>
      <c r="T149" s="1">
        <f>SUM(OSRRefT22_1x_0)</f>
        <v>999049.1480840001</v>
      </c>
      <c r="U149" s="1"/>
      <c r="V149" s="5">
        <f t="shared" ref="V149:V159" si="30">IF(T$12=0,0,T149/T$12)</f>
        <v>0.16280362206126625</v>
      </c>
      <c r="W149" s="1"/>
      <c r="X149" s="1">
        <f t="shared" ref="X149:X159" si="31">+P149-T149</f>
        <v>-221398.5080840002</v>
      </c>
      <c r="Y149" s="1"/>
      <c r="Z149" s="5">
        <f t="shared" ref="Z149:Z159" si="32">IF(T149=0,0,X149/T149)</f>
        <v>-0.22160922564080401</v>
      </c>
    </row>
    <row r="150" spans="1:26" s="24" customFormat="1" hidden="1" outlineLevel="2" x14ac:dyDescent="0.25">
      <c r="A150" s="29"/>
      <c r="B150" s="11" t="str">
        <f>CONCATENATE("          ", "6001", " - ", "ADMINISTRATIVE SALARIES")</f>
        <v xml:space="preserve">          6001 - ADMINISTRATIVE SALARIES</v>
      </c>
      <c r="C150" s="11"/>
      <c r="D150" s="7">
        <v>3745.16</v>
      </c>
      <c r="E150" s="2"/>
      <c r="F150" s="6">
        <f t="shared" si="25"/>
        <v>1.1962563662395289E-2</v>
      </c>
      <c r="G150" s="2"/>
      <c r="H150" s="7">
        <v>7759.6923076923094</v>
      </c>
      <c r="I150" s="2"/>
      <c r="J150" s="6">
        <f t="shared" si="26"/>
        <v>1.7362209535480521E-2</v>
      </c>
      <c r="K150" s="2"/>
      <c r="L150" s="7">
        <f t="shared" si="27"/>
        <v>-4014.5323076923096</v>
      </c>
      <c r="M150" s="2"/>
      <c r="N150" s="6">
        <f t="shared" si="28"/>
        <v>-0.51735715135413785</v>
      </c>
      <c r="O150" s="11"/>
      <c r="P150" s="7">
        <v>24883.11</v>
      </c>
      <c r="Q150" s="2"/>
      <c r="R150" s="6">
        <f t="shared" si="29"/>
        <v>6.2615414182487878E-3</v>
      </c>
      <c r="S150" s="2"/>
      <c r="T150" s="7">
        <v>50438.000000000022</v>
      </c>
      <c r="U150" s="2"/>
      <c r="V150" s="6">
        <f t="shared" si="30"/>
        <v>8.2193044308924504E-3</v>
      </c>
      <c r="W150" s="2"/>
      <c r="X150" s="7">
        <f t="shared" si="31"/>
        <v>-25554.890000000021</v>
      </c>
      <c r="Y150" s="2"/>
      <c r="Z150" s="6">
        <f t="shared" si="32"/>
        <v>-0.50665946310321608</v>
      </c>
    </row>
    <row r="151" spans="1:26" s="24" customFormat="1" hidden="1" outlineLevel="2" x14ac:dyDescent="0.25">
      <c r="A151" s="29"/>
      <c r="B151" s="11" t="str">
        <f>CONCATENATE("          ", "6002", " - ", "STAFF SALARIES")</f>
        <v xml:space="preserve">          6002 - STAFF SALARIES</v>
      </c>
      <c r="C151" s="11"/>
      <c r="D151" s="7">
        <v>62494.210000000006</v>
      </c>
      <c r="E151" s="2"/>
      <c r="F151" s="6">
        <f t="shared" si="25"/>
        <v>0.19961522756200012</v>
      </c>
      <c r="G151" s="2"/>
      <c r="H151" s="7">
        <v>43375.460394461545</v>
      </c>
      <c r="I151" s="2"/>
      <c r="J151" s="6">
        <f t="shared" si="26"/>
        <v>9.7052022451975806E-2</v>
      </c>
      <c r="K151" s="2"/>
      <c r="L151" s="7">
        <f t="shared" si="27"/>
        <v>19118.749605538462</v>
      </c>
      <c r="M151" s="2"/>
      <c r="N151" s="6">
        <f t="shared" si="28"/>
        <v>0.44077341039542406</v>
      </c>
      <c r="O151" s="11"/>
      <c r="P151" s="7">
        <v>348749.54000000004</v>
      </c>
      <c r="Q151" s="2"/>
      <c r="R151" s="6">
        <f t="shared" si="29"/>
        <v>8.775871220700357E-2</v>
      </c>
      <c r="S151" s="2"/>
      <c r="T151" s="7">
        <v>281940.49256400019</v>
      </c>
      <c r="U151" s="2"/>
      <c r="V151" s="6">
        <f t="shared" si="30"/>
        <v>4.5944619925042347E-2</v>
      </c>
      <c r="W151" s="2"/>
      <c r="X151" s="7">
        <f t="shared" si="31"/>
        <v>66809.047435999848</v>
      </c>
      <c r="Y151" s="2"/>
      <c r="Z151" s="6">
        <f t="shared" si="32"/>
        <v>0.23696151917885391</v>
      </c>
    </row>
    <row r="152" spans="1:26" s="24" customFormat="1" hidden="1" outlineLevel="2" x14ac:dyDescent="0.25">
      <c r="A152" s="29"/>
      <c r="B152" s="11" t="str">
        <f>CONCATENATE("          ", "6003", " - ", "STAFF HOURLY-9 MONTH")</f>
        <v xml:space="preserve">          6003 - STAFF HOURLY-9 MONTH</v>
      </c>
      <c r="C152" s="11"/>
      <c r="D152" s="7"/>
      <c r="E152" s="2"/>
      <c r="F152" s="6">
        <f t="shared" si="25"/>
        <v>0</v>
      </c>
      <c r="G152" s="2"/>
      <c r="H152" s="7">
        <v>0</v>
      </c>
      <c r="I152" s="2"/>
      <c r="J152" s="6">
        <f t="shared" si="26"/>
        <v>0</v>
      </c>
      <c r="K152" s="2"/>
      <c r="L152" s="7">
        <f t="shared" si="27"/>
        <v>0</v>
      </c>
      <c r="M152" s="2"/>
      <c r="N152" s="6">
        <f t="shared" si="28"/>
        <v>0</v>
      </c>
      <c r="O152" s="11"/>
      <c r="P152" s="7"/>
      <c r="Q152" s="2"/>
      <c r="R152" s="6">
        <f t="shared" si="29"/>
        <v>0</v>
      </c>
      <c r="S152" s="2"/>
      <c r="T152" s="7">
        <v>0</v>
      </c>
      <c r="U152" s="2"/>
      <c r="V152" s="6">
        <f t="shared" si="30"/>
        <v>0</v>
      </c>
      <c r="W152" s="2"/>
      <c r="X152" s="7">
        <f t="shared" si="31"/>
        <v>0</v>
      </c>
      <c r="Y152" s="2"/>
      <c r="Z152" s="6">
        <f t="shared" si="32"/>
        <v>0</v>
      </c>
    </row>
    <row r="153" spans="1:26" s="24" customFormat="1" hidden="1" outlineLevel="2" x14ac:dyDescent="0.25">
      <c r="A153" s="29"/>
      <c r="B153" s="11" t="str">
        <f>CONCATENATE("          ", "6004", " - ", "STAFF HOURLY")</f>
        <v xml:space="preserve">          6004 - STAFF HOURLY</v>
      </c>
      <c r="C153" s="11"/>
      <c r="D153" s="7">
        <v>19040.769999999997</v>
      </c>
      <c r="E153" s="2"/>
      <c r="F153" s="6">
        <f t="shared" si="25"/>
        <v>6.081887644480511E-2</v>
      </c>
      <c r="G153" s="2"/>
      <c r="H153" s="7">
        <v>27799.370080000001</v>
      </c>
      <c r="I153" s="2"/>
      <c r="J153" s="6">
        <f t="shared" si="26"/>
        <v>6.220072512473989E-2</v>
      </c>
      <c r="K153" s="2"/>
      <c r="L153" s="7">
        <f t="shared" si="27"/>
        <v>-8758.6000800000038</v>
      </c>
      <c r="M153" s="2"/>
      <c r="N153" s="6">
        <f t="shared" si="28"/>
        <v>-0.31506469588320984</v>
      </c>
      <c r="O153" s="11"/>
      <c r="P153" s="7">
        <v>112373.06999999999</v>
      </c>
      <c r="Q153" s="2"/>
      <c r="R153" s="6">
        <f t="shared" si="29"/>
        <v>2.8277358903319168E-2</v>
      </c>
      <c r="S153" s="2"/>
      <c r="T153" s="7">
        <v>180091.55551999999</v>
      </c>
      <c r="U153" s="2"/>
      <c r="V153" s="6">
        <f t="shared" si="30"/>
        <v>2.9347462632377357E-2</v>
      </c>
      <c r="W153" s="2"/>
      <c r="X153" s="7">
        <f t="shared" si="31"/>
        <v>-67718.485520000002</v>
      </c>
      <c r="Y153" s="2"/>
      <c r="Z153" s="6">
        <f t="shared" si="32"/>
        <v>-0.37602254766731441</v>
      </c>
    </row>
    <row r="154" spans="1:26" s="24" customFormat="1" hidden="1" outlineLevel="2" x14ac:dyDescent="0.25">
      <c r="A154" s="29"/>
      <c r="B154" s="11" t="str">
        <f>CONCATENATE("          ", "6005", " - ", "TEMPORARY WAGES-HOURLY")</f>
        <v xml:space="preserve">          6005 - TEMPORARY WAGES-HOURLY</v>
      </c>
      <c r="C154" s="11"/>
      <c r="D154" s="7">
        <v>9577.32</v>
      </c>
      <c r="E154" s="2"/>
      <c r="F154" s="6">
        <f t="shared" si="25"/>
        <v>3.0591296557458597E-2</v>
      </c>
      <c r="G154" s="2"/>
      <c r="H154" s="7">
        <v>3819</v>
      </c>
      <c r="I154" s="2"/>
      <c r="J154" s="6">
        <f t="shared" si="26"/>
        <v>8.5449622983464965E-3</v>
      </c>
      <c r="K154" s="2"/>
      <c r="L154" s="7">
        <f t="shared" si="27"/>
        <v>5758.32</v>
      </c>
      <c r="M154" s="2"/>
      <c r="N154" s="6">
        <f t="shared" si="28"/>
        <v>1.507808326787117</v>
      </c>
      <c r="O154" s="11"/>
      <c r="P154" s="7">
        <v>97643.45</v>
      </c>
      <c r="Q154" s="2"/>
      <c r="R154" s="6">
        <f t="shared" si="29"/>
        <v>2.4570823598646013E-2</v>
      </c>
      <c r="S154" s="2"/>
      <c r="T154" s="7">
        <v>20919</v>
      </c>
      <c r="U154" s="2"/>
      <c r="V154" s="6">
        <f t="shared" si="30"/>
        <v>3.4089303578619117E-3</v>
      </c>
      <c r="W154" s="2"/>
      <c r="X154" s="7">
        <f t="shared" si="31"/>
        <v>76724.45</v>
      </c>
      <c r="Y154" s="2"/>
      <c r="Z154" s="6">
        <f t="shared" si="32"/>
        <v>3.6676920502892107</v>
      </c>
    </row>
    <row r="155" spans="1:26" s="24" customFormat="1" hidden="1" outlineLevel="2" x14ac:dyDescent="0.25">
      <c r="A155" s="29"/>
      <c r="B155" s="11" t="str">
        <f>CONCATENATE("          ", "6006", " - ", "TEMPORARY PART TIME")</f>
        <v xml:space="preserve">          6006 - TEMPORARY PART TIME</v>
      </c>
      <c r="C155" s="11"/>
      <c r="D155" s="7">
        <v>1432.35</v>
      </c>
      <c r="E155" s="2"/>
      <c r="F155" s="6">
        <f t="shared" si="25"/>
        <v>4.5751257788270439E-3</v>
      </c>
      <c r="G155" s="2"/>
      <c r="H155" s="7">
        <v>0</v>
      </c>
      <c r="I155" s="2"/>
      <c r="J155" s="6">
        <f t="shared" si="26"/>
        <v>0</v>
      </c>
      <c r="K155" s="2"/>
      <c r="L155" s="7">
        <f t="shared" si="27"/>
        <v>1432.35</v>
      </c>
      <c r="M155" s="2"/>
      <c r="N155" s="6">
        <f t="shared" si="28"/>
        <v>0</v>
      </c>
      <c r="O155" s="11"/>
      <c r="P155" s="7">
        <v>9987.9599999999991</v>
      </c>
      <c r="Q155" s="2"/>
      <c r="R155" s="6">
        <f t="shared" si="29"/>
        <v>2.5133524396191696E-3</v>
      </c>
      <c r="S155" s="2"/>
      <c r="T155" s="7">
        <v>0</v>
      </c>
      <c r="U155" s="2"/>
      <c r="V155" s="6">
        <f t="shared" si="30"/>
        <v>0</v>
      </c>
      <c r="W155" s="2"/>
      <c r="X155" s="7">
        <f t="shared" si="31"/>
        <v>9987.9599999999991</v>
      </c>
      <c r="Y155" s="2"/>
      <c r="Z155" s="6">
        <f t="shared" si="32"/>
        <v>0</v>
      </c>
    </row>
    <row r="156" spans="1:26" s="24" customFormat="1" hidden="1" outlineLevel="2" x14ac:dyDescent="0.25">
      <c r="A156" s="29"/>
      <c r="B156" s="11" t="str">
        <f>CONCATENATE("          ", "6007", " - ", "STUDENT HOURLY")</f>
        <v xml:space="preserve">          6007 - STUDENT HOURLY</v>
      </c>
      <c r="C156" s="11"/>
      <c r="D156" s="7">
        <v>30388.030000000002</v>
      </c>
      <c r="E156" s="2"/>
      <c r="F156" s="6">
        <f t="shared" si="25"/>
        <v>9.7063608350451774E-2</v>
      </c>
      <c r="G156" s="2"/>
      <c r="H156" s="7">
        <v>275</v>
      </c>
      <c r="I156" s="2"/>
      <c r="J156" s="6">
        <f t="shared" si="26"/>
        <v>6.1530888506030029E-4</v>
      </c>
      <c r="K156" s="2"/>
      <c r="L156" s="7">
        <f t="shared" si="27"/>
        <v>30113.030000000002</v>
      </c>
      <c r="M156" s="2"/>
      <c r="N156" s="6">
        <f t="shared" si="28"/>
        <v>109.50192727272729</v>
      </c>
      <c r="O156" s="11"/>
      <c r="P156" s="7">
        <v>179083.06</v>
      </c>
      <c r="Q156" s="2"/>
      <c r="R156" s="6">
        <f t="shared" si="29"/>
        <v>4.5064141801275354E-2</v>
      </c>
      <c r="S156" s="2"/>
      <c r="T156" s="7">
        <v>142436.48000000001</v>
      </c>
      <c r="U156" s="2"/>
      <c r="V156" s="6">
        <f t="shared" si="30"/>
        <v>2.3211245314737373E-2</v>
      </c>
      <c r="W156" s="2"/>
      <c r="X156" s="7">
        <f t="shared" si="31"/>
        <v>36646.579999999987</v>
      </c>
      <c r="Y156" s="2"/>
      <c r="Z156" s="6">
        <f t="shared" si="32"/>
        <v>0.25728366777949008</v>
      </c>
    </row>
    <row r="157" spans="1:26" s="24" customFormat="1" hidden="1" outlineLevel="2" x14ac:dyDescent="0.25">
      <c r="A157" s="29"/>
      <c r="B157" s="11" t="str">
        <f>CONCATENATE("          ", "6008", " - ", "STUDENT HOURLY-FICA EXEMPT")</f>
        <v xml:space="preserve">          6008 - STUDENT HOURLY-FICA EXEMPT</v>
      </c>
      <c r="C157" s="11"/>
      <c r="D157" s="7">
        <v>1083.1600000000001</v>
      </c>
      <c r="E157" s="2"/>
      <c r="F157" s="6">
        <f t="shared" si="25"/>
        <v>3.4597641907315262E-3</v>
      </c>
      <c r="G157" s="2"/>
      <c r="H157" s="7">
        <v>63851.43</v>
      </c>
      <c r="I157" s="2"/>
      <c r="J157" s="6">
        <f t="shared" si="26"/>
        <v>0.1428667352829302</v>
      </c>
      <c r="K157" s="2"/>
      <c r="L157" s="7">
        <f t="shared" si="27"/>
        <v>-62768.27</v>
      </c>
      <c r="M157" s="2"/>
      <c r="N157" s="6">
        <f t="shared" si="28"/>
        <v>-0.98303624523366195</v>
      </c>
      <c r="O157" s="11"/>
      <c r="P157" s="7">
        <v>4930.45</v>
      </c>
      <c r="Q157" s="2"/>
      <c r="R157" s="6">
        <f t="shared" si="29"/>
        <v>1.2406896439233173E-3</v>
      </c>
      <c r="S157" s="2"/>
      <c r="T157" s="7">
        <v>323223.62</v>
      </c>
      <c r="U157" s="2"/>
      <c r="V157" s="6">
        <f t="shared" si="30"/>
        <v>5.2672059400354826E-2</v>
      </c>
      <c r="W157" s="2"/>
      <c r="X157" s="7">
        <f t="shared" si="31"/>
        <v>-318293.17</v>
      </c>
      <c r="Y157" s="2"/>
      <c r="Z157" s="6">
        <f t="shared" si="32"/>
        <v>-0.98474600958927438</v>
      </c>
    </row>
    <row r="158" spans="1:26" s="24" customFormat="1" hidden="1" outlineLevel="2" x14ac:dyDescent="0.25">
      <c r="A158" s="29"/>
      <c r="B158" s="11" t="str">
        <f>CONCATENATE("          ", "6009", " - ", "TEMPORARY-SEASONAL")</f>
        <v xml:space="preserve">          6009 - TEMPORARY-SEASONAL</v>
      </c>
      <c r="C158" s="11"/>
      <c r="D158" s="7"/>
      <c r="E158" s="2"/>
      <c r="F158" s="6">
        <f t="shared" si="25"/>
        <v>0</v>
      </c>
      <c r="G158" s="2"/>
      <c r="H158" s="7">
        <v>0</v>
      </c>
      <c r="I158" s="2"/>
      <c r="J158" s="6">
        <f t="shared" si="26"/>
        <v>0</v>
      </c>
      <c r="K158" s="2"/>
      <c r="L158" s="7">
        <f t="shared" si="27"/>
        <v>0</v>
      </c>
      <c r="M158" s="2"/>
      <c r="N158" s="6">
        <f t="shared" si="28"/>
        <v>0</v>
      </c>
      <c r="O158" s="11"/>
      <c r="P158" s="7"/>
      <c r="Q158" s="2"/>
      <c r="R158" s="6">
        <f t="shared" si="29"/>
        <v>0</v>
      </c>
      <c r="S158" s="2"/>
      <c r="T158" s="7">
        <v>0</v>
      </c>
      <c r="U158" s="2"/>
      <c r="V158" s="6">
        <f t="shared" si="30"/>
        <v>0</v>
      </c>
      <c r="W158" s="2"/>
      <c r="X158" s="7">
        <f t="shared" si="31"/>
        <v>0</v>
      </c>
      <c r="Y158" s="2"/>
      <c r="Z158" s="6">
        <f t="shared" si="32"/>
        <v>0</v>
      </c>
    </row>
    <row r="159" spans="1:26" s="24" customFormat="1" hidden="1" outlineLevel="2" x14ac:dyDescent="0.25">
      <c r="A159" s="29"/>
      <c r="B159" s="11" t="str">
        <f>CONCATENATE("          ", "6010", " - ", "GRATUITY")</f>
        <v xml:space="preserve">          6010 - GRATUITY</v>
      </c>
      <c r="C159" s="11"/>
      <c r="D159" s="7"/>
      <c r="E159" s="2"/>
      <c r="F159" s="6">
        <f t="shared" si="25"/>
        <v>0</v>
      </c>
      <c r="G159" s="2"/>
      <c r="H159" s="7">
        <v>0</v>
      </c>
      <c r="I159" s="2"/>
      <c r="J159" s="6">
        <f t="shared" si="26"/>
        <v>0</v>
      </c>
      <c r="K159" s="2"/>
      <c r="L159" s="7">
        <f t="shared" si="27"/>
        <v>0</v>
      </c>
      <c r="M159" s="2"/>
      <c r="N159" s="6">
        <f t="shared" si="28"/>
        <v>0</v>
      </c>
      <c r="O159" s="11"/>
      <c r="P159" s="7"/>
      <c r="Q159" s="2"/>
      <c r="R159" s="6">
        <f t="shared" si="29"/>
        <v>0</v>
      </c>
      <c r="S159" s="2"/>
      <c r="T159" s="7">
        <v>0</v>
      </c>
      <c r="U159" s="2"/>
      <c r="V159" s="6">
        <f t="shared" si="30"/>
        <v>0</v>
      </c>
      <c r="W159" s="2"/>
      <c r="X159" s="7">
        <f t="shared" si="31"/>
        <v>0</v>
      </c>
      <c r="Y159" s="2"/>
      <c r="Z159" s="6">
        <f t="shared" si="32"/>
        <v>0</v>
      </c>
    </row>
    <row r="160" spans="1:26" s="28" customFormat="1" outlineLevel="1" collapsed="1" x14ac:dyDescent="0.25">
      <c r="A160" s="27"/>
      <c r="B160" s="14" t="str">
        <f>CONCATENATE("     ","Advertising/Promo                                 ")</f>
        <v xml:space="preserve">     Advertising/Promo                                 </v>
      </c>
      <c r="C160" s="14"/>
      <c r="D160" s="1">
        <f>SUM(OSRRefD22_2x_0)</f>
        <v>343.98</v>
      </c>
      <c r="E160" s="1"/>
      <c r="F160" s="5">
        <f t="shared" ref="F160:F164" si="33">IF(D$12=0,0,D160/D$12)</f>
        <v>1.0987201210604439E-3</v>
      </c>
      <c r="G160" s="1"/>
      <c r="H160" s="1">
        <f>SUM(OSRRefH22_2x_0)</f>
        <v>1480</v>
      </c>
      <c r="I160" s="1"/>
      <c r="J160" s="5">
        <f t="shared" ref="J160:J164" si="34">IF(H$12=0,0,H160/H$12)</f>
        <v>3.3114805450517979E-3</v>
      </c>
      <c r="K160" s="1"/>
      <c r="L160" s="1">
        <f t="shared" ref="L160:L164" si="35">+D160-H160</f>
        <v>-1136.02</v>
      </c>
      <c r="M160" s="1"/>
      <c r="N160" s="5">
        <f t="shared" ref="N160:N164" si="36">IF(H160=0,0,L160/H160)</f>
        <v>-0.76758108108108103</v>
      </c>
      <c r="O160" s="14"/>
      <c r="P160" s="1">
        <f>SUM(OSRRefP22_2x_0)</f>
        <v>14951.390000000001</v>
      </c>
      <c r="Q160" s="1"/>
      <c r="R160" s="5">
        <f t="shared" ref="R160:R164" si="37">IF(P$12=0,0,P160/P$12)</f>
        <v>3.7623411119185163E-3</v>
      </c>
      <c r="S160" s="1"/>
      <c r="T160" s="1">
        <f>SUM(OSRRefT22_2x_0)</f>
        <v>8130</v>
      </c>
      <c r="U160" s="1"/>
      <c r="V160" s="5">
        <f t="shared" ref="V160:V164" si="38">IF(T$12=0,0,T160/T$12)</f>
        <v>1.3248531865489431E-3</v>
      </c>
      <c r="W160" s="1"/>
      <c r="X160" s="1">
        <f t="shared" ref="X160:X164" si="39">+P160-T160</f>
        <v>6821.3900000000012</v>
      </c>
      <c r="Y160" s="1"/>
      <c r="Z160" s="5">
        <f t="shared" ref="Z160:Z164" si="40">IF(T160=0,0,X160/T160)</f>
        <v>0.83903936039360405</v>
      </c>
    </row>
    <row r="161" spans="1:26" s="24" customFormat="1" hidden="1" outlineLevel="2" x14ac:dyDescent="0.25">
      <c r="A161" s="29"/>
      <c r="B161" s="11" t="str">
        <f>CONCATENATE("          ", "6362", " - ", "ADVERTISING EXPENSE")</f>
        <v xml:space="preserve">          6362 - ADVERTISING EXPENSE</v>
      </c>
      <c r="C161" s="11"/>
      <c r="D161" s="7">
        <v>343.98</v>
      </c>
      <c r="E161" s="2"/>
      <c r="F161" s="6">
        <f t="shared" si="33"/>
        <v>1.0987201210604439E-3</v>
      </c>
      <c r="G161" s="2"/>
      <c r="H161" s="7">
        <v>1480</v>
      </c>
      <c r="I161" s="2"/>
      <c r="J161" s="6">
        <f t="shared" si="34"/>
        <v>3.3114805450517979E-3</v>
      </c>
      <c r="K161" s="2"/>
      <c r="L161" s="7">
        <f t="shared" si="35"/>
        <v>-1136.02</v>
      </c>
      <c r="M161" s="2"/>
      <c r="N161" s="6">
        <f t="shared" si="36"/>
        <v>-0.76758108108108103</v>
      </c>
      <c r="O161" s="11"/>
      <c r="P161" s="7">
        <v>14951.390000000001</v>
      </c>
      <c r="Q161" s="2"/>
      <c r="R161" s="6">
        <f t="shared" si="37"/>
        <v>3.7623411119185163E-3</v>
      </c>
      <c r="S161" s="2"/>
      <c r="T161" s="7">
        <v>8130</v>
      </c>
      <c r="U161" s="2"/>
      <c r="V161" s="6">
        <f t="shared" si="38"/>
        <v>1.3248531865489431E-3</v>
      </c>
      <c r="W161" s="2"/>
      <c r="X161" s="7">
        <f t="shared" si="39"/>
        <v>6821.3900000000012</v>
      </c>
      <c r="Y161" s="2"/>
      <c r="Z161" s="6">
        <f t="shared" si="40"/>
        <v>0.83903936039360405</v>
      </c>
    </row>
    <row r="162" spans="1:26" s="28" customFormat="1" outlineLevel="1" collapsed="1" x14ac:dyDescent="0.25">
      <c r="A162" s="27"/>
      <c r="B162" s="14" t="str">
        <f>CONCATENATE("     ","Bad Debts/Over/Short                              ")</f>
        <v xml:space="preserve">     Bad Debts/Over/Short                              </v>
      </c>
      <c r="C162" s="14"/>
      <c r="D162" s="1">
        <f>SUM(OSRRefD22_3x_0)</f>
        <v>-5.34</v>
      </c>
      <c r="E162" s="1"/>
      <c r="F162" s="5">
        <f t="shared" si="33"/>
        <v>-1.70567051760648E-5</v>
      </c>
      <c r="G162" s="1"/>
      <c r="H162" s="1">
        <f>SUM(OSRRefH22_3x_0)</f>
        <v>110</v>
      </c>
      <c r="I162" s="1"/>
      <c r="J162" s="5">
        <f t="shared" si="34"/>
        <v>2.4612355402412009E-4</v>
      </c>
      <c r="K162" s="1"/>
      <c r="L162" s="1">
        <f t="shared" si="35"/>
        <v>-115.34</v>
      </c>
      <c r="M162" s="1"/>
      <c r="N162" s="5">
        <f t="shared" si="36"/>
        <v>-1.0485454545454547</v>
      </c>
      <c r="O162" s="14"/>
      <c r="P162" s="1">
        <f>SUM(OSRRefP22_3x_0)</f>
        <v>45.96</v>
      </c>
      <c r="Q162" s="1"/>
      <c r="R162" s="5">
        <f t="shared" si="37"/>
        <v>1.1565292424568886E-5</v>
      </c>
      <c r="S162" s="1"/>
      <c r="T162" s="1">
        <f>SUM(OSRRefT22_3x_0)</f>
        <v>660</v>
      </c>
      <c r="U162" s="1"/>
      <c r="V162" s="5">
        <f t="shared" si="38"/>
        <v>1.0755265721061532E-4</v>
      </c>
      <c r="W162" s="1"/>
      <c r="X162" s="1">
        <f t="shared" si="39"/>
        <v>-614.04</v>
      </c>
      <c r="Y162" s="1"/>
      <c r="Z162" s="5">
        <f t="shared" si="40"/>
        <v>-0.93036363636363628</v>
      </c>
    </row>
    <row r="163" spans="1:26" s="24" customFormat="1" hidden="1" outlineLevel="2" x14ac:dyDescent="0.25">
      <c r="A163" s="29"/>
      <c r="B163" s="11" t="str">
        <f>CONCATENATE("          ", "6272", " - ", "CASH (OVER/SHORT)")</f>
        <v xml:space="preserve">          6272 - CASH (OVER/SHORT)</v>
      </c>
      <c r="C163" s="11"/>
      <c r="D163" s="7">
        <v>-5.34</v>
      </c>
      <c r="E163" s="2"/>
      <c r="F163" s="6">
        <f t="shared" si="33"/>
        <v>-1.70567051760648E-5</v>
      </c>
      <c r="G163" s="2"/>
      <c r="H163" s="7">
        <v>60</v>
      </c>
      <c r="I163" s="2"/>
      <c r="J163" s="6">
        <f t="shared" si="34"/>
        <v>1.3424921128588369E-4</v>
      </c>
      <c r="K163" s="2"/>
      <c r="L163" s="7">
        <f t="shared" si="35"/>
        <v>-65.34</v>
      </c>
      <c r="M163" s="2"/>
      <c r="N163" s="6">
        <f t="shared" si="36"/>
        <v>-1.089</v>
      </c>
      <c r="O163" s="11"/>
      <c r="P163" s="7">
        <v>45.96</v>
      </c>
      <c r="Q163" s="2"/>
      <c r="R163" s="6">
        <f t="shared" si="37"/>
        <v>1.1565292424568886E-5</v>
      </c>
      <c r="S163" s="2"/>
      <c r="T163" s="7">
        <v>360</v>
      </c>
      <c r="U163" s="2"/>
      <c r="V163" s="6">
        <f t="shared" si="38"/>
        <v>5.8665085751244716E-5</v>
      </c>
      <c r="W163" s="2"/>
      <c r="X163" s="7">
        <f t="shared" si="39"/>
        <v>-314.04000000000002</v>
      </c>
      <c r="Y163" s="2"/>
      <c r="Z163" s="6">
        <f t="shared" si="40"/>
        <v>-0.8723333333333334</v>
      </c>
    </row>
    <row r="164" spans="1:26" s="24" customFormat="1" hidden="1" outlineLevel="2" x14ac:dyDescent="0.25">
      <c r="A164" s="29"/>
      <c r="B164" s="11" t="str">
        <f>CONCATENATE("          ", "6342", " - ", "BAD DEBT")</f>
        <v xml:space="preserve">          6342 - BAD DEBT</v>
      </c>
      <c r="C164" s="11"/>
      <c r="D164" s="7"/>
      <c r="E164" s="2"/>
      <c r="F164" s="6">
        <f t="shared" si="33"/>
        <v>0</v>
      </c>
      <c r="G164" s="2"/>
      <c r="H164" s="7">
        <v>50</v>
      </c>
      <c r="I164" s="2"/>
      <c r="J164" s="6">
        <f t="shared" si="34"/>
        <v>1.1187434273823641E-4</v>
      </c>
      <c r="K164" s="2"/>
      <c r="L164" s="7">
        <f t="shared" si="35"/>
        <v>-50</v>
      </c>
      <c r="M164" s="2"/>
      <c r="N164" s="6">
        <f t="shared" si="36"/>
        <v>-1</v>
      </c>
      <c r="O164" s="11"/>
      <c r="P164" s="7"/>
      <c r="Q164" s="2"/>
      <c r="R164" s="6">
        <f t="shared" si="37"/>
        <v>0</v>
      </c>
      <c r="S164" s="2"/>
      <c r="T164" s="7">
        <v>300</v>
      </c>
      <c r="U164" s="2"/>
      <c r="V164" s="6">
        <f t="shared" si="38"/>
        <v>4.8887571459370596E-5</v>
      </c>
      <c r="W164" s="2"/>
      <c r="X164" s="7">
        <f t="shared" si="39"/>
        <v>-300</v>
      </c>
      <c r="Y164" s="2"/>
      <c r="Z164" s="6">
        <f t="shared" si="40"/>
        <v>-1</v>
      </c>
    </row>
    <row r="165" spans="1:26" s="28" customFormat="1" outlineLevel="1" collapsed="1" x14ac:dyDescent="0.25">
      <c r="A165" s="27"/>
      <c r="B165" s="14" t="str">
        <f>CONCATENATE("     ","Bank/card Fees                                    ")</f>
        <v xml:space="preserve">     Bank/card Fees                                    </v>
      </c>
      <c r="C165" s="14"/>
      <c r="D165" s="1">
        <f>SUM(OSRRefD22_4x_0)</f>
        <v>5214.3999999999996</v>
      </c>
      <c r="E165" s="1"/>
      <c r="F165" s="5">
        <f t="shared" ref="F165:F169" si="41">IF(D$12=0,0,D165/D$12)</f>
        <v>1.6655521249077206E-2</v>
      </c>
      <c r="G165" s="1"/>
      <c r="H165" s="1">
        <f>SUM(OSRRefH22_4x_0)</f>
        <v>31650</v>
      </c>
      <c r="I165" s="1"/>
      <c r="J165" s="5">
        <f t="shared" ref="J165:J169" si="42">IF(H$12=0,0,H165/H$12)</f>
        <v>7.0816458953303643E-2</v>
      </c>
      <c r="K165" s="1"/>
      <c r="L165" s="1">
        <f t="shared" ref="L165:L169" si="43">+D165-H165</f>
        <v>-26435.599999999999</v>
      </c>
      <c r="M165" s="1"/>
      <c r="N165" s="5">
        <f t="shared" ref="N165:N169" si="44">IF(H165=0,0,L165/H165)</f>
        <v>-0.83524802527646125</v>
      </c>
      <c r="O165" s="14"/>
      <c r="P165" s="1">
        <f>SUM(OSRRefP22_4x_0)</f>
        <v>46796.780000000006</v>
      </c>
      <c r="Q165" s="1"/>
      <c r="R165" s="5">
        <f t="shared" ref="R165:R169" si="45">IF(P$12=0,0,P165/P$12)</f>
        <v>1.1775858251266685E-2</v>
      </c>
      <c r="S165" s="1"/>
      <c r="T165" s="1">
        <f>SUM(OSRRefT22_4x_0)</f>
        <v>121293</v>
      </c>
      <c r="U165" s="1"/>
      <c r="V165" s="5">
        <f t="shared" ref="V165:V169" si="46">IF(T$12=0,0,T165/T$12)</f>
        <v>1.9765734016738128E-2</v>
      </c>
      <c r="W165" s="1"/>
      <c r="X165" s="1">
        <f t="shared" ref="X165:X169" si="47">+P165-T165</f>
        <v>-74496.22</v>
      </c>
      <c r="Y165" s="1"/>
      <c r="Z165" s="5">
        <f t="shared" ref="Z165:Z169" si="48">IF(T165=0,0,X165/T165)</f>
        <v>-0.61418400072551593</v>
      </c>
    </row>
    <row r="166" spans="1:26" s="24" customFormat="1" hidden="1" outlineLevel="2" x14ac:dyDescent="0.25">
      <c r="A166" s="29"/>
      <c r="B166" s="11" t="str">
        <f>CONCATENATE("          ", "6381", " - ", "BANK/CREDIT CARD FEES")</f>
        <v xml:space="preserve">          6381 - BANK/CREDIT CARD FEES</v>
      </c>
      <c r="C166" s="11"/>
      <c r="D166" s="7">
        <v>5214.3999999999996</v>
      </c>
      <c r="E166" s="2"/>
      <c r="F166" s="6">
        <f t="shared" si="41"/>
        <v>1.6655521249077206E-2</v>
      </c>
      <c r="G166" s="2"/>
      <c r="H166" s="7">
        <v>31650</v>
      </c>
      <c r="I166" s="2"/>
      <c r="J166" s="6">
        <f t="shared" si="42"/>
        <v>7.0816458953303643E-2</v>
      </c>
      <c r="K166" s="2"/>
      <c r="L166" s="7">
        <f t="shared" si="43"/>
        <v>-26435.599999999999</v>
      </c>
      <c r="M166" s="2"/>
      <c r="N166" s="6">
        <f t="shared" si="44"/>
        <v>-0.83524802527646125</v>
      </c>
      <c r="O166" s="11"/>
      <c r="P166" s="7">
        <v>46796.780000000006</v>
      </c>
      <c r="Q166" s="2"/>
      <c r="R166" s="6">
        <f t="shared" si="45"/>
        <v>1.1775858251266685E-2</v>
      </c>
      <c r="S166" s="2"/>
      <c r="T166" s="7">
        <v>121293</v>
      </c>
      <c r="U166" s="2"/>
      <c r="V166" s="6">
        <f t="shared" si="46"/>
        <v>1.9765734016738128E-2</v>
      </c>
      <c r="W166" s="2"/>
      <c r="X166" s="7">
        <f t="shared" si="47"/>
        <v>-74496.22</v>
      </c>
      <c r="Y166" s="2"/>
      <c r="Z166" s="6">
        <f t="shared" si="48"/>
        <v>-0.61418400072551593</v>
      </c>
    </row>
    <row r="167" spans="1:26" s="28" customFormat="1" outlineLevel="1" collapsed="1" x14ac:dyDescent="0.25">
      <c r="A167" s="27"/>
      <c r="B167" s="14" t="str">
        <f>CONCATENATE("     ","Depreciation                                      ")</f>
        <v xml:space="preserve">     Depreciation                                      </v>
      </c>
      <c r="C167" s="14"/>
      <c r="D167" s="1">
        <f>SUM(OSRRefD22_5x_0)</f>
        <v>31016.29</v>
      </c>
      <c r="E167" s="1"/>
      <c r="F167" s="5">
        <f t="shared" si="41"/>
        <v>9.9070358461671698E-2</v>
      </c>
      <c r="G167" s="1"/>
      <c r="H167" s="1">
        <f>SUM(OSRRefH22_5x_0)</f>
        <v>30594</v>
      </c>
      <c r="I167" s="1"/>
      <c r="J167" s="5">
        <f t="shared" si="42"/>
        <v>6.8453672834672102E-2</v>
      </c>
      <c r="K167" s="1"/>
      <c r="L167" s="1">
        <f t="shared" si="43"/>
        <v>422.29000000000087</v>
      </c>
      <c r="M167" s="1"/>
      <c r="N167" s="5">
        <f t="shared" si="44"/>
        <v>1.3803033274498297E-2</v>
      </c>
      <c r="O167" s="14"/>
      <c r="P167" s="1">
        <f>SUM(OSRRefP22_5x_0)</f>
        <v>186393.22999999998</v>
      </c>
      <c r="Q167" s="1"/>
      <c r="R167" s="5">
        <f t="shared" si="45"/>
        <v>4.6903659941469229E-2</v>
      </c>
      <c r="S167" s="1"/>
      <c r="T167" s="1">
        <f>SUM(OSRRefT22_5x_0)</f>
        <v>184572</v>
      </c>
      <c r="U167" s="1"/>
      <c r="V167" s="5">
        <f t="shared" si="46"/>
        <v>3.0077589464663167E-2</v>
      </c>
      <c r="W167" s="1"/>
      <c r="X167" s="1">
        <f t="shared" si="47"/>
        <v>1821.2299999999814</v>
      </c>
      <c r="Y167" s="1"/>
      <c r="Z167" s="5">
        <f t="shared" si="48"/>
        <v>9.8673146522765178E-3</v>
      </c>
    </row>
    <row r="168" spans="1:26" s="24" customFormat="1" hidden="1" outlineLevel="2" x14ac:dyDescent="0.25">
      <c r="A168" s="29"/>
      <c r="B168" s="11" t="str">
        <f>CONCATENATE("          ", "6321", " - ", "BUILDING DEPRECIATION")</f>
        <v xml:space="preserve">          6321 - BUILDING DEPRECIATION</v>
      </c>
      <c r="C168" s="11"/>
      <c r="D168" s="7">
        <v>16396.52</v>
      </c>
      <c r="E168" s="2"/>
      <c r="F168" s="6">
        <f t="shared" si="41"/>
        <v>5.2372772950084273E-2</v>
      </c>
      <c r="G168" s="2"/>
      <c r="H168" s="7"/>
      <c r="I168" s="2"/>
      <c r="J168" s="6">
        <f t="shared" si="42"/>
        <v>0</v>
      </c>
      <c r="K168" s="2"/>
      <c r="L168" s="7">
        <f t="shared" si="43"/>
        <v>16396.52</v>
      </c>
      <c r="M168" s="2"/>
      <c r="N168" s="6">
        <f t="shared" si="44"/>
        <v>0</v>
      </c>
      <c r="O168" s="11"/>
      <c r="P168" s="7">
        <v>98379.12</v>
      </c>
      <c r="Q168" s="2"/>
      <c r="R168" s="6">
        <f t="shared" si="45"/>
        <v>2.4755946285286191E-2</v>
      </c>
      <c r="S168" s="2"/>
      <c r="T168" s="7"/>
      <c r="U168" s="2"/>
      <c r="V168" s="6">
        <f t="shared" si="46"/>
        <v>0</v>
      </c>
      <c r="W168" s="2"/>
      <c r="X168" s="7">
        <f t="shared" si="47"/>
        <v>98379.12</v>
      </c>
      <c r="Y168" s="2"/>
      <c r="Z168" s="6">
        <f t="shared" si="48"/>
        <v>0</v>
      </c>
    </row>
    <row r="169" spans="1:26" s="24" customFormat="1" hidden="1" outlineLevel="2" x14ac:dyDescent="0.25">
      <c r="A169" s="29"/>
      <c r="B169" s="11" t="str">
        <f>CONCATENATE("          ", "6322", " - ", "EQUIPMENT DEPRECIATION EXPENSE")</f>
        <v xml:space="preserve">          6322 - EQUIPMENT DEPRECIATION EXPENSE</v>
      </c>
      <c r="C169" s="11"/>
      <c r="D169" s="7">
        <v>14619.77</v>
      </c>
      <c r="E169" s="2"/>
      <c r="F169" s="6">
        <f t="shared" si="41"/>
        <v>4.6697585511587432E-2</v>
      </c>
      <c r="G169" s="2"/>
      <c r="H169" s="7">
        <v>30594</v>
      </c>
      <c r="I169" s="2"/>
      <c r="J169" s="6">
        <f t="shared" si="42"/>
        <v>6.8453672834672102E-2</v>
      </c>
      <c r="K169" s="2"/>
      <c r="L169" s="7">
        <f t="shared" si="43"/>
        <v>-15974.23</v>
      </c>
      <c r="M169" s="2"/>
      <c r="N169" s="6">
        <f t="shared" si="44"/>
        <v>-0.52213603974635547</v>
      </c>
      <c r="O169" s="11"/>
      <c r="P169" s="7">
        <v>88014.11</v>
      </c>
      <c r="Q169" s="2"/>
      <c r="R169" s="6">
        <f t="shared" si="45"/>
        <v>2.2147713656183041E-2</v>
      </c>
      <c r="S169" s="2"/>
      <c r="T169" s="7">
        <v>184572</v>
      </c>
      <c r="U169" s="2"/>
      <c r="V169" s="6">
        <f t="shared" si="46"/>
        <v>3.0077589464663167E-2</v>
      </c>
      <c r="W169" s="2"/>
      <c r="X169" s="7">
        <f t="shared" si="47"/>
        <v>-96557.89</v>
      </c>
      <c r="Y169" s="2"/>
      <c r="Z169" s="6">
        <f t="shared" si="48"/>
        <v>-0.5231448432048198</v>
      </c>
    </row>
    <row r="170" spans="1:26" s="28" customFormat="1" outlineLevel="1" collapsed="1" x14ac:dyDescent="0.25">
      <c r="A170" s="27"/>
      <c r="B170" s="14" t="str">
        <f>CONCATENATE("     ","Discounts and Markdowns                           ")</f>
        <v xml:space="preserve">     Discounts and Markdowns                           </v>
      </c>
      <c r="C170" s="14"/>
      <c r="D170" s="1">
        <f>SUM(OSRRefD22_6x_0)</f>
        <v>0</v>
      </c>
      <c r="E170" s="1"/>
      <c r="F170" s="5">
        <f t="shared" ref="F170:F172" si="49">IF(D$12=0,0,D170/D$12)</f>
        <v>0</v>
      </c>
      <c r="G170" s="1"/>
      <c r="H170" s="1">
        <f>SUM(OSRRefH22_6x_0)</f>
        <v>25907</v>
      </c>
      <c r="I170" s="1"/>
      <c r="J170" s="5">
        <f t="shared" ref="J170:J172" si="50">IF(H$12=0,0,H170/H$12)</f>
        <v>5.7966571946389815E-2</v>
      </c>
      <c r="K170" s="1"/>
      <c r="L170" s="1">
        <f t="shared" ref="L170:L172" si="51">+D170-H170</f>
        <v>-25907</v>
      </c>
      <c r="M170" s="1"/>
      <c r="N170" s="5">
        <f t="shared" ref="N170:N172" si="52">IF(H170=0,0,L170/H170)</f>
        <v>-1</v>
      </c>
      <c r="O170" s="14"/>
      <c r="P170" s="1">
        <f>SUM(OSRRefP22_6x_0)</f>
        <v>0</v>
      </c>
      <c r="Q170" s="1"/>
      <c r="R170" s="5">
        <f t="shared" ref="R170:R172" si="53">IF(P$12=0,0,P170/P$12)</f>
        <v>0</v>
      </c>
      <c r="S170" s="1"/>
      <c r="T170" s="1">
        <f>SUM(OSRRefT22_6x_0)</f>
        <v>182489</v>
      </c>
      <c r="U170" s="1"/>
      <c r="V170" s="5">
        <f t="shared" ref="V170:V172" si="54">IF(T$12=0,0,T170/T$12)</f>
        <v>2.9738146760163602E-2</v>
      </c>
      <c r="W170" s="1"/>
      <c r="X170" s="1">
        <f t="shared" ref="X170:X172" si="55">+P170-T170</f>
        <v>-182489</v>
      </c>
      <c r="Y170" s="1"/>
      <c r="Z170" s="5">
        <f t="shared" ref="Z170:Z172" si="56">IF(T170=0,0,X170/T170)</f>
        <v>-1</v>
      </c>
    </row>
    <row r="171" spans="1:26" s="24" customFormat="1" hidden="1" outlineLevel="2" x14ac:dyDescent="0.25">
      <c r="A171" s="29"/>
      <c r="B171" s="11" t="str">
        <f>CONCATENATE("          ", "6382", " - ", "DISCOUNTS/MARK DOWNS")</f>
        <v xml:space="preserve">          6382 - DISCOUNTS/MARK DOWNS</v>
      </c>
      <c r="C171" s="11"/>
      <c r="D171" s="7"/>
      <c r="E171" s="2"/>
      <c r="F171" s="6">
        <f t="shared" si="49"/>
        <v>0</v>
      </c>
      <c r="G171" s="2"/>
      <c r="H171" s="7">
        <v>25907</v>
      </c>
      <c r="I171" s="2"/>
      <c r="J171" s="6">
        <f t="shared" si="50"/>
        <v>5.7966571946389815E-2</v>
      </c>
      <c r="K171" s="2"/>
      <c r="L171" s="7">
        <f t="shared" si="51"/>
        <v>-25907</v>
      </c>
      <c r="M171" s="2"/>
      <c r="N171" s="6">
        <f t="shared" si="52"/>
        <v>-1</v>
      </c>
      <c r="O171" s="11"/>
      <c r="P171" s="7">
        <v>0</v>
      </c>
      <c r="Q171" s="2"/>
      <c r="R171" s="6">
        <f t="shared" si="53"/>
        <v>0</v>
      </c>
      <c r="S171" s="2"/>
      <c r="T171" s="7">
        <v>182489</v>
      </c>
      <c r="U171" s="2"/>
      <c r="V171" s="6">
        <f t="shared" si="54"/>
        <v>2.9738146760163602E-2</v>
      </c>
      <c r="W171" s="2"/>
      <c r="X171" s="7">
        <f t="shared" si="55"/>
        <v>-182489</v>
      </c>
      <c r="Y171" s="2"/>
      <c r="Z171" s="6">
        <f t="shared" si="56"/>
        <v>-1</v>
      </c>
    </row>
    <row r="172" spans="1:26" s="24" customFormat="1" hidden="1" outlineLevel="2" x14ac:dyDescent="0.25">
      <c r="A172" s="29"/>
      <c r="B172" s="11" t="str">
        <f>CONCATENATE("          ", "9175", " - ", "EARNED DISCOUNTS")</f>
        <v xml:space="preserve">          9175 - EARNED DISCOUNTS</v>
      </c>
      <c r="C172" s="11"/>
      <c r="D172" s="7"/>
      <c r="E172" s="2"/>
      <c r="F172" s="6">
        <f t="shared" si="49"/>
        <v>0</v>
      </c>
      <c r="G172" s="2"/>
      <c r="H172" s="7"/>
      <c r="I172" s="2"/>
      <c r="J172" s="6">
        <f t="shared" si="50"/>
        <v>0</v>
      </c>
      <c r="K172" s="2"/>
      <c r="L172" s="7">
        <f t="shared" si="51"/>
        <v>0</v>
      </c>
      <c r="M172" s="2"/>
      <c r="N172" s="6">
        <f t="shared" si="52"/>
        <v>0</v>
      </c>
      <c r="O172" s="11"/>
      <c r="P172" s="7">
        <v>0</v>
      </c>
      <c r="Q172" s="2"/>
      <c r="R172" s="6">
        <f t="shared" si="53"/>
        <v>0</v>
      </c>
      <c r="S172" s="2"/>
      <c r="T172" s="7"/>
      <c r="U172" s="2"/>
      <c r="V172" s="6">
        <f t="shared" si="54"/>
        <v>0</v>
      </c>
      <c r="W172" s="2"/>
      <c r="X172" s="7">
        <f t="shared" si="55"/>
        <v>0</v>
      </c>
      <c r="Y172" s="2"/>
      <c r="Z172" s="6">
        <f t="shared" si="56"/>
        <v>0</v>
      </c>
    </row>
    <row r="173" spans="1:26" s="28" customFormat="1" outlineLevel="1" collapsed="1" x14ac:dyDescent="0.25">
      <c r="A173" s="27"/>
      <c r="B173" s="14" t="str">
        <f>CONCATENATE("     ","Donations                                         ")</f>
        <v xml:space="preserve">     Donations                                         </v>
      </c>
      <c r="C173" s="14"/>
      <c r="D173" s="1">
        <f>SUM(OSRRefD22_7x_0)</f>
        <v>0</v>
      </c>
      <c r="E173" s="1"/>
      <c r="F173" s="5">
        <f t="shared" ref="F173:F175" si="57">IF(D$12=0,0,D173/D$12)</f>
        <v>0</v>
      </c>
      <c r="G173" s="1"/>
      <c r="H173" s="1">
        <f>SUM(OSRRefH22_7x_0)</f>
        <v>1000</v>
      </c>
      <c r="I173" s="1"/>
      <c r="J173" s="5">
        <f t="shared" ref="J173:J175" si="58">IF(H$12=0,0,H173/H$12)</f>
        <v>2.2374868547647281E-3</v>
      </c>
      <c r="K173" s="1"/>
      <c r="L173" s="1">
        <f t="shared" ref="L173:L175" si="59">+D173-H173</f>
        <v>-1000</v>
      </c>
      <c r="M173" s="1"/>
      <c r="N173" s="5">
        <f t="shared" ref="N173:N175" si="60">IF(H173=0,0,L173/H173)</f>
        <v>-1</v>
      </c>
      <c r="O173" s="14"/>
      <c r="P173" s="1">
        <f>SUM(OSRRefP22_7x_0)</f>
        <v>0</v>
      </c>
      <c r="Q173" s="1"/>
      <c r="R173" s="5">
        <f t="shared" ref="R173:R175" si="61">IF(P$12=0,0,P173/P$12)</f>
        <v>0</v>
      </c>
      <c r="S173" s="1"/>
      <c r="T173" s="1">
        <f>SUM(OSRRefT22_7x_0)</f>
        <v>6000</v>
      </c>
      <c r="U173" s="1"/>
      <c r="V173" s="5">
        <f t="shared" ref="V173:V175" si="62">IF(T$12=0,0,T173/T$12)</f>
        <v>9.7775142918741197E-4</v>
      </c>
      <c r="W173" s="1"/>
      <c r="X173" s="1">
        <f t="shared" ref="X173:X175" si="63">+P173-T173</f>
        <v>-6000</v>
      </c>
      <c r="Y173" s="1"/>
      <c r="Z173" s="5">
        <f t="shared" ref="Z173:Z175" si="64">IF(T173=0,0,X173/T173)</f>
        <v>-1</v>
      </c>
    </row>
    <row r="174" spans="1:26" s="24" customFormat="1" hidden="1" outlineLevel="2" x14ac:dyDescent="0.25">
      <c r="A174" s="29"/>
      <c r="B174" s="11" t="str">
        <f>CONCATENATE("          ", "6395", " - ", "DONATION-OFF CAMPUS")</f>
        <v xml:space="preserve">          6395 - DONATION-OFF CAMPUS</v>
      </c>
      <c r="C174" s="11"/>
      <c r="D174" s="7"/>
      <c r="E174" s="2"/>
      <c r="F174" s="6">
        <f t="shared" si="57"/>
        <v>0</v>
      </c>
      <c r="G174" s="2"/>
      <c r="H174" s="7"/>
      <c r="I174" s="2"/>
      <c r="J174" s="6">
        <f t="shared" si="58"/>
        <v>0</v>
      </c>
      <c r="K174" s="2"/>
      <c r="L174" s="7">
        <f t="shared" si="59"/>
        <v>0</v>
      </c>
      <c r="M174" s="2"/>
      <c r="N174" s="6">
        <f t="shared" si="60"/>
        <v>0</v>
      </c>
      <c r="O174" s="11"/>
      <c r="P174" s="7"/>
      <c r="Q174" s="2"/>
      <c r="R174" s="6">
        <f t="shared" si="61"/>
        <v>0</v>
      </c>
      <c r="S174" s="2"/>
      <c r="T174" s="7">
        <v>0</v>
      </c>
      <c r="U174" s="2"/>
      <c r="V174" s="6">
        <f t="shared" si="62"/>
        <v>0</v>
      </c>
      <c r="W174" s="2"/>
      <c r="X174" s="7">
        <f t="shared" si="63"/>
        <v>0</v>
      </c>
      <c r="Y174" s="2"/>
      <c r="Z174" s="6">
        <f t="shared" si="64"/>
        <v>0</v>
      </c>
    </row>
    <row r="175" spans="1:26" s="24" customFormat="1" hidden="1" outlineLevel="2" x14ac:dyDescent="0.25">
      <c r="A175" s="29"/>
      <c r="B175" s="11" t="str">
        <f>CONCATENATE("          ", "6399", " - ", "DONATION-ON CAMPUS")</f>
        <v xml:space="preserve">          6399 - DONATION-ON CAMPUS</v>
      </c>
      <c r="C175" s="11"/>
      <c r="D175" s="7"/>
      <c r="E175" s="2"/>
      <c r="F175" s="6">
        <f t="shared" si="57"/>
        <v>0</v>
      </c>
      <c r="G175" s="2"/>
      <c r="H175" s="7">
        <v>1000</v>
      </c>
      <c r="I175" s="2"/>
      <c r="J175" s="6">
        <f t="shared" si="58"/>
        <v>2.2374868547647281E-3</v>
      </c>
      <c r="K175" s="2"/>
      <c r="L175" s="7">
        <f t="shared" si="59"/>
        <v>-1000</v>
      </c>
      <c r="M175" s="2"/>
      <c r="N175" s="6">
        <f t="shared" si="60"/>
        <v>-1</v>
      </c>
      <c r="O175" s="11"/>
      <c r="P175" s="7"/>
      <c r="Q175" s="2"/>
      <c r="R175" s="6">
        <f t="shared" si="61"/>
        <v>0</v>
      </c>
      <c r="S175" s="2"/>
      <c r="T175" s="7">
        <v>6000</v>
      </c>
      <c r="U175" s="2"/>
      <c r="V175" s="6">
        <f t="shared" si="62"/>
        <v>9.7775142918741197E-4</v>
      </c>
      <c r="W175" s="2"/>
      <c r="X175" s="7">
        <f t="shared" si="63"/>
        <v>-6000</v>
      </c>
      <c r="Y175" s="2"/>
      <c r="Z175" s="6">
        <f t="shared" si="64"/>
        <v>-1</v>
      </c>
    </row>
    <row r="176" spans="1:26" s="28" customFormat="1" outlineLevel="1" collapsed="1" x14ac:dyDescent="0.25">
      <c r="A176" s="27"/>
      <c r="B176" s="14" t="str">
        <f>CONCATENATE("     ","Employees' Appreciation                           ")</f>
        <v xml:space="preserve">     Employees' Appreciation                           </v>
      </c>
      <c r="C176" s="14"/>
      <c r="D176" s="1">
        <f>SUM(OSRRefD22_8x_0)</f>
        <v>0</v>
      </c>
      <c r="E176" s="1"/>
      <c r="F176" s="5">
        <f t="shared" ref="F176:F182" si="65">IF(D$12=0,0,D176/D$12)</f>
        <v>0</v>
      </c>
      <c r="G176" s="1"/>
      <c r="H176" s="1">
        <f>SUM(OSRRefH22_8x_0)</f>
        <v>420</v>
      </c>
      <c r="I176" s="1"/>
      <c r="J176" s="5">
        <f t="shared" ref="J176:J182" si="66">IF(H$12=0,0,H176/H$12)</f>
        <v>9.3974447900118589E-4</v>
      </c>
      <c r="K176" s="1"/>
      <c r="L176" s="1">
        <f t="shared" ref="L176:L182" si="67">+D176-H176</f>
        <v>-420</v>
      </c>
      <c r="M176" s="1"/>
      <c r="N176" s="5">
        <f t="shared" ref="N176:N182" si="68">IF(H176=0,0,L176/H176)</f>
        <v>-1</v>
      </c>
      <c r="O176" s="14"/>
      <c r="P176" s="1">
        <f>SUM(OSRRefP22_8x_0)</f>
        <v>107.7</v>
      </c>
      <c r="Q176" s="1"/>
      <c r="R176" s="5">
        <f t="shared" ref="R176:R182" si="69">IF(P$12=0,0,P176/P$12)</f>
        <v>2.7101435903526308E-5</v>
      </c>
      <c r="S176" s="1"/>
      <c r="T176" s="1">
        <f>SUM(OSRRefT22_8x_0)</f>
        <v>2570</v>
      </c>
      <c r="U176" s="1"/>
      <c r="V176" s="5">
        <f t="shared" ref="V176:V182" si="70">IF(T$12=0,0,T176/T$12)</f>
        <v>4.1880352883527481E-4</v>
      </c>
      <c r="W176" s="1"/>
      <c r="X176" s="1">
        <f t="shared" ref="X176:X182" si="71">+P176-T176</f>
        <v>-2462.3000000000002</v>
      </c>
      <c r="Y176" s="1"/>
      <c r="Z176" s="5">
        <f t="shared" ref="Z176:Z182" si="72">IF(T176=0,0,X176/T176)</f>
        <v>-0.95809338521400789</v>
      </c>
    </row>
    <row r="177" spans="1:26" s="24" customFormat="1" hidden="1" outlineLevel="2" x14ac:dyDescent="0.25">
      <c r="A177" s="29"/>
      <c r="B177" s="11" t="str">
        <f>CONCATENATE("          ", "6277", " - ", "EMPLOYEE APPRECIATION")</f>
        <v xml:space="preserve">          6277 - EMPLOYEE APPRECIATION</v>
      </c>
      <c r="C177" s="11"/>
      <c r="D177" s="7"/>
      <c r="E177" s="2"/>
      <c r="F177" s="6">
        <f t="shared" si="65"/>
        <v>0</v>
      </c>
      <c r="G177" s="2"/>
      <c r="H177" s="7">
        <v>420</v>
      </c>
      <c r="I177" s="2"/>
      <c r="J177" s="6">
        <f t="shared" si="66"/>
        <v>9.3974447900118589E-4</v>
      </c>
      <c r="K177" s="2"/>
      <c r="L177" s="7">
        <f t="shared" si="67"/>
        <v>-420</v>
      </c>
      <c r="M177" s="2"/>
      <c r="N177" s="6">
        <f t="shared" si="68"/>
        <v>-1</v>
      </c>
      <c r="O177" s="11"/>
      <c r="P177" s="7">
        <v>107.7</v>
      </c>
      <c r="Q177" s="2"/>
      <c r="R177" s="6">
        <f t="shared" si="69"/>
        <v>2.7101435903526308E-5</v>
      </c>
      <c r="S177" s="2"/>
      <c r="T177" s="7">
        <v>2570</v>
      </c>
      <c r="U177" s="2"/>
      <c r="V177" s="6">
        <f t="shared" si="70"/>
        <v>4.1880352883527481E-4</v>
      </c>
      <c r="W177" s="2"/>
      <c r="X177" s="7">
        <f t="shared" si="71"/>
        <v>-2462.3000000000002</v>
      </c>
      <c r="Y177" s="2"/>
      <c r="Z177" s="6">
        <f t="shared" si="72"/>
        <v>-0.95809338521400789</v>
      </c>
    </row>
    <row r="178" spans="1:26" s="28" customFormat="1" outlineLevel="1" collapsed="1" x14ac:dyDescent="0.25">
      <c r="A178" s="27"/>
      <c r="B178" s="14" t="str">
        <f>CONCATENATE("     ","Equipment Rental                                  ")</f>
        <v xml:space="preserve">     Equipment Rental                                  </v>
      </c>
      <c r="C178" s="14"/>
      <c r="D178" s="1">
        <f>SUM(OSRRefD22_9x_0)</f>
        <v>1296.9000000000001</v>
      </c>
      <c r="E178" s="1"/>
      <c r="F178" s="5">
        <f t="shared" si="65"/>
        <v>4.1424795773105693E-3</v>
      </c>
      <c r="G178" s="1"/>
      <c r="H178" s="1">
        <f>SUM(OSRRefH22_9x_0)</f>
        <v>3006</v>
      </c>
      <c r="I178" s="1"/>
      <c r="J178" s="5">
        <f t="shared" si="66"/>
        <v>6.7258854854227732E-3</v>
      </c>
      <c r="K178" s="1"/>
      <c r="L178" s="1">
        <f t="shared" si="67"/>
        <v>-1709.1</v>
      </c>
      <c r="M178" s="1"/>
      <c r="N178" s="5">
        <f t="shared" si="68"/>
        <v>-0.56856287425149699</v>
      </c>
      <c r="O178" s="14"/>
      <c r="P178" s="1">
        <f>SUM(OSRRefP22_9x_0)</f>
        <v>8976.74</v>
      </c>
      <c r="Q178" s="1"/>
      <c r="R178" s="5">
        <f t="shared" si="69"/>
        <v>2.2588908424570169E-3</v>
      </c>
      <c r="S178" s="1"/>
      <c r="T178" s="1">
        <f>SUM(OSRRefT22_9x_0)</f>
        <v>18036</v>
      </c>
      <c r="U178" s="1"/>
      <c r="V178" s="5">
        <f t="shared" si="70"/>
        <v>2.9391207961373604E-3</v>
      </c>
      <c r="W178" s="1"/>
      <c r="X178" s="1">
        <f t="shared" si="71"/>
        <v>-9059.26</v>
      </c>
      <c r="Y178" s="1"/>
      <c r="Z178" s="5">
        <f t="shared" si="72"/>
        <v>-0.50228764692836547</v>
      </c>
    </row>
    <row r="179" spans="1:26" s="24" customFormat="1" hidden="1" outlineLevel="2" x14ac:dyDescent="0.25">
      <c r="A179" s="29"/>
      <c r="B179" s="11" t="str">
        <f>CONCATENATE("          ", "6351", " - ", "EQUIPMENT RENTAL")</f>
        <v xml:space="preserve">          6351 - EQUIPMENT RENTAL</v>
      </c>
      <c r="C179" s="11"/>
      <c r="D179" s="7">
        <v>1296.9000000000001</v>
      </c>
      <c r="E179" s="2"/>
      <c r="F179" s="6">
        <f t="shared" si="65"/>
        <v>4.1424795773105693E-3</v>
      </c>
      <c r="G179" s="2"/>
      <c r="H179" s="7">
        <v>3006</v>
      </c>
      <c r="I179" s="2"/>
      <c r="J179" s="6">
        <f t="shared" si="66"/>
        <v>6.7258854854227732E-3</v>
      </c>
      <c r="K179" s="2"/>
      <c r="L179" s="7">
        <f t="shared" si="67"/>
        <v>-1709.1</v>
      </c>
      <c r="M179" s="2"/>
      <c r="N179" s="6">
        <f t="shared" si="68"/>
        <v>-0.56856287425149699</v>
      </c>
      <c r="O179" s="11"/>
      <c r="P179" s="7">
        <v>8976.74</v>
      </c>
      <c r="Q179" s="2"/>
      <c r="R179" s="6">
        <f t="shared" si="69"/>
        <v>2.2588908424570169E-3</v>
      </c>
      <c r="S179" s="2"/>
      <c r="T179" s="7">
        <v>18036</v>
      </c>
      <c r="U179" s="2"/>
      <c r="V179" s="6">
        <f t="shared" si="70"/>
        <v>2.9391207961373604E-3</v>
      </c>
      <c r="W179" s="2"/>
      <c r="X179" s="7">
        <f t="shared" si="71"/>
        <v>-9059.26</v>
      </c>
      <c r="Y179" s="2"/>
      <c r="Z179" s="6">
        <f t="shared" si="72"/>
        <v>-0.50228764692836547</v>
      </c>
    </row>
    <row r="180" spans="1:26" s="28" customFormat="1" outlineLevel="1" collapsed="1" x14ac:dyDescent="0.25">
      <c r="A180" s="27"/>
      <c r="B180" s="14" t="str">
        <f>CONCATENATE("     ","Freight out/Postage                               ")</f>
        <v xml:space="preserve">     Freight out/Postage                               </v>
      </c>
      <c r="C180" s="14"/>
      <c r="D180" s="1">
        <f>SUM(OSRRefD22_10x_0)</f>
        <v>4349.5</v>
      </c>
      <c r="E180" s="1"/>
      <c r="F180" s="5">
        <f t="shared" si="65"/>
        <v>1.3892909955673004E-2</v>
      </c>
      <c r="G180" s="1"/>
      <c r="H180" s="1">
        <f>SUM(OSRRefH22_10x_0)</f>
        <v>8593</v>
      </c>
      <c r="I180" s="1"/>
      <c r="J180" s="5">
        <f t="shared" si="66"/>
        <v>1.9226724542993311E-2</v>
      </c>
      <c r="K180" s="1"/>
      <c r="L180" s="1">
        <f t="shared" si="67"/>
        <v>-4243.5</v>
      </c>
      <c r="M180" s="1"/>
      <c r="N180" s="5">
        <f t="shared" si="68"/>
        <v>-0.4938321889910392</v>
      </c>
      <c r="O180" s="14"/>
      <c r="P180" s="1">
        <f>SUM(OSRRefP22_10x_0)</f>
        <v>-14177.690000000017</v>
      </c>
      <c r="Q180" s="1"/>
      <c r="R180" s="5">
        <f t="shared" si="69"/>
        <v>-3.5676486239096224E-3</v>
      </c>
      <c r="S180" s="1"/>
      <c r="T180" s="1">
        <f>SUM(OSRRefT22_10x_0)</f>
        <v>52165</v>
      </c>
      <c r="U180" s="1"/>
      <c r="V180" s="5">
        <f t="shared" si="70"/>
        <v>8.5007338839268917E-3</v>
      </c>
      <c r="W180" s="1"/>
      <c r="X180" s="1">
        <f t="shared" si="71"/>
        <v>-66342.690000000017</v>
      </c>
      <c r="Y180" s="1"/>
      <c r="Z180" s="5">
        <f t="shared" si="72"/>
        <v>-1.2717854883542608</v>
      </c>
    </row>
    <row r="181" spans="1:26" s="24" customFormat="1" hidden="1" outlineLevel="2" x14ac:dyDescent="0.25">
      <c r="A181" s="29"/>
      <c r="B181" s="11" t="str">
        <f>CONCATENATE("          ", "6305", " - ", "FREIGHT OUT")</f>
        <v xml:space="preserve">          6305 - FREIGHT OUT</v>
      </c>
      <c r="C181" s="11"/>
      <c r="D181" s="7">
        <v>13756.07</v>
      </c>
      <c r="E181" s="2"/>
      <c r="F181" s="6">
        <f t="shared" si="65"/>
        <v>4.3938807185638522E-2</v>
      </c>
      <c r="G181" s="2"/>
      <c r="H181" s="7">
        <v>5073</v>
      </c>
      <c r="I181" s="2"/>
      <c r="J181" s="6">
        <f t="shared" si="66"/>
        <v>1.1350770814221466E-2</v>
      </c>
      <c r="K181" s="2"/>
      <c r="L181" s="7">
        <f t="shared" si="67"/>
        <v>8683.07</v>
      </c>
      <c r="M181" s="2"/>
      <c r="N181" s="6">
        <f t="shared" si="68"/>
        <v>1.7116242854326829</v>
      </c>
      <c r="O181" s="11"/>
      <c r="P181" s="7">
        <v>117632.08</v>
      </c>
      <c r="Q181" s="2"/>
      <c r="R181" s="6">
        <f t="shared" si="69"/>
        <v>2.9600726799614473E-2</v>
      </c>
      <c r="S181" s="2"/>
      <c r="T181" s="7">
        <v>32795</v>
      </c>
      <c r="U181" s="2"/>
      <c r="V181" s="6">
        <f t="shared" si="70"/>
        <v>5.3442263533668623E-3</v>
      </c>
      <c r="W181" s="2"/>
      <c r="X181" s="7">
        <f t="shared" si="71"/>
        <v>84837.08</v>
      </c>
      <c r="Y181" s="2"/>
      <c r="Z181" s="6">
        <f t="shared" si="72"/>
        <v>2.5868906845555726</v>
      </c>
    </row>
    <row r="182" spans="1:26" s="24" customFormat="1" hidden="1" outlineLevel="2" x14ac:dyDescent="0.25">
      <c r="A182" s="29"/>
      <c r="B182" s="11" t="str">
        <f>CONCATENATE("          ", "6307", " - ", "POSTAGE")</f>
        <v xml:space="preserve">          6307 - POSTAGE</v>
      </c>
      <c r="C182" s="11"/>
      <c r="D182" s="7">
        <v>-9406.57</v>
      </c>
      <c r="E182" s="2"/>
      <c r="F182" s="6">
        <f t="shared" si="65"/>
        <v>-3.0045897229965514E-2</v>
      </c>
      <c r="G182" s="2"/>
      <c r="H182" s="7">
        <v>3520</v>
      </c>
      <c r="I182" s="2"/>
      <c r="J182" s="6">
        <f t="shared" si="66"/>
        <v>7.875953728771843E-3</v>
      </c>
      <c r="K182" s="2"/>
      <c r="L182" s="7">
        <f t="shared" si="67"/>
        <v>-12926.57</v>
      </c>
      <c r="M182" s="2"/>
      <c r="N182" s="6">
        <f t="shared" si="68"/>
        <v>-3.6723210227272727</v>
      </c>
      <c r="O182" s="11"/>
      <c r="P182" s="7">
        <v>-131809.77000000002</v>
      </c>
      <c r="Q182" s="2"/>
      <c r="R182" s="6">
        <f t="shared" si="69"/>
        <v>-3.3168375423524098E-2</v>
      </c>
      <c r="S182" s="2"/>
      <c r="T182" s="7">
        <v>19370</v>
      </c>
      <c r="U182" s="2"/>
      <c r="V182" s="6">
        <f t="shared" si="70"/>
        <v>3.1565075305600284E-3</v>
      </c>
      <c r="W182" s="2"/>
      <c r="X182" s="7">
        <f t="shared" si="71"/>
        <v>-151179.77000000002</v>
      </c>
      <c r="Y182" s="2"/>
      <c r="Z182" s="6">
        <f t="shared" si="72"/>
        <v>-7.8048409912235428</v>
      </c>
    </row>
    <row r="183" spans="1:26" s="28" customFormat="1" outlineLevel="1" collapsed="1" x14ac:dyDescent="0.25">
      <c r="A183" s="27"/>
      <c r="B183" s="14" t="str">
        <f>CONCATENATE("     ","General                                           ")</f>
        <v xml:space="preserve">     General                                           </v>
      </c>
      <c r="C183" s="14"/>
      <c r="D183" s="1">
        <f>SUM(OSRRefD22_11x_0)</f>
        <v>1744.47</v>
      </c>
      <c r="E183" s="1"/>
      <c r="F183" s="5">
        <f t="shared" ref="F183:F186" si="73">IF(D$12=0,0,D183/D$12)</f>
        <v>5.5720806139493931E-3</v>
      </c>
      <c r="G183" s="1"/>
      <c r="H183" s="1">
        <f>SUM(OSRRefH22_11x_0)</f>
        <v>730</v>
      </c>
      <c r="I183" s="1"/>
      <c r="J183" s="5">
        <f t="shared" ref="J183:J186" si="74">IF(H$12=0,0,H183/H$12)</f>
        <v>1.6333654039782516E-3</v>
      </c>
      <c r="K183" s="1"/>
      <c r="L183" s="1">
        <f t="shared" ref="L183:L186" si="75">+D183-H183</f>
        <v>1014.47</v>
      </c>
      <c r="M183" s="1"/>
      <c r="N183" s="5">
        <f t="shared" ref="N183:N186" si="76">IF(H183=0,0,L183/H183)</f>
        <v>1.3896849315068494</v>
      </c>
      <c r="O183" s="14"/>
      <c r="P183" s="1">
        <f>SUM(OSRRefP22_11x_0)</f>
        <v>2260.2199999999998</v>
      </c>
      <c r="Q183" s="1"/>
      <c r="R183" s="5">
        <f t="shared" ref="R183:R186" si="77">IF(P$12=0,0,P183/P$12)</f>
        <v>5.6875772941381822E-4</v>
      </c>
      <c r="S183" s="1"/>
      <c r="T183" s="1">
        <f>SUM(OSRRefT22_11x_0)</f>
        <v>7255</v>
      </c>
      <c r="U183" s="1"/>
      <c r="V183" s="5">
        <f t="shared" ref="V183:V186" si="78">IF(T$12=0,0,T183/T$12)</f>
        <v>1.1822644364591123E-3</v>
      </c>
      <c r="W183" s="1"/>
      <c r="X183" s="1">
        <f t="shared" ref="X183:X186" si="79">+P183-T183</f>
        <v>-4994.7800000000007</v>
      </c>
      <c r="Y183" s="1"/>
      <c r="Z183" s="5">
        <f t="shared" ref="Z183:Z186" si="80">IF(T183=0,0,X183/T183)</f>
        <v>-0.68846037215713307</v>
      </c>
    </row>
    <row r="184" spans="1:26" s="24" customFormat="1" hidden="1" outlineLevel="2" x14ac:dyDescent="0.25">
      <c r="A184" s="29"/>
      <c r="B184" s="11" t="str">
        <f>CONCATENATE("          ", "6269", " - ", "ENTERTAINMENT")</f>
        <v xml:space="preserve">          6269 - ENTERTAINMENT</v>
      </c>
      <c r="C184" s="11"/>
      <c r="D184" s="7"/>
      <c r="E184" s="2"/>
      <c r="F184" s="6">
        <f t="shared" si="73"/>
        <v>0</v>
      </c>
      <c r="G184" s="2"/>
      <c r="H184" s="7">
        <v>0</v>
      </c>
      <c r="I184" s="2"/>
      <c r="J184" s="6">
        <f t="shared" si="74"/>
        <v>0</v>
      </c>
      <c r="K184" s="2"/>
      <c r="L184" s="7">
        <f t="shared" si="75"/>
        <v>0</v>
      </c>
      <c r="M184" s="2"/>
      <c r="N184" s="6">
        <f t="shared" si="76"/>
        <v>0</v>
      </c>
      <c r="O184" s="11"/>
      <c r="P184" s="7"/>
      <c r="Q184" s="2"/>
      <c r="R184" s="6">
        <f t="shared" si="77"/>
        <v>0</v>
      </c>
      <c r="S184" s="2"/>
      <c r="T184" s="7">
        <v>1375</v>
      </c>
      <c r="U184" s="2"/>
      <c r="V184" s="6">
        <f t="shared" si="78"/>
        <v>2.2406803585544858E-4</v>
      </c>
      <c r="W184" s="2"/>
      <c r="X184" s="7">
        <f t="shared" si="79"/>
        <v>-1375</v>
      </c>
      <c r="Y184" s="2"/>
      <c r="Z184" s="6">
        <f t="shared" si="80"/>
        <v>-1</v>
      </c>
    </row>
    <row r="185" spans="1:26" s="24" customFormat="1" hidden="1" outlineLevel="2" x14ac:dyDescent="0.25">
      <c r="A185" s="29"/>
      <c r="B185" s="11" t="str">
        <f>CONCATENATE("          ", "6276", " - ", "PROPERTY TAX")</f>
        <v xml:space="preserve">          6276 - PROPERTY TAX</v>
      </c>
      <c r="C185" s="11"/>
      <c r="D185" s="7"/>
      <c r="E185" s="2"/>
      <c r="F185" s="6">
        <f t="shared" si="73"/>
        <v>0</v>
      </c>
      <c r="G185" s="2"/>
      <c r="H185" s="7"/>
      <c r="I185" s="2"/>
      <c r="J185" s="6">
        <f t="shared" si="74"/>
        <v>0</v>
      </c>
      <c r="K185" s="2"/>
      <c r="L185" s="7">
        <f t="shared" si="75"/>
        <v>0</v>
      </c>
      <c r="M185" s="2"/>
      <c r="N185" s="6">
        <f t="shared" si="76"/>
        <v>0</v>
      </c>
      <c r="O185" s="11"/>
      <c r="P185" s="7"/>
      <c r="Q185" s="2"/>
      <c r="R185" s="6">
        <f t="shared" si="77"/>
        <v>0</v>
      </c>
      <c r="S185" s="2"/>
      <c r="T185" s="7">
        <v>150</v>
      </c>
      <c r="U185" s="2"/>
      <c r="V185" s="6">
        <f t="shared" si="78"/>
        <v>2.4443785729685298E-5</v>
      </c>
      <c r="W185" s="2"/>
      <c r="X185" s="7">
        <f t="shared" si="79"/>
        <v>-150</v>
      </c>
      <c r="Y185" s="2"/>
      <c r="Z185" s="6">
        <f t="shared" si="80"/>
        <v>-1</v>
      </c>
    </row>
    <row r="186" spans="1:26" s="24" customFormat="1" hidden="1" outlineLevel="2" x14ac:dyDescent="0.25">
      <c r="A186" s="29"/>
      <c r="B186" s="11" t="str">
        <f>CONCATENATE("          ", "6279", " - ", "GENERAL EXPENSE")</f>
        <v xml:space="preserve">          6279 - GENERAL EXPENSE</v>
      </c>
      <c r="C186" s="11"/>
      <c r="D186" s="7">
        <v>1744.47</v>
      </c>
      <c r="E186" s="2"/>
      <c r="F186" s="6">
        <f t="shared" si="73"/>
        <v>5.5720806139493931E-3</v>
      </c>
      <c r="G186" s="2"/>
      <c r="H186" s="7">
        <v>730</v>
      </c>
      <c r="I186" s="2"/>
      <c r="J186" s="6">
        <f t="shared" si="74"/>
        <v>1.6333654039782516E-3</v>
      </c>
      <c r="K186" s="2"/>
      <c r="L186" s="7">
        <f t="shared" si="75"/>
        <v>1014.47</v>
      </c>
      <c r="M186" s="2"/>
      <c r="N186" s="6">
        <f t="shared" si="76"/>
        <v>1.3896849315068494</v>
      </c>
      <c r="O186" s="11"/>
      <c r="P186" s="7">
        <v>2260.2199999999998</v>
      </c>
      <c r="Q186" s="2"/>
      <c r="R186" s="6">
        <f t="shared" si="77"/>
        <v>5.6875772941381822E-4</v>
      </c>
      <c r="S186" s="2"/>
      <c r="T186" s="7">
        <v>5730</v>
      </c>
      <c r="U186" s="2"/>
      <c r="V186" s="6">
        <f t="shared" si="78"/>
        <v>9.3375261487397838E-4</v>
      </c>
      <c r="W186" s="2"/>
      <c r="X186" s="7">
        <f t="shared" si="79"/>
        <v>-3469.78</v>
      </c>
      <c r="Y186" s="2"/>
      <c r="Z186" s="6">
        <f t="shared" si="80"/>
        <v>-0.60554624781849919</v>
      </c>
    </row>
    <row r="187" spans="1:26" s="28" customFormat="1" outlineLevel="1" collapsed="1" x14ac:dyDescent="0.25">
      <c r="A187" s="27"/>
      <c r="B187" s="14" t="str">
        <f>CONCATENATE("     ","Insurance                                         ")</f>
        <v xml:space="preserve">     Insurance                                         </v>
      </c>
      <c r="C187" s="14"/>
      <c r="D187" s="1">
        <f>SUM(OSRRefD22_12x_0)</f>
        <v>4044.74</v>
      </c>
      <c r="E187" s="1"/>
      <c r="F187" s="5">
        <f t="shared" ref="F187:F199" si="81">IF(D$12=0,0,D187/D$12)</f>
        <v>1.29194639876098E-2</v>
      </c>
      <c r="G187" s="1"/>
      <c r="H187" s="1">
        <f>SUM(OSRRefH22_12x_0)</f>
        <v>4446</v>
      </c>
      <c r="I187" s="1"/>
      <c r="J187" s="5">
        <f t="shared" ref="J187:J199" si="82">IF(H$12=0,0,H187/H$12)</f>
        <v>9.9478665562839821E-3</v>
      </c>
      <c r="K187" s="1"/>
      <c r="L187" s="1">
        <f t="shared" ref="L187:L199" si="83">+D187-H187</f>
        <v>-401.26000000000022</v>
      </c>
      <c r="M187" s="1"/>
      <c r="N187" s="5">
        <f t="shared" ref="N187:N199" si="84">IF(H187=0,0,L187/H187)</f>
        <v>-9.0251911830859247E-2</v>
      </c>
      <c r="O187" s="14"/>
      <c r="P187" s="1">
        <f>SUM(OSRRefP22_12x_0)</f>
        <v>24268.44</v>
      </c>
      <c r="Q187" s="1"/>
      <c r="R187" s="5">
        <f t="shared" ref="R187:R199" si="85">IF(P$12=0,0,P187/P$12)</f>
        <v>6.1068669557899158E-3</v>
      </c>
      <c r="S187" s="1"/>
      <c r="T187" s="1">
        <f>SUM(OSRRefT22_12x_0)</f>
        <v>26676</v>
      </c>
      <c r="U187" s="1"/>
      <c r="V187" s="5">
        <f t="shared" ref="V187:V199" si="86">IF(T$12=0,0,T187/T$12)</f>
        <v>4.3470828541672338E-3</v>
      </c>
      <c r="W187" s="1"/>
      <c r="X187" s="1">
        <f t="shared" ref="X187:X199" si="87">+P187-T187</f>
        <v>-2407.5600000000013</v>
      </c>
      <c r="Y187" s="1"/>
      <c r="Z187" s="5">
        <f t="shared" ref="Z187:Z199" si="88">IF(T187=0,0,X187/T187)</f>
        <v>-9.0251911830859247E-2</v>
      </c>
    </row>
    <row r="188" spans="1:26" s="24" customFormat="1" hidden="1" outlineLevel="2" x14ac:dyDescent="0.25">
      <c r="A188" s="29"/>
      <c r="B188" s="11" t="str">
        <f>CONCATENATE("          ", "6314", " - ", "LIABILITY INSURANCE")</f>
        <v xml:space="preserve">          6314 - LIABILITY INSURANCE</v>
      </c>
      <c r="C188" s="11"/>
      <c r="D188" s="7">
        <v>4044.74</v>
      </c>
      <c r="E188" s="2"/>
      <c r="F188" s="6">
        <f t="shared" si="81"/>
        <v>1.29194639876098E-2</v>
      </c>
      <c r="G188" s="2"/>
      <c r="H188" s="7">
        <v>4446</v>
      </c>
      <c r="I188" s="2"/>
      <c r="J188" s="6">
        <f t="shared" si="82"/>
        <v>9.9478665562839821E-3</v>
      </c>
      <c r="K188" s="2"/>
      <c r="L188" s="7">
        <f t="shared" si="83"/>
        <v>-401.26000000000022</v>
      </c>
      <c r="M188" s="2"/>
      <c r="N188" s="6">
        <f t="shared" si="84"/>
        <v>-9.0251911830859247E-2</v>
      </c>
      <c r="O188" s="11"/>
      <c r="P188" s="7">
        <v>24268.44</v>
      </c>
      <c r="Q188" s="2"/>
      <c r="R188" s="6">
        <f t="shared" si="85"/>
        <v>6.1068669557899158E-3</v>
      </c>
      <c r="S188" s="2"/>
      <c r="T188" s="7">
        <v>26676</v>
      </c>
      <c r="U188" s="2"/>
      <c r="V188" s="6">
        <f t="shared" si="86"/>
        <v>4.3470828541672338E-3</v>
      </c>
      <c r="W188" s="2"/>
      <c r="X188" s="7">
        <f t="shared" si="87"/>
        <v>-2407.5600000000013</v>
      </c>
      <c r="Y188" s="2"/>
      <c r="Z188" s="6">
        <f t="shared" si="88"/>
        <v>-9.0251911830859247E-2</v>
      </c>
    </row>
    <row r="189" spans="1:26" s="28" customFormat="1" outlineLevel="1" collapsed="1" x14ac:dyDescent="0.25">
      <c r="A189" s="27"/>
      <c r="B189" s="14" t="str">
        <f>CONCATENATE("     ","Inventory Adjustment                              ")</f>
        <v xml:space="preserve">     Inventory Adjustment                              </v>
      </c>
      <c r="C189" s="14"/>
      <c r="D189" s="1">
        <f>SUM(OSRRefD22_13x_0)</f>
        <v>8350</v>
      </c>
      <c r="E189" s="1"/>
      <c r="F189" s="5">
        <f t="shared" si="81"/>
        <v>2.6671065209764245E-2</v>
      </c>
      <c r="G189" s="1"/>
      <c r="H189" s="1">
        <f>SUM(OSRRefH22_13x_0)</f>
        <v>9350</v>
      </c>
      <c r="I189" s="1"/>
      <c r="J189" s="5">
        <f t="shared" si="82"/>
        <v>2.0920502092050208E-2</v>
      </c>
      <c r="K189" s="1"/>
      <c r="L189" s="1">
        <f t="shared" si="83"/>
        <v>-1000</v>
      </c>
      <c r="M189" s="1"/>
      <c r="N189" s="5">
        <f t="shared" si="84"/>
        <v>-0.10695187165775401</v>
      </c>
      <c r="O189" s="14"/>
      <c r="P189" s="1">
        <f>SUM(OSRRefP22_13x_0)</f>
        <v>25100</v>
      </c>
      <c r="Q189" s="1"/>
      <c r="R189" s="5">
        <f t="shared" si="85"/>
        <v>6.3161192309982381E-3</v>
      </c>
      <c r="S189" s="1"/>
      <c r="T189" s="1">
        <f>SUM(OSRRefT22_13x_0)</f>
        <v>31100</v>
      </c>
      <c r="U189" s="1"/>
      <c r="V189" s="5">
        <f t="shared" si="86"/>
        <v>5.0680115746214189E-3</v>
      </c>
      <c r="W189" s="1"/>
      <c r="X189" s="1">
        <f t="shared" si="87"/>
        <v>-6000</v>
      </c>
      <c r="Y189" s="1"/>
      <c r="Z189" s="5">
        <f t="shared" si="88"/>
        <v>-0.19292604501607716</v>
      </c>
    </row>
    <row r="190" spans="1:26" s="24" customFormat="1" hidden="1" outlineLevel="2" x14ac:dyDescent="0.25">
      <c r="A190" s="29"/>
      <c r="B190" s="11" t="str">
        <f>CONCATENATE("          ", "6408", " - ", "INVENTORY ADJUSTMENT")</f>
        <v xml:space="preserve">          6408 - INVENTORY ADJUSTMENT</v>
      </c>
      <c r="C190" s="11"/>
      <c r="D190" s="7">
        <v>8350</v>
      </c>
      <c r="E190" s="2"/>
      <c r="F190" s="6">
        <f t="shared" si="81"/>
        <v>2.6671065209764245E-2</v>
      </c>
      <c r="G190" s="2"/>
      <c r="H190" s="7">
        <v>9350</v>
      </c>
      <c r="I190" s="2"/>
      <c r="J190" s="6">
        <f t="shared" si="82"/>
        <v>2.0920502092050208E-2</v>
      </c>
      <c r="K190" s="2"/>
      <c r="L190" s="7">
        <f t="shared" si="83"/>
        <v>-1000</v>
      </c>
      <c r="M190" s="2"/>
      <c r="N190" s="6">
        <f t="shared" si="84"/>
        <v>-0.10695187165775401</v>
      </c>
      <c r="O190" s="11"/>
      <c r="P190" s="7">
        <v>25100</v>
      </c>
      <c r="Q190" s="2"/>
      <c r="R190" s="6">
        <f t="shared" si="85"/>
        <v>6.3161192309982381E-3</v>
      </c>
      <c r="S190" s="2"/>
      <c r="T190" s="7">
        <v>31100</v>
      </c>
      <c r="U190" s="2"/>
      <c r="V190" s="6">
        <f t="shared" si="86"/>
        <v>5.0680115746214189E-3</v>
      </c>
      <c r="W190" s="2"/>
      <c r="X190" s="7">
        <f t="shared" si="87"/>
        <v>-6000</v>
      </c>
      <c r="Y190" s="2"/>
      <c r="Z190" s="6">
        <f t="shared" si="88"/>
        <v>-0.19292604501607716</v>
      </c>
    </row>
    <row r="191" spans="1:26" s="28" customFormat="1" outlineLevel="1" collapsed="1" x14ac:dyDescent="0.25">
      <c r="A191" s="27"/>
      <c r="B191" s="14" t="str">
        <f>CONCATENATE("     ","Professional Services                             ")</f>
        <v xml:space="preserve">     Professional Services                             </v>
      </c>
      <c r="C191" s="14"/>
      <c r="D191" s="1">
        <f>SUM(OSRRefD22_14x_0)</f>
        <v>0</v>
      </c>
      <c r="E191" s="1"/>
      <c r="F191" s="5">
        <f t="shared" si="81"/>
        <v>0</v>
      </c>
      <c r="G191" s="1"/>
      <c r="H191" s="1">
        <f>SUM(OSRRefH22_14x_0)</f>
        <v>0</v>
      </c>
      <c r="I191" s="1"/>
      <c r="J191" s="5">
        <f t="shared" si="82"/>
        <v>0</v>
      </c>
      <c r="K191" s="1"/>
      <c r="L191" s="1">
        <f t="shared" si="83"/>
        <v>0</v>
      </c>
      <c r="M191" s="1"/>
      <c r="N191" s="5">
        <f t="shared" si="84"/>
        <v>0</v>
      </c>
      <c r="O191" s="14"/>
      <c r="P191" s="1">
        <f>SUM(OSRRefP22_14x_0)</f>
        <v>0</v>
      </c>
      <c r="Q191" s="1"/>
      <c r="R191" s="5">
        <f t="shared" si="85"/>
        <v>0</v>
      </c>
      <c r="S191" s="1"/>
      <c r="T191" s="1">
        <f>SUM(OSRRefT22_14x_0)</f>
        <v>6800</v>
      </c>
      <c r="U191" s="1"/>
      <c r="V191" s="5">
        <f t="shared" si="86"/>
        <v>1.1081182864124003E-3</v>
      </c>
      <c r="W191" s="1"/>
      <c r="X191" s="1">
        <f t="shared" si="87"/>
        <v>-6800</v>
      </c>
      <c r="Y191" s="1"/>
      <c r="Z191" s="5">
        <f t="shared" si="88"/>
        <v>-1</v>
      </c>
    </row>
    <row r="192" spans="1:26" s="24" customFormat="1" hidden="1" outlineLevel="2" x14ac:dyDescent="0.25">
      <c r="A192" s="29"/>
      <c r="B192" s="11" t="str">
        <f>CONCATENATE("          ", "6336", " - ", "PROFESSIONAL SERVICES")</f>
        <v xml:space="preserve">          6336 - PROFESSIONAL SERVICES</v>
      </c>
      <c r="C192" s="11"/>
      <c r="D192" s="7"/>
      <c r="E192" s="2"/>
      <c r="F192" s="6">
        <f t="shared" si="81"/>
        <v>0</v>
      </c>
      <c r="G192" s="2"/>
      <c r="H192" s="7">
        <v>0</v>
      </c>
      <c r="I192" s="2"/>
      <c r="J192" s="6">
        <f t="shared" si="82"/>
        <v>0</v>
      </c>
      <c r="K192" s="2"/>
      <c r="L192" s="7">
        <f t="shared" si="83"/>
        <v>0</v>
      </c>
      <c r="M192" s="2"/>
      <c r="N192" s="6">
        <f t="shared" si="84"/>
        <v>0</v>
      </c>
      <c r="O192" s="11"/>
      <c r="P192" s="7"/>
      <c r="Q192" s="2"/>
      <c r="R192" s="6">
        <f t="shared" si="85"/>
        <v>0</v>
      </c>
      <c r="S192" s="2"/>
      <c r="T192" s="7">
        <v>6800</v>
      </c>
      <c r="U192" s="2"/>
      <c r="V192" s="6">
        <f t="shared" si="86"/>
        <v>1.1081182864124003E-3</v>
      </c>
      <c r="W192" s="2"/>
      <c r="X192" s="7">
        <f t="shared" si="87"/>
        <v>-6800</v>
      </c>
      <c r="Y192" s="2"/>
      <c r="Z192" s="6">
        <f t="shared" si="88"/>
        <v>-1</v>
      </c>
    </row>
    <row r="193" spans="1:26" s="28" customFormat="1" outlineLevel="1" collapsed="1" x14ac:dyDescent="0.25">
      <c r="A193" s="27"/>
      <c r="B193" s="14" t="str">
        <f>CONCATENATE("     ","Rent                                              ")</f>
        <v xml:space="preserve">     Rent                                              </v>
      </c>
      <c r="C193" s="14"/>
      <c r="D193" s="1">
        <f>SUM(OSRRefD22_15x_0)</f>
        <v>6100</v>
      </c>
      <c r="E193" s="1"/>
      <c r="F193" s="5">
        <f t="shared" si="81"/>
        <v>1.9484251231085256E-2</v>
      </c>
      <c r="G193" s="1"/>
      <c r="H193" s="1">
        <f>SUM(OSRRefH22_15x_0)</f>
        <v>6100</v>
      </c>
      <c r="I193" s="1"/>
      <c r="J193" s="5">
        <f t="shared" si="82"/>
        <v>1.3648669814064842E-2</v>
      </c>
      <c r="K193" s="1"/>
      <c r="L193" s="1">
        <f t="shared" si="83"/>
        <v>0</v>
      </c>
      <c r="M193" s="1"/>
      <c r="N193" s="5">
        <f t="shared" si="84"/>
        <v>0</v>
      </c>
      <c r="O193" s="14"/>
      <c r="P193" s="1">
        <f>SUM(OSRRefP22_15x_0)</f>
        <v>36600</v>
      </c>
      <c r="Q193" s="1"/>
      <c r="R193" s="5">
        <f t="shared" si="85"/>
        <v>9.2099587193042037E-3</v>
      </c>
      <c r="S193" s="1"/>
      <c r="T193" s="1">
        <f>SUM(OSRRefT22_15x_0)</f>
        <v>36601</v>
      </c>
      <c r="U193" s="1"/>
      <c r="V193" s="5">
        <f t="shared" si="86"/>
        <v>5.9644466766147443E-3</v>
      </c>
      <c r="W193" s="1"/>
      <c r="X193" s="1">
        <f t="shared" si="87"/>
        <v>-1</v>
      </c>
      <c r="Y193" s="1"/>
      <c r="Z193" s="5">
        <f t="shared" si="88"/>
        <v>-2.7321657878200048E-5</v>
      </c>
    </row>
    <row r="194" spans="1:26" s="24" customFormat="1" hidden="1" outlineLevel="2" x14ac:dyDescent="0.25">
      <c r="A194" s="29"/>
      <c r="B194" s="11" t="str">
        <f>CONCATENATE("          ", "6273", " - ", "RENT")</f>
        <v xml:space="preserve">          6273 - RENT</v>
      </c>
      <c r="C194" s="11"/>
      <c r="D194" s="7">
        <v>6100</v>
      </c>
      <c r="E194" s="2"/>
      <c r="F194" s="6">
        <f t="shared" si="81"/>
        <v>1.9484251231085256E-2</v>
      </c>
      <c r="G194" s="2"/>
      <c r="H194" s="7">
        <v>6100</v>
      </c>
      <c r="I194" s="2"/>
      <c r="J194" s="6">
        <f t="shared" si="82"/>
        <v>1.3648669814064842E-2</v>
      </c>
      <c r="K194" s="2"/>
      <c r="L194" s="7">
        <f t="shared" si="83"/>
        <v>0</v>
      </c>
      <c r="M194" s="2"/>
      <c r="N194" s="6">
        <f t="shared" si="84"/>
        <v>0</v>
      </c>
      <c r="O194" s="11"/>
      <c r="P194" s="7">
        <v>36600</v>
      </c>
      <c r="Q194" s="2"/>
      <c r="R194" s="6">
        <f t="shared" si="85"/>
        <v>9.2099587193042037E-3</v>
      </c>
      <c r="S194" s="2"/>
      <c r="T194" s="7">
        <v>36601</v>
      </c>
      <c r="U194" s="2"/>
      <c r="V194" s="6">
        <f t="shared" si="86"/>
        <v>5.9644466766147443E-3</v>
      </c>
      <c r="W194" s="2"/>
      <c r="X194" s="7">
        <f t="shared" si="87"/>
        <v>-1</v>
      </c>
      <c r="Y194" s="2"/>
      <c r="Z194" s="6">
        <f t="shared" si="88"/>
        <v>-2.7321657878200048E-5</v>
      </c>
    </row>
    <row r="195" spans="1:26" s="28" customFormat="1" outlineLevel="1" collapsed="1" x14ac:dyDescent="0.25">
      <c r="A195" s="27"/>
      <c r="B195" s="14" t="str">
        <f>CONCATENATE("     ","Repair and Maintenance                            ")</f>
        <v xml:space="preserve">     Repair and Maintenance                            </v>
      </c>
      <c r="C195" s="14"/>
      <c r="D195" s="1">
        <f>SUM(OSRRefD22_16x_0)</f>
        <v>7951.17</v>
      </c>
      <c r="E195" s="1"/>
      <c r="F195" s="5">
        <f t="shared" si="81"/>
        <v>2.5397146534601338E-2</v>
      </c>
      <c r="G195" s="1"/>
      <c r="H195" s="1">
        <f>SUM(OSRRefH22_16x_0)</f>
        <v>14410</v>
      </c>
      <c r="I195" s="1"/>
      <c r="J195" s="5">
        <f t="shared" si="82"/>
        <v>3.2242185577159736E-2</v>
      </c>
      <c r="K195" s="1"/>
      <c r="L195" s="1">
        <f t="shared" si="83"/>
        <v>-6458.83</v>
      </c>
      <c r="M195" s="1"/>
      <c r="N195" s="5">
        <f t="shared" si="84"/>
        <v>-0.44821859819569743</v>
      </c>
      <c r="O195" s="14"/>
      <c r="P195" s="1">
        <f>SUM(OSRRefP22_16x_0)</f>
        <v>109130.31999999999</v>
      </c>
      <c r="Q195" s="1"/>
      <c r="R195" s="5">
        <f t="shared" si="85"/>
        <v>2.7461359077170983E-2</v>
      </c>
      <c r="S195" s="1"/>
      <c r="T195" s="1">
        <f>SUM(OSRRefT22_16x_0)</f>
        <v>128665</v>
      </c>
      <c r="U195" s="1"/>
      <c r="V195" s="5">
        <f t="shared" si="86"/>
        <v>2.0967064606066392E-2</v>
      </c>
      <c r="W195" s="1"/>
      <c r="X195" s="1">
        <f t="shared" si="87"/>
        <v>-19534.680000000008</v>
      </c>
      <c r="Y195" s="1"/>
      <c r="Z195" s="5">
        <f t="shared" si="88"/>
        <v>-0.15182590448062805</v>
      </c>
    </row>
    <row r="196" spans="1:26" s="24" customFormat="1" hidden="1" outlineLevel="2" x14ac:dyDescent="0.25">
      <c r="A196" s="29"/>
      <c r="B196" s="11" t="str">
        <f>CONCATENATE("          ", "6371", " - ", "COMPUTER SOFTWARE MAINTENANCE")</f>
        <v xml:space="preserve">          6371 - COMPUTER SOFTWARE MAINTENANCE</v>
      </c>
      <c r="C196" s="11"/>
      <c r="D196" s="7"/>
      <c r="E196" s="2"/>
      <c r="F196" s="6">
        <f t="shared" si="81"/>
        <v>0</v>
      </c>
      <c r="G196" s="2"/>
      <c r="H196" s="7"/>
      <c r="I196" s="2"/>
      <c r="J196" s="6">
        <f t="shared" si="82"/>
        <v>0</v>
      </c>
      <c r="K196" s="2"/>
      <c r="L196" s="7">
        <f t="shared" si="83"/>
        <v>0</v>
      </c>
      <c r="M196" s="2"/>
      <c r="N196" s="6">
        <f t="shared" si="84"/>
        <v>0</v>
      </c>
      <c r="O196" s="11"/>
      <c r="P196" s="7">
        <v>58436.47</v>
      </c>
      <c r="Q196" s="2"/>
      <c r="R196" s="6">
        <f t="shared" si="85"/>
        <v>1.4704849082017994E-2</v>
      </c>
      <c r="S196" s="2"/>
      <c r="T196" s="7">
        <v>45000</v>
      </c>
      <c r="U196" s="2"/>
      <c r="V196" s="6">
        <f t="shared" si="86"/>
        <v>7.3331357189055897E-3</v>
      </c>
      <c r="W196" s="2"/>
      <c r="X196" s="7">
        <f t="shared" si="87"/>
        <v>13436.470000000001</v>
      </c>
      <c r="Y196" s="2"/>
      <c r="Z196" s="6">
        <f t="shared" si="88"/>
        <v>0.29858822222222225</v>
      </c>
    </row>
    <row r="197" spans="1:26" s="24" customFormat="1" hidden="1" outlineLevel="2" x14ac:dyDescent="0.25">
      <c r="A197" s="29"/>
      <c r="B197" s="11" t="str">
        <f>CONCATENATE("          ", "6372", " - ", "COMPUTER HARDWARE MAINTENANCE")</f>
        <v xml:space="preserve">          6372 - COMPUTER HARDWARE MAINTENANCE</v>
      </c>
      <c r="C197" s="11"/>
      <c r="D197" s="7"/>
      <c r="E197" s="2"/>
      <c r="F197" s="6">
        <f t="shared" si="81"/>
        <v>0</v>
      </c>
      <c r="G197" s="2"/>
      <c r="H197" s="7"/>
      <c r="I197" s="2"/>
      <c r="J197" s="6">
        <f t="shared" si="82"/>
        <v>0</v>
      </c>
      <c r="K197" s="2"/>
      <c r="L197" s="7">
        <f t="shared" si="83"/>
        <v>0</v>
      </c>
      <c r="M197" s="2"/>
      <c r="N197" s="6">
        <f t="shared" si="84"/>
        <v>0</v>
      </c>
      <c r="O197" s="11"/>
      <c r="P197" s="7">
        <v>0</v>
      </c>
      <c r="Q197" s="2"/>
      <c r="R197" s="6">
        <f t="shared" si="85"/>
        <v>0</v>
      </c>
      <c r="S197" s="2"/>
      <c r="T197" s="7"/>
      <c r="U197" s="2"/>
      <c r="V197" s="6">
        <f t="shared" si="86"/>
        <v>0</v>
      </c>
      <c r="W197" s="2"/>
      <c r="X197" s="7">
        <f t="shared" si="87"/>
        <v>0</v>
      </c>
      <c r="Y197" s="2"/>
      <c r="Z197" s="6">
        <f t="shared" si="88"/>
        <v>0</v>
      </c>
    </row>
    <row r="198" spans="1:26" s="24" customFormat="1" hidden="1" outlineLevel="2" x14ac:dyDescent="0.25">
      <c r="A198" s="29"/>
      <c r="B198" s="11" t="str">
        <f>CONCATENATE("          ", "6373", " - ", "MAINTENANCE CONTRACTS")</f>
        <v xml:space="preserve">          6373 - MAINTENANCE CONTRACTS</v>
      </c>
      <c r="C198" s="11"/>
      <c r="D198" s="7">
        <v>7906.17</v>
      </c>
      <c r="E198" s="2"/>
      <c r="F198" s="6">
        <f t="shared" si="81"/>
        <v>2.525341025502776E-2</v>
      </c>
      <c r="G198" s="2"/>
      <c r="H198" s="7">
        <v>6040</v>
      </c>
      <c r="I198" s="2"/>
      <c r="J198" s="6">
        <f t="shared" si="82"/>
        <v>1.3514420602778958E-2</v>
      </c>
      <c r="K198" s="2"/>
      <c r="L198" s="7">
        <f t="shared" si="83"/>
        <v>1866.17</v>
      </c>
      <c r="M198" s="2"/>
      <c r="N198" s="6">
        <f t="shared" si="84"/>
        <v>0.30896854304635762</v>
      </c>
      <c r="O198" s="11"/>
      <c r="P198" s="7">
        <v>38932.18</v>
      </c>
      <c r="Q198" s="2"/>
      <c r="R198" s="6">
        <f t="shared" si="85"/>
        <v>9.7968243347683268E-3</v>
      </c>
      <c r="S198" s="2"/>
      <c r="T198" s="7">
        <v>32940</v>
      </c>
      <c r="U198" s="2"/>
      <c r="V198" s="6">
        <f t="shared" si="86"/>
        <v>5.3678553462388921E-3</v>
      </c>
      <c r="W198" s="2"/>
      <c r="X198" s="7">
        <f t="shared" si="87"/>
        <v>5992.18</v>
      </c>
      <c r="Y198" s="2"/>
      <c r="Z198" s="6">
        <f t="shared" si="88"/>
        <v>0.18191196114146935</v>
      </c>
    </row>
    <row r="199" spans="1:26" s="24" customFormat="1" hidden="1" outlineLevel="2" x14ac:dyDescent="0.25">
      <c r="A199" s="29"/>
      <c r="B199" s="11" t="str">
        <f>CONCATENATE("          ", "6375", " - ", "OUTSIDE REPAIRS &amp; MAINTENANCE")</f>
        <v xml:space="preserve">          6375 - OUTSIDE REPAIRS &amp; MAINTENANCE</v>
      </c>
      <c r="C199" s="11"/>
      <c r="D199" s="7">
        <v>45</v>
      </c>
      <c r="E199" s="2"/>
      <c r="F199" s="6">
        <f t="shared" si="81"/>
        <v>1.4373627957357978E-4</v>
      </c>
      <c r="G199" s="2"/>
      <c r="H199" s="7">
        <v>8370</v>
      </c>
      <c r="I199" s="2"/>
      <c r="J199" s="6">
        <f t="shared" si="82"/>
        <v>1.8727764974380775E-2</v>
      </c>
      <c r="K199" s="2"/>
      <c r="L199" s="7">
        <f t="shared" si="83"/>
        <v>-8325</v>
      </c>
      <c r="M199" s="2"/>
      <c r="N199" s="6">
        <f t="shared" si="84"/>
        <v>-0.9946236559139785</v>
      </c>
      <c r="O199" s="11"/>
      <c r="P199" s="7">
        <v>11761.67</v>
      </c>
      <c r="Q199" s="2"/>
      <c r="R199" s="6">
        <f t="shared" si="85"/>
        <v>2.9596856603846633E-3</v>
      </c>
      <c r="S199" s="2"/>
      <c r="T199" s="7">
        <v>50725</v>
      </c>
      <c r="U199" s="2"/>
      <c r="V199" s="6">
        <f t="shared" si="86"/>
        <v>8.2660735409219119E-3</v>
      </c>
      <c r="W199" s="2"/>
      <c r="X199" s="7">
        <f t="shared" si="87"/>
        <v>-38963.33</v>
      </c>
      <c r="Y199" s="2"/>
      <c r="Z199" s="6">
        <f t="shared" si="88"/>
        <v>-0.76812873336619025</v>
      </c>
    </row>
    <row r="200" spans="1:26" s="28" customFormat="1" outlineLevel="1" collapsed="1" x14ac:dyDescent="0.25">
      <c r="A200" s="27"/>
      <c r="B200" s="14" t="str">
        <f>CONCATENATE("     ","Royalty &amp; Commissions                             ")</f>
        <v xml:space="preserve">     Royalty &amp; Commissions                             </v>
      </c>
      <c r="C200" s="14"/>
      <c r="D200" s="1">
        <f>SUM(OSRRefD22_17x_0)</f>
        <v>5.97</v>
      </c>
      <c r="E200" s="1"/>
      <c r="F200" s="5">
        <f t="shared" ref="F200:F204" si="89">IF(D$12=0,0,D200/D$12)</f>
        <v>1.9069013090094916E-5</v>
      </c>
      <c r="G200" s="1"/>
      <c r="H200" s="1">
        <f>SUM(OSRRefH22_17x_0)</f>
        <v>7171</v>
      </c>
      <c r="I200" s="1"/>
      <c r="J200" s="5">
        <f t="shared" ref="J200:J204" si="90">IF(H$12=0,0,H200/H$12)</f>
        <v>1.6045018235517867E-2</v>
      </c>
      <c r="K200" s="1"/>
      <c r="L200" s="1">
        <f t="shared" ref="L200:L204" si="91">+D200-H200</f>
        <v>-7165.03</v>
      </c>
      <c r="M200" s="1"/>
      <c r="N200" s="5">
        <f t="shared" ref="N200:N204" si="92">IF(H200=0,0,L200/H200)</f>
        <v>-0.99916748012829448</v>
      </c>
      <c r="O200" s="14"/>
      <c r="P200" s="1">
        <f>SUM(OSRRefP22_17x_0)</f>
        <v>28576.059999999998</v>
      </c>
      <c r="Q200" s="1"/>
      <c r="R200" s="5">
        <f t="shared" ref="R200:R204" si="93">IF(P$12=0,0,P200/P$12)</f>
        <v>7.1908287694087449E-3</v>
      </c>
      <c r="S200" s="1"/>
      <c r="T200" s="1">
        <f>SUM(OSRRefT22_17x_0)</f>
        <v>41976</v>
      </c>
      <c r="U200" s="1"/>
      <c r="V200" s="5">
        <f t="shared" ref="V200:V204" si="94">IF(T$12=0,0,T200/T$12)</f>
        <v>6.8403489985951341E-3</v>
      </c>
      <c r="W200" s="1"/>
      <c r="X200" s="1">
        <f t="shared" ref="X200:X204" si="95">+P200-T200</f>
        <v>-13399.940000000002</v>
      </c>
      <c r="Y200" s="1"/>
      <c r="Z200" s="5">
        <f t="shared" ref="Z200:Z204" si="96">IF(T200=0,0,X200/T200)</f>
        <v>-0.31922860682294651</v>
      </c>
    </row>
    <row r="201" spans="1:26" s="24" customFormat="1" hidden="1" outlineLevel="2" x14ac:dyDescent="0.25">
      <c r="A201" s="29"/>
      <c r="B201" s="11" t="str">
        <f>CONCATENATE("          ", "6252", " - ", "ROYALTY DUE CSTV")</f>
        <v xml:space="preserve">          6252 - ROYALTY DUE CSTV</v>
      </c>
      <c r="C201" s="11"/>
      <c r="D201" s="7"/>
      <c r="E201" s="2"/>
      <c r="F201" s="6">
        <f t="shared" si="89"/>
        <v>0</v>
      </c>
      <c r="G201" s="2"/>
      <c r="H201" s="7">
        <v>1085</v>
      </c>
      <c r="I201" s="2"/>
      <c r="J201" s="6">
        <f t="shared" si="90"/>
        <v>2.4276732374197301E-3</v>
      </c>
      <c r="K201" s="2"/>
      <c r="L201" s="7">
        <f t="shared" si="91"/>
        <v>-1085</v>
      </c>
      <c r="M201" s="2"/>
      <c r="N201" s="6">
        <f t="shared" si="92"/>
        <v>-1</v>
      </c>
      <c r="O201" s="11"/>
      <c r="P201" s="7"/>
      <c r="Q201" s="2"/>
      <c r="R201" s="6">
        <f t="shared" si="93"/>
        <v>0</v>
      </c>
      <c r="S201" s="2"/>
      <c r="T201" s="7">
        <v>6510</v>
      </c>
      <c r="U201" s="2"/>
      <c r="V201" s="6">
        <f t="shared" si="94"/>
        <v>1.0608603006683421E-3</v>
      </c>
      <c r="W201" s="2"/>
      <c r="X201" s="7">
        <f t="shared" si="95"/>
        <v>-6510</v>
      </c>
      <c r="Y201" s="2"/>
      <c r="Z201" s="6">
        <f t="shared" si="96"/>
        <v>-1</v>
      </c>
    </row>
    <row r="202" spans="1:26" s="24" customFormat="1" hidden="1" outlineLevel="2" x14ac:dyDescent="0.25">
      <c r="A202" s="29"/>
      <c r="B202" s="11" t="str">
        <f>CONCATENATE("          ", "6253", " - ", "ROYALTY DUE ATHLETICS-LRG")</f>
        <v xml:space="preserve">          6253 - ROYALTY DUE ATHLETICS-LRG</v>
      </c>
      <c r="C202" s="11"/>
      <c r="D202" s="7"/>
      <c r="E202" s="2"/>
      <c r="F202" s="6">
        <f t="shared" si="89"/>
        <v>0</v>
      </c>
      <c r="G202" s="2"/>
      <c r="H202" s="7">
        <v>4037</v>
      </c>
      <c r="I202" s="2"/>
      <c r="J202" s="6">
        <f t="shared" si="90"/>
        <v>9.0327344326852077E-3</v>
      </c>
      <c r="K202" s="2"/>
      <c r="L202" s="7">
        <f t="shared" si="91"/>
        <v>-4037</v>
      </c>
      <c r="M202" s="2"/>
      <c r="N202" s="6">
        <f t="shared" si="92"/>
        <v>-1</v>
      </c>
      <c r="O202" s="11"/>
      <c r="P202" s="7">
        <v>18411.8</v>
      </c>
      <c r="Q202" s="2"/>
      <c r="R202" s="6">
        <f t="shared" si="93"/>
        <v>4.6331125122427638E-3</v>
      </c>
      <c r="S202" s="2"/>
      <c r="T202" s="7">
        <v>24222</v>
      </c>
      <c r="U202" s="2"/>
      <c r="V202" s="6">
        <f t="shared" si="94"/>
        <v>3.947182519629582E-3</v>
      </c>
      <c r="W202" s="2"/>
      <c r="X202" s="7">
        <f t="shared" si="95"/>
        <v>-5810.2000000000007</v>
      </c>
      <c r="Y202" s="2"/>
      <c r="Z202" s="6">
        <f t="shared" si="96"/>
        <v>-0.23987284287011809</v>
      </c>
    </row>
    <row r="203" spans="1:26" s="24" customFormat="1" hidden="1" outlineLevel="2" x14ac:dyDescent="0.25">
      <c r="A203" s="29"/>
      <c r="B203" s="11" t="str">
        <f>CONCATENATE("          ", "6254", " - ", "ROYALTY &amp; COMMISSIONS")</f>
        <v xml:space="preserve">          6254 - ROYALTY &amp; COMMISSIONS</v>
      </c>
      <c r="C203" s="11"/>
      <c r="D203" s="7"/>
      <c r="E203" s="2"/>
      <c r="F203" s="6">
        <f t="shared" si="89"/>
        <v>0</v>
      </c>
      <c r="G203" s="2"/>
      <c r="H203" s="7">
        <v>1149</v>
      </c>
      <c r="I203" s="2"/>
      <c r="J203" s="6">
        <f t="shared" si="90"/>
        <v>2.5708723961246726E-3</v>
      </c>
      <c r="K203" s="2"/>
      <c r="L203" s="7">
        <f t="shared" si="91"/>
        <v>-1149</v>
      </c>
      <c r="M203" s="2"/>
      <c r="N203" s="6">
        <f t="shared" si="92"/>
        <v>-1</v>
      </c>
      <c r="O203" s="11"/>
      <c r="P203" s="7"/>
      <c r="Q203" s="2"/>
      <c r="R203" s="6">
        <f t="shared" si="93"/>
        <v>0</v>
      </c>
      <c r="S203" s="2"/>
      <c r="T203" s="7">
        <v>6894</v>
      </c>
      <c r="U203" s="2"/>
      <c r="V203" s="6">
        <f t="shared" si="94"/>
        <v>1.1234363921363364E-3</v>
      </c>
      <c r="W203" s="2"/>
      <c r="X203" s="7">
        <f t="shared" si="95"/>
        <v>-6894</v>
      </c>
      <c r="Y203" s="2"/>
      <c r="Z203" s="6">
        <f t="shared" si="96"/>
        <v>-1</v>
      </c>
    </row>
    <row r="204" spans="1:26" s="24" customFormat="1" hidden="1" outlineLevel="2" x14ac:dyDescent="0.25">
      <c r="A204" s="29"/>
      <c r="B204" s="11" t="str">
        <f>CONCATENATE("          ", "6259", " - ", "ROYALTY &amp; COMMISSIONS")</f>
        <v xml:space="preserve">          6259 - ROYALTY &amp; COMMISSIONS</v>
      </c>
      <c r="C204" s="11"/>
      <c r="D204" s="7">
        <v>5.97</v>
      </c>
      <c r="E204" s="2"/>
      <c r="F204" s="6">
        <f t="shared" si="89"/>
        <v>1.9069013090094916E-5</v>
      </c>
      <c r="G204" s="2"/>
      <c r="H204" s="7">
        <v>900</v>
      </c>
      <c r="I204" s="2"/>
      <c r="J204" s="6">
        <f t="shared" si="90"/>
        <v>2.0137381692882554E-3</v>
      </c>
      <c r="K204" s="2"/>
      <c r="L204" s="7">
        <f t="shared" si="91"/>
        <v>-894.03</v>
      </c>
      <c r="M204" s="2"/>
      <c r="N204" s="6">
        <f t="shared" si="92"/>
        <v>-0.99336666666666662</v>
      </c>
      <c r="O204" s="11"/>
      <c r="P204" s="7">
        <v>10164.26</v>
      </c>
      <c r="Q204" s="2"/>
      <c r="R204" s="6">
        <f t="shared" si="93"/>
        <v>2.5577162571659823E-3</v>
      </c>
      <c r="S204" s="2"/>
      <c r="T204" s="7">
        <v>4350</v>
      </c>
      <c r="U204" s="2"/>
      <c r="V204" s="6">
        <f t="shared" si="94"/>
        <v>7.088697861608737E-4</v>
      </c>
      <c r="W204" s="2"/>
      <c r="X204" s="7">
        <f t="shared" si="95"/>
        <v>5814.26</v>
      </c>
      <c r="Y204" s="2"/>
      <c r="Z204" s="6">
        <f t="shared" si="96"/>
        <v>1.3366114942528735</v>
      </c>
    </row>
    <row r="205" spans="1:26" s="28" customFormat="1" outlineLevel="1" collapsed="1" x14ac:dyDescent="0.25">
      <c r="A205" s="27"/>
      <c r="B205" s="14" t="str">
        <f>CONCATENATE("     ","Services                                          ")</f>
        <v xml:space="preserve">     Services                                          </v>
      </c>
      <c r="C205" s="14"/>
      <c r="D205" s="1">
        <f>SUM(OSRRefD22_18x_0)</f>
        <v>2494.0299999999997</v>
      </c>
      <c r="E205" s="1"/>
      <c r="F205" s="5">
        <f t="shared" ref="F205:F209" si="97">IF(D$12=0,0,D205/D$12)</f>
        <v>7.9662798521087808E-3</v>
      </c>
      <c r="G205" s="1"/>
      <c r="H205" s="1">
        <f>SUM(OSRRefH22_18x_0)</f>
        <v>4784</v>
      </c>
      <c r="I205" s="1"/>
      <c r="J205" s="5">
        <f t="shared" ref="J205:J209" si="98">IF(H$12=0,0,H205/H$12)</f>
        <v>1.070413711319446E-2</v>
      </c>
      <c r="K205" s="1"/>
      <c r="L205" s="1">
        <f t="shared" ref="L205:L209" si="99">+D205-H205</f>
        <v>-2289.9700000000003</v>
      </c>
      <c r="M205" s="1"/>
      <c r="N205" s="5">
        <f t="shared" ref="N205:N209" si="100">IF(H205=0,0,L205/H205)</f>
        <v>-0.4786726588628763</v>
      </c>
      <c r="O205" s="14"/>
      <c r="P205" s="1">
        <f>SUM(OSRRefP22_18x_0)</f>
        <v>19183.75</v>
      </c>
      <c r="Q205" s="1"/>
      <c r="R205" s="5">
        <f t="shared" ref="R205:R209" si="101">IF(P$12=0,0,P205/P$12)</f>
        <v>4.8273646333730066E-3</v>
      </c>
      <c r="S205" s="1"/>
      <c r="T205" s="1">
        <f>SUM(OSRRefT22_18x_0)</f>
        <v>28210</v>
      </c>
      <c r="U205" s="1"/>
      <c r="V205" s="5">
        <f t="shared" ref="V205:V209" si="102">IF(T$12=0,0,T205/T$12)</f>
        <v>4.5970613028961486E-3</v>
      </c>
      <c r="W205" s="1"/>
      <c r="X205" s="1">
        <f t="shared" ref="X205:X209" si="103">+P205-T205</f>
        <v>-9026.25</v>
      </c>
      <c r="Y205" s="1"/>
      <c r="Z205" s="5">
        <f t="shared" ref="Z205:Z209" si="104">IF(T205=0,0,X205/T205)</f>
        <v>-0.31996632399858205</v>
      </c>
    </row>
    <row r="206" spans="1:26" s="24" customFormat="1" hidden="1" outlineLevel="2" x14ac:dyDescent="0.25">
      <c r="A206" s="29"/>
      <c r="B206" s="11" t="str">
        <f>CONCATENATE("          ", "6282", " - ", "JANITORIAL/EXTERMINATOR EXPENS")</f>
        <v xml:space="preserve">          6282 - JANITORIAL/EXTERMINATOR EXPENS</v>
      </c>
      <c r="C206" s="11"/>
      <c r="D206" s="7"/>
      <c r="E206" s="2"/>
      <c r="F206" s="6">
        <f t="shared" si="97"/>
        <v>0</v>
      </c>
      <c r="G206" s="2"/>
      <c r="H206" s="7">
        <v>4000</v>
      </c>
      <c r="I206" s="2"/>
      <c r="J206" s="6">
        <f t="shared" si="98"/>
        <v>8.9499474190589123E-3</v>
      </c>
      <c r="K206" s="2"/>
      <c r="L206" s="7">
        <f t="shared" si="99"/>
        <v>-4000</v>
      </c>
      <c r="M206" s="2"/>
      <c r="N206" s="6">
        <f t="shared" si="100"/>
        <v>-1</v>
      </c>
      <c r="O206" s="11"/>
      <c r="P206" s="7">
        <v>5340.12</v>
      </c>
      <c r="Q206" s="2"/>
      <c r="R206" s="6">
        <f t="shared" si="101"/>
        <v>1.3437782720254307E-3</v>
      </c>
      <c r="S206" s="2"/>
      <c r="T206" s="7">
        <v>24000</v>
      </c>
      <c r="U206" s="2"/>
      <c r="V206" s="6">
        <f t="shared" si="102"/>
        <v>3.9110057167496479E-3</v>
      </c>
      <c r="W206" s="2"/>
      <c r="X206" s="7">
        <f t="shared" si="103"/>
        <v>-18659.88</v>
      </c>
      <c r="Y206" s="2"/>
      <c r="Z206" s="6">
        <f t="shared" si="104"/>
        <v>-0.77749500000000005</v>
      </c>
    </row>
    <row r="207" spans="1:26" s="24" customFormat="1" hidden="1" outlineLevel="2" x14ac:dyDescent="0.25">
      <c r="A207" s="29"/>
      <c r="B207" s="11" t="str">
        <f>CONCATENATE("          ", "6283", " - ", "PLANT SERVICE")</f>
        <v xml:space="preserve">          6283 - PLANT SERVICE</v>
      </c>
      <c r="C207" s="11"/>
      <c r="D207" s="7"/>
      <c r="E207" s="2"/>
      <c r="F207" s="6">
        <f t="shared" si="97"/>
        <v>0</v>
      </c>
      <c r="G207" s="2"/>
      <c r="H207" s="7">
        <v>0</v>
      </c>
      <c r="I207" s="2"/>
      <c r="J207" s="6">
        <f t="shared" si="98"/>
        <v>0</v>
      </c>
      <c r="K207" s="2"/>
      <c r="L207" s="7">
        <f t="shared" si="99"/>
        <v>0</v>
      </c>
      <c r="M207" s="2"/>
      <c r="N207" s="6">
        <f t="shared" si="100"/>
        <v>0</v>
      </c>
      <c r="O207" s="11"/>
      <c r="P207" s="7">
        <v>171.31</v>
      </c>
      <c r="Q207" s="2"/>
      <c r="R207" s="6">
        <f t="shared" si="101"/>
        <v>4.3108142847103911E-5</v>
      </c>
      <c r="S207" s="2"/>
      <c r="T207" s="7">
        <v>0</v>
      </c>
      <c r="U207" s="2"/>
      <c r="V207" s="6">
        <f t="shared" si="102"/>
        <v>0</v>
      </c>
      <c r="W207" s="2"/>
      <c r="X207" s="7">
        <f t="shared" si="103"/>
        <v>171.31</v>
      </c>
      <c r="Y207" s="2"/>
      <c r="Z207" s="6">
        <f t="shared" si="104"/>
        <v>0</v>
      </c>
    </row>
    <row r="208" spans="1:26" s="24" customFormat="1" hidden="1" outlineLevel="2" x14ac:dyDescent="0.25">
      <c r="A208" s="29"/>
      <c r="B208" s="11" t="str">
        <f>CONCATENATE("          ", "6284", " - ", "TRASH REMOVAL EXPENSE")</f>
        <v xml:space="preserve">          6284 - TRASH REMOVAL EXPENSE</v>
      </c>
      <c r="C208" s="11"/>
      <c r="D208" s="7">
        <v>285.14</v>
      </c>
      <c r="E208" s="2"/>
      <c r="F208" s="6">
        <f t="shared" si="97"/>
        <v>9.1077695016912293E-4</v>
      </c>
      <c r="G208" s="2"/>
      <c r="H208" s="7">
        <v>110</v>
      </c>
      <c r="I208" s="2"/>
      <c r="J208" s="6">
        <f t="shared" si="98"/>
        <v>2.4612355402412009E-4</v>
      </c>
      <c r="K208" s="2"/>
      <c r="L208" s="7">
        <f t="shared" si="99"/>
        <v>175.14</v>
      </c>
      <c r="M208" s="2"/>
      <c r="N208" s="6">
        <f t="shared" si="100"/>
        <v>1.5921818181818181</v>
      </c>
      <c r="O208" s="11"/>
      <c r="P208" s="7">
        <v>870.44</v>
      </c>
      <c r="Q208" s="2"/>
      <c r="R208" s="6">
        <f t="shared" si="101"/>
        <v>2.1903596906096043E-4</v>
      </c>
      <c r="S208" s="2"/>
      <c r="T208" s="7">
        <v>440</v>
      </c>
      <c r="U208" s="2"/>
      <c r="V208" s="6">
        <f t="shared" si="102"/>
        <v>7.1701771473743541E-5</v>
      </c>
      <c r="W208" s="2"/>
      <c r="X208" s="7">
        <f t="shared" si="103"/>
        <v>430.44000000000005</v>
      </c>
      <c r="Y208" s="2"/>
      <c r="Z208" s="6">
        <f t="shared" si="104"/>
        <v>0.9782727272727274</v>
      </c>
    </row>
    <row r="209" spans="1:26" s="24" customFormat="1" hidden="1" outlineLevel="2" x14ac:dyDescent="0.25">
      <c r="A209" s="29"/>
      <c r="B209" s="11" t="str">
        <f>CONCATENATE("          ", "6285", " - ", "JANITORIAL SERVICES")</f>
        <v xml:space="preserve">          6285 - JANITORIAL SERVICES</v>
      </c>
      <c r="C209" s="11"/>
      <c r="D209" s="7">
        <v>2208.89</v>
      </c>
      <c r="E209" s="2"/>
      <c r="F209" s="6">
        <f t="shared" si="97"/>
        <v>7.0555029019396575E-3</v>
      </c>
      <c r="G209" s="2"/>
      <c r="H209" s="7">
        <v>674</v>
      </c>
      <c r="I209" s="2"/>
      <c r="J209" s="6">
        <f t="shared" si="98"/>
        <v>1.5080661401114268E-3</v>
      </c>
      <c r="K209" s="2"/>
      <c r="L209" s="7">
        <f t="shared" si="99"/>
        <v>1534.8899999999999</v>
      </c>
      <c r="M209" s="2"/>
      <c r="N209" s="6">
        <f t="shared" si="100"/>
        <v>2.2772848664688428</v>
      </c>
      <c r="O209" s="11"/>
      <c r="P209" s="7">
        <v>12801.88</v>
      </c>
      <c r="Q209" s="2"/>
      <c r="R209" s="6">
        <f t="shared" si="101"/>
        <v>3.2214422494395109E-3</v>
      </c>
      <c r="S209" s="2"/>
      <c r="T209" s="7">
        <v>3770</v>
      </c>
      <c r="U209" s="2"/>
      <c r="V209" s="6">
        <f t="shared" si="102"/>
        <v>6.143538146727572E-4</v>
      </c>
      <c r="W209" s="2"/>
      <c r="X209" s="7">
        <f t="shared" si="103"/>
        <v>9031.8799999999992</v>
      </c>
      <c r="Y209" s="2"/>
      <c r="Z209" s="6">
        <f t="shared" si="104"/>
        <v>2.3957241379310341</v>
      </c>
    </row>
    <row r="210" spans="1:26" s="28" customFormat="1" outlineLevel="1" collapsed="1" x14ac:dyDescent="0.25">
      <c r="A210" s="27"/>
      <c r="B210" s="14" t="str">
        <f>CONCATENATE("     ","Subscriptions &amp; Dues                              ")</f>
        <v xml:space="preserve">     Subscriptions &amp; Dues                              </v>
      </c>
      <c r="C210" s="14"/>
      <c r="D210" s="1">
        <f>SUM(OSRRefD22_19x_0)</f>
        <v>80.430000000000007</v>
      </c>
      <c r="E210" s="1"/>
      <c r="F210" s="5">
        <f t="shared" ref="F210:F212" si="105">IF(D$12=0,0,D210/D$12)</f>
        <v>2.5690464369117829E-4</v>
      </c>
      <c r="G210" s="1"/>
      <c r="H210" s="1">
        <f>SUM(OSRRefH22_19x_0)</f>
        <v>1100</v>
      </c>
      <c r="I210" s="1"/>
      <c r="J210" s="5">
        <f t="shared" ref="J210:J212" si="106">IF(H$12=0,0,H210/H$12)</f>
        <v>2.4612355402412012E-3</v>
      </c>
      <c r="K210" s="1"/>
      <c r="L210" s="1">
        <f t="shared" ref="L210:L212" si="107">+D210-H210</f>
        <v>-1019.5699999999999</v>
      </c>
      <c r="M210" s="1"/>
      <c r="N210" s="5">
        <f t="shared" ref="N210:N212" si="108">IF(H210=0,0,L210/H210)</f>
        <v>-0.92688181818181814</v>
      </c>
      <c r="O210" s="14"/>
      <c r="P210" s="1">
        <f>SUM(OSRRefP22_19x_0)</f>
        <v>1455.44</v>
      </c>
      <c r="Q210" s="1"/>
      <c r="R210" s="5">
        <f t="shared" ref="R210:R212" si="109">IF(P$12=0,0,P210/P$12)</f>
        <v>3.6624432564000303E-4</v>
      </c>
      <c r="S210" s="1"/>
      <c r="T210" s="1">
        <f>SUM(OSRRefT22_19x_0)</f>
        <v>7995</v>
      </c>
      <c r="U210" s="1"/>
      <c r="V210" s="5">
        <f t="shared" ref="V210:V212" si="110">IF(T$12=0,0,T210/T$12)</f>
        <v>1.3028537793922264E-3</v>
      </c>
      <c r="W210" s="1"/>
      <c r="X210" s="1">
        <f t="shared" ref="X210:X212" si="111">+P210-T210</f>
        <v>-6539.5599999999995</v>
      </c>
      <c r="Y210" s="1"/>
      <c r="Z210" s="5">
        <f t="shared" ref="Z210:Z212" si="112">IF(T210=0,0,X210/T210)</f>
        <v>-0.81795622263914936</v>
      </c>
    </row>
    <row r="211" spans="1:26" s="24" customFormat="1" hidden="1" outlineLevel="2" x14ac:dyDescent="0.25">
      <c r="A211" s="29"/>
      <c r="B211" s="11" t="str">
        <f>CONCATENATE("          ", "6258", " - ", "MEMBERSHIP DUES")</f>
        <v xml:space="preserve">          6258 - MEMBERSHIP DUES</v>
      </c>
      <c r="C211" s="11"/>
      <c r="D211" s="7">
        <v>80.430000000000007</v>
      </c>
      <c r="E211" s="2"/>
      <c r="F211" s="6">
        <f t="shared" si="105"/>
        <v>2.5690464369117829E-4</v>
      </c>
      <c r="G211" s="2"/>
      <c r="H211" s="7">
        <v>1100</v>
      </c>
      <c r="I211" s="2"/>
      <c r="J211" s="6">
        <f t="shared" si="106"/>
        <v>2.4612355402412012E-3</v>
      </c>
      <c r="K211" s="2"/>
      <c r="L211" s="7">
        <f t="shared" si="107"/>
        <v>-1019.5699999999999</v>
      </c>
      <c r="M211" s="2"/>
      <c r="N211" s="6">
        <f t="shared" si="108"/>
        <v>-0.92688181818181814</v>
      </c>
      <c r="O211" s="11"/>
      <c r="P211" s="7">
        <v>1229.71</v>
      </c>
      <c r="Q211" s="2"/>
      <c r="R211" s="6">
        <f t="shared" si="109"/>
        <v>3.0944203105780254E-4</v>
      </c>
      <c r="S211" s="2"/>
      <c r="T211" s="7">
        <v>7995</v>
      </c>
      <c r="U211" s="2"/>
      <c r="V211" s="6">
        <f t="shared" si="110"/>
        <v>1.3028537793922264E-3</v>
      </c>
      <c r="W211" s="2"/>
      <c r="X211" s="7">
        <f t="shared" si="111"/>
        <v>-6765.29</v>
      </c>
      <c r="Y211" s="2"/>
      <c r="Z211" s="6">
        <f t="shared" si="112"/>
        <v>-0.8461901188242652</v>
      </c>
    </row>
    <row r="212" spans="1:26" s="24" customFormat="1" hidden="1" outlineLevel="2" x14ac:dyDescent="0.25">
      <c r="A212" s="29"/>
      <c r="B212" s="11" t="str">
        <f>CONCATENATE("          ", "6275", " - ", "SUBSCRIPTIONS")</f>
        <v xml:space="preserve">          6275 - SUBSCRIPTIONS</v>
      </c>
      <c r="C212" s="11"/>
      <c r="D212" s="7"/>
      <c r="E212" s="2"/>
      <c r="F212" s="6">
        <f t="shared" si="105"/>
        <v>0</v>
      </c>
      <c r="G212" s="2"/>
      <c r="H212" s="7">
        <v>0</v>
      </c>
      <c r="I212" s="2"/>
      <c r="J212" s="6">
        <f t="shared" si="106"/>
        <v>0</v>
      </c>
      <c r="K212" s="2"/>
      <c r="L212" s="7">
        <f t="shared" si="107"/>
        <v>0</v>
      </c>
      <c r="M212" s="2"/>
      <c r="N212" s="6">
        <f t="shared" si="108"/>
        <v>0</v>
      </c>
      <c r="O212" s="11"/>
      <c r="P212" s="7">
        <v>225.73</v>
      </c>
      <c r="Q212" s="2"/>
      <c r="R212" s="6">
        <f t="shared" si="109"/>
        <v>5.6802294582200487E-5</v>
      </c>
      <c r="S212" s="2"/>
      <c r="T212" s="7">
        <v>0</v>
      </c>
      <c r="U212" s="2"/>
      <c r="V212" s="6">
        <f t="shared" si="110"/>
        <v>0</v>
      </c>
      <c r="W212" s="2"/>
      <c r="X212" s="7">
        <f t="shared" si="111"/>
        <v>225.73</v>
      </c>
      <c r="Y212" s="2"/>
      <c r="Z212" s="6">
        <f t="shared" si="112"/>
        <v>0</v>
      </c>
    </row>
    <row r="213" spans="1:26" s="28" customFormat="1" outlineLevel="1" collapsed="1" x14ac:dyDescent="0.25">
      <c r="A213" s="27"/>
      <c r="B213" s="14" t="str">
        <f>CONCATENATE("     ","Supplies                                          ")</f>
        <v xml:space="preserve">     Supplies                                          </v>
      </c>
      <c r="C213" s="14"/>
      <c r="D213" s="1">
        <f>SUM(OSRRefD22_20x_0)</f>
        <v>6983.04</v>
      </c>
      <c r="E213" s="1"/>
      <c r="F213" s="5">
        <f t="shared" ref="F213:F222" si="113">IF(D$12=0,0,D213/D$12)</f>
        <v>2.2304804215855345E-2</v>
      </c>
      <c r="G213" s="1"/>
      <c r="H213" s="1">
        <f>SUM(OSRRefH22_20x_0)</f>
        <v>10120</v>
      </c>
      <c r="I213" s="1"/>
      <c r="J213" s="5">
        <f t="shared" ref="J213:J222" si="114">IF(H$12=0,0,H213/H$12)</f>
        <v>2.2643366970219049E-2</v>
      </c>
      <c r="K213" s="1"/>
      <c r="L213" s="1">
        <f t="shared" ref="L213:L222" si="115">+D213-H213</f>
        <v>-3136.96</v>
      </c>
      <c r="M213" s="1"/>
      <c r="N213" s="5">
        <f t="shared" ref="N213:N222" si="116">IF(H213=0,0,L213/H213)</f>
        <v>-0.30997628458498022</v>
      </c>
      <c r="O213" s="14"/>
      <c r="P213" s="1">
        <f>SUM(OSRRefP22_20x_0)</f>
        <v>80079.67</v>
      </c>
      <c r="Q213" s="1"/>
      <c r="R213" s="5">
        <f t="shared" ref="R213:R222" si="117">IF(P$12=0,0,P213/P$12)</f>
        <v>2.0151105326653096E-2</v>
      </c>
      <c r="S213" s="1"/>
      <c r="T213" s="1">
        <f>SUM(OSRRefT22_20x_0)</f>
        <v>107270</v>
      </c>
      <c r="U213" s="1"/>
      <c r="V213" s="5">
        <f t="shared" ref="V213:V222" si="118">IF(T$12=0,0,T213/T$12)</f>
        <v>1.7480565968155615E-2</v>
      </c>
      <c r="W213" s="1"/>
      <c r="X213" s="1">
        <f t="shared" ref="X213:X222" si="119">+P213-T213</f>
        <v>-27190.33</v>
      </c>
      <c r="Y213" s="1"/>
      <c r="Z213" s="5">
        <f t="shared" ref="Z213:Z222" si="120">IF(T213=0,0,X213/T213)</f>
        <v>-0.25347562226158293</v>
      </c>
    </row>
    <row r="214" spans="1:26" s="24" customFormat="1" hidden="1" outlineLevel="2" x14ac:dyDescent="0.25">
      <c r="A214" s="29"/>
      <c r="B214" s="11" t="str">
        <f>CONCATENATE("          ", "6234", " - ", "EXPENDABLE SUPPLIES &amp; EQUIPMEN")</f>
        <v xml:space="preserve">          6234 - EXPENDABLE SUPPLIES &amp; EQUIPMEN</v>
      </c>
      <c r="C214" s="11"/>
      <c r="D214" s="7"/>
      <c r="E214" s="2"/>
      <c r="F214" s="6">
        <f t="shared" si="113"/>
        <v>0</v>
      </c>
      <c r="G214" s="2"/>
      <c r="H214" s="7">
        <v>150</v>
      </c>
      <c r="I214" s="2"/>
      <c r="J214" s="6">
        <f t="shared" si="114"/>
        <v>3.3562302821470922E-4</v>
      </c>
      <c r="K214" s="2"/>
      <c r="L214" s="7">
        <f t="shared" si="115"/>
        <v>-150</v>
      </c>
      <c r="M214" s="2"/>
      <c r="N214" s="6">
        <f t="shared" si="116"/>
        <v>-1</v>
      </c>
      <c r="O214" s="11"/>
      <c r="P214" s="7">
        <v>-449.34</v>
      </c>
      <c r="Q214" s="2"/>
      <c r="R214" s="6">
        <f t="shared" si="117"/>
        <v>-1.1307111614568719E-4</v>
      </c>
      <c r="S214" s="2"/>
      <c r="T214" s="7">
        <v>900</v>
      </c>
      <c r="U214" s="2"/>
      <c r="V214" s="6">
        <f t="shared" si="118"/>
        <v>1.466627143781118E-4</v>
      </c>
      <c r="W214" s="2"/>
      <c r="X214" s="7">
        <f t="shared" si="119"/>
        <v>-1349.34</v>
      </c>
      <c r="Y214" s="2"/>
      <c r="Z214" s="6">
        <f t="shared" si="120"/>
        <v>-1.4992666666666665</v>
      </c>
    </row>
    <row r="215" spans="1:26" s="24" customFormat="1" hidden="1" outlineLevel="2" x14ac:dyDescent="0.25">
      <c r="A215" s="29"/>
      <c r="B215" s="11" t="str">
        <f>CONCATENATE("          ", "6235", " - ", "COVID-19 EXPENSES")</f>
        <v xml:space="preserve">          6235 - COVID-19 EXPENSES</v>
      </c>
      <c r="C215" s="11"/>
      <c r="D215" s="7">
        <v>2921.2</v>
      </c>
      <c r="E215" s="2"/>
      <c r="F215" s="6">
        <f t="shared" si="113"/>
        <v>9.3307204420075823E-3</v>
      </c>
      <c r="G215" s="2"/>
      <c r="H215" s="7">
        <v>500</v>
      </c>
      <c r="I215" s="2"/>
      <c r="J215" s="6">
        <f t="shared" si="114"/>
        <v>1.118743427382364E-3</v>
      </c>
      <c r="K215" s="2"/>
      <c r="L215" s="7">
        <f t="shared" si="115"/>
        <v>2421.1999999999998</v>
      </c>
      <c r="M215" s="2"/>
      <c r="N215" s="6">
        <f t="shared" si="116"/>
        <v>4.8423999999999996</v>
      </c>
      <c r="O215" s="11"/>
      <c r="P215" s="7">
        <v>32045.95</v>
      </c>
      <c r="Q215" s="2"/>
      <c r="R215" s="6">
        <f t="shared" si="117"/>
        <v>8.0639857000242236E-3</v>
      </c>
      <c r="S215" s="2"/>
      <c r="T215" s="7">
        <v>62600</v>
      </c>
      <c r="U215" s="2"/>
      <c r="V215" s="6">
        <f t="shared" si="118"/>
        <v>1.0201206577855332E-2</v>
      </c>
      <c r="W215" s="2"/>
      <c r="X215" s="7">
        <f t="shared" si="119"/>
        <v>-30554.05</v>
      </c>
      <c r="Y215" s="2"/>
      <c r="Z215" s="6">
        <f t="shared" si="120"/>
        <v>-0.48808386581469648</v>
      </c>
    </row>
    <row r="216" spans="1:26" s="24" customFormat="1" hidden="1" outlineLevel="2" x14ac:dyDescent="0.25">
      <c r="A216" s="29"/>
      <c r="B216" s="11" t="str">
        <f>CONCATENATE("          ", "6237", " - ", "JANITORIAL SUPPLIES")</f>
        <v xml:space="preserve">          6237 - JANITORIAL SUPPLIES</v>
      </c>
      <c r="C216" s="11"/>
      <c r="D216" s="7">
        <v>438.53</v>
      </c>
      <c r="E216" s="2"/>
      <c r="F216" s="6">
        <f t="shared" si="113"/>
        <v>1.4007260151422652E-3</v>
      </c>
      <c r="G216" s="2"/>
      <c r="H216" s="7">
        <v>260</v>
      </c>
      <c r="I216" s="2"/>
      <c r="J216" s="6">
        <f t="shared" si="114"/>
        <v>5.8174658223882937E-4</v>
      </c>
      <c r="K216" s="2"/>
      <c r="L216" s="7">
        <f t="shared" si="115"/>
        <v>178.52999999999997</v>
      </c>
      <c r="M216" s="2"/>
      <c r="N216" s="6">
        <f t="shared" si="116"/>
        <v>0.68665384615384606</v>
      </c>
      <c r="O216" s="11"/>
      <c r="P216" s="7">
        <v>1933.88</v>
      </c>
      <c r="Q216" s="2"/>
      <c r="R216" s="6">
        <f t="shared" si="117"/>
        <v>4.8663811388218619E-4</v>
      </c>
      <c r="S216" s="2"/>
      <c r="T216" s="7">
        <v>1610</v>
      </c>
      <c r="U216" s="2"/>
      <c r="V216" s="6">
        <f t="shared" si="118"/>
        <v>2.6236330016528889E-4</v>
      </c>
      <c r="W216" s="2"/>
      <c r="X216" s="7">
        <f t="shared" si="119"/>
        <v>323.88000000000011</v>
      </c>
      <c r="Y216" s="2"/>
      <c r="Z216" s="6">
        <f t="shared" si="120"/>
        <v>0.20116770186335411</v>
      </c>
    </row>
    <row r="217" spans="1:26" s="24" customFormat="1" hidden="1" outlineLevel="2" x14ac:dyDescent="0.25">
      <c r="A217" s="29"/>
      <c r="B217" s="11" t="str">
        <f>CONCATENATE("          ", "6241", " - ", "OFFICE EXPENSE")</f>
        <v xml:space="preserve">          6241 - OFFICE EXPENSE</v>
      </c>
      <c r="C217" s="11"/>
      <c r="D217" s="7">
        <v>1361.67</v>
      </c>
      <c r="E217" s="2"/>
      <c r="F217" s="6">
        <f t="shared" si="113"/>
        <v>4.3493639957101413E-3</v>
      </c>
      <c r="G217" s="2"/>
      <c r="H217" s="7">
        <v>1035</v>
      </c>
      <c r="I217" s="2"/>
      <c r="J217" s="6">
        <f t="shared" si="114"/>
        <v>2.3157988946814938E-3</v>
      </c>
      <c r="K217" s="2"/>
      <c r="L217" s="7">
        <f t="shared" si="115"/>
        <v>326.67000000000007</v>
      </c>
      <c r="M217" s="2"/>
      <c r="N217" s="6">
        <f t="shared" si="116"/>
        <v>0.31562318840579717</v>
      </c>
      <c r="O217" s="11"/>
      <c r="P217" s="7">
        <v>10873.12</v>
      </c>
      <c r="Q217" s="2"/>
      <c r="R217" s="6">
        <f t="shared" si="117"/>
        <v>2.7360925232251623E-3</v>
      </c>
      <c r="S217" s="2"/>
      <c r="T217" s="7">
        <v>4010</v>
      </c>
      <c r="U217" s="2"/>
      <c r="V217" s="6">
        <f t="shared" si="118"/>
        <v>6.5346387184025371E-4</v>
      </c>
      <c r="W217" s="2"/>
      <c r="X217" s="7">
        <f t="shared" si="119"/>
        <v>6863.1200000000008</v>
      </c>
      <c r="Y217" s="2"/>
      <c r="Z217" s="6">
        <f t="shared" si="120"/>
        <v>1.7115012468827933</v>
      </c>
    </row>
    <row r="218" spans="1:26" s="24" customFormat="1" hidden="1" outlineLevel="2" x14ac:dyDescent="0.25">
      <c r="A218" s="29"/>
      <c r="B218" s="11" t="str">
        <f>CONCATENATE("          ", "6243", " - ", "PAPER SUPPLIES")</f>
        <v xml:space="preserve">          6243 - PAPER SUPPLIES</v>
      </c>
      <c r="C218" s="11"/>
      <c r="D218" s="7">
        <v>411.1</v>
      </c>
      <c r="E218" s="2"/>
      <c r="F218" s="6">
        <f t="shared" si="113"/>
        <v>1.3131107673933033E-3</v>
      </c>
      <c r="G218" s="2"/>
      <c r="H218" s="7">
        <v>3350</v>
      </c>
      <c r="I218" s="2"/>
      <c r="J218" s="6">
        <f t="shared" si="114"/>
        <v>7.4955809634618398E-3</v>
      </c>
      <c r="K218" s="2"/>
      <c r="L218" s="7">
        <f t="shared" si="115"/>
        <v>-2938.9</v>
      </c>
      <c r="M218" s="2"/>
      <c r="N218" s="6">
        <f t="shared" si="116"/>
        <v>-0.87728358208955226</v>
      </c>
      <c r="O218" s="11"/>
      <c r="P218" s="7">
        <v>5093.3999999999996</v>
      </c>
      <c r="Q218" s="2"/>
      <c r="R218" s="6">
        <f t="shared" si="117"/>
        <v>1.2816940912815308E-3</v>
      </c>
      <c r="S218" s="2"/>
      <c r="T218" s="7">
        <v>8700</v>
      </c>
      <c r="U218" s="2"/>
      <c r="V218" s="6">
        <f t="shared" si="118"/>
        <v>1.4177395723217474E-3</v>
      </c>
      <c r="W218" s="2"/>
      <c r="X218" s="7">
        <f t="shared" si="119"/>
        <v>-3606.6000000000004</v>
      </c>
      <c r="Y218" s="2"/>
      <c r="Z218" s="6">
        <f t="shared" si="120"/>
        <v>-0.41455172413793107</v>
      </c>
    </row>
    <row r="219" spans="1:26" s="24" customFormat="1" hidden="1" outlineLevel="2" x14ac:dyDescent="0.25">
      <c r="A219" s="29"/>
      <c r="B219" s="11" t="str">
        <f>CONCATENATE("          ", "6244", " - ", "SAFETY SUPPLY EXPENSE")</f>
        <v xml:space="preserve">          6244 - SAFETY SUPPLY EXPENSE</v>
      </c>
      <c r="C219" s="11"/>
      <c r="D219" s="7"/>
      <c r="E219" s="2"/>
      <c r="F219" s="6">
        <f t="shared" si="113"/>
        <v>0</v>
      </c>
      <c r="G219" s="2"/>
      <c r="H219" s="7">
        <v>0</v>
      </c>
      <c r="I219" s="2"/>
      <c r="J219" s="6">
        <f t="shared" si="114"/>
        <v>0</v>
      </c>
      <c r="K219" s="2"/>
      <c r="L219" s="7">
        <f t="shared" si="115"/>
        <v>0</v>
      </c>
      <c r="M219" s="2"/>
      <c r="N219" s="6">
        <f t="shared" si="116"/>
        <v>0</v>
      </c>
      <c r="O219" s="11"/>
      <c r="P219" s="7"/>
      <c r="Q219" s="2"/>
      <c r="R219" s="6">
        <f t="shared" si="117"/>
        <v>0</v>
      </c>
      <c r="S219" s="2"/>
      <c r="T219" s="7">
        <v>50</v>
      </c>
      <c r="U219" s="2"/>
      <c r="V219" s="6">
        <f t="shared" si="118"/>
        <v>8.1479285765617665E-6</v>
      </c>
      <c r="W219" s="2"/>
      <c r="X219" s="7">
        <f t="shared" si="119"/>
        <v>-50</v>
      </c>
      <c r="Y219" s="2"/>
      <c r="Z219" s="6">
        <f t="shared" si="120"/>
        <v>-1</v>
      </c>
    </row>
    <row r="220" spans="1:26" s="24" customFormat="1" hidden="1" outlineLevel="2" x14ac:dyDescent="0.25">
      <c r="A220" s="29"/>
      <c r="B220" s="11" t="str">
        <f>CONCATENATE("          ", "6245", " - ", "PRINTING")</f>
        <v xml:space="preserve">          6245 - PRINTING</v>
      </c>
      <c r="C220" s="11"/>
      <c r="D220" s="7"/>
      <c r="E220" s="2"/>
      <c r="F220" s="6">
        <f t="shared" si="113"/>
        <v>0</v>
      </c>
      <c r="G220" s="2"/>
      <c r="H220" s="7">
        <v>650</v>
      </c>
      <c r="I220" s="2"/>
      <c r="J220" s="6">
        <f t="shared" si="114"/>
        <v>1.4543664555970734E-3</v>
      </c>
      <c r="K220" s="2"/>
      <c r="L220" s="7">
        <f t="shared" si="115"/>
        <v>-650</v>
      </c>
      <c r="M220" s="2"/>
      <c r="N220" s="6">
        <f t="shared" si="116"/>
        <v>-1</v>
      </c>
      <c r="O220" s="11"/>
      <c r="P220" s="7">
        <v>508.27</v>
      </c>
      <c r="Q220" s="2"/>
      <c r="R220" s="6">
        <f t="shared" si="117"/>
        <v>1.2790015623663246E-4</v>
      </c>
      <c r="S220" s="2"/>
      <c r="T220" s="7">
        <v>2800</v>
      </c>
      <c r="U220" s="2"/>
      <c r="V220" s="6">
        <f t="shared" si="118"/>
        <v>4.5628400028745891E-4</v>
      </c>
      <c r="W220" s="2"/>
      <c r="X220" s="7">
        <f t="shared" si="119"/>
        <v>-2291.73</v>
      </c>
      <c r="Y220" s="2"/>
      <c r="Z220" s="6">
        <f t="shared" si="120"/>
        <v>-0.81847499999999995</v>
      </c>
    </row>
    <row r="221" spans="1:26" s="24" customFormat="1" hidden="1" outlineLevel="2" x14ac:dyDescent="0.25">
      <c r="A221" s="29"/>
      <c r="B221" s="11" t="str">
        <f>CONCATENATE("          ", "6247", " - ", "STORE SUPPLIES")</f>
        <v xml:space="preserve">          6247 - STORE SUPPLIES</v>
      </c>
      <c r="C221" s="11"/>
      <c r="D221" s="7">
        <v>1850.54</v>
      </c>
      <c r="E221" s="2"/>
      <c r="F221" s="6">
        <f t="shared" si="113"/>
        <v>5.9108829956020514E-3</v>
      </c>
      <c r="G221" s="2"/>
      <c r="H221" s="7">
        <v>2675</v>
      </c>
      <c r="I221" s="2"/>
      <c r="J221" s="6">
        <f t="shared" si="114"/>
        <v>5.985277336495648E-3</v>
      </c>
      <c r="K221" s="2"/>
      <c r="L221" s="7">
        <f t="shared" si="115"/>
        <v>-824.46</v>
      </c>
      <c r="M221" s="2"/>
      <c r="N221" s="6">
        <f t="shared" si="116"/>
        <v>-0.30820934579439252</v>
      </c>
      <c r="O221" s="11"/>
      <c r="P221" s="7">
        <v>30074.390000000003</v>
      </c>
      <c r="Q221" s="2"/>
      <c r="R221" s="6">
        <f t="shared" si="117"/>
        <v>7.5678658581490492E-3</v>
      </c>
      <c r="S221" s="2"/>
      <c r="T221" s="7">
        <v>17500</v>
      </c>
      <c r="U221" s="2"/>
      <c r="V221" s="6">
        <f t="shared" si="118"/>
        <v>2.8517750017966184E-3</v>
      </c>
      <c r="W221" s="2"/>
      <c r="X221" s="7">
        <f t="shared" si="119"/>
        <v>12574.390000000003</v>
      </c>
      <c r="Y221" s="2"/>
      <c r="Z221" s="6">
        <f t="shared" si="120"/>
        <v>0.71853657142857164</v>
      </c>
    </row>
    <row r="222" spans="1:26" s="24" customFormat="1" hidden="1" outlineLevel="2" x14ac:dyDescent="0.25">
      <c r="A222" s="29"/>
      <c r="B222" s="11" t="str">
        <f>CONCATENATE("          ", "6248", " - ", "UNIFORMS")</f>
        <v xml:space="preserve">          6248 - UNIFORMS</v>
      </c>
      <c r="C222" s="11"/>
      <c r="D222" s="7"/>
      <c r="E222" s="2"/>
      <c r="F222" s="6">
        <f t="shared" si="113"/>
        <v>0</v>
      </c>
      <c r="G222" s="2"/>
      <c r="H222" s="7">
        <v>1500</v>
      </c>
      <c r="I222" s="2"/>
      <c r="J222" s="6">
        <f t="shared" si="114"/>
        <v>3.3562302821470926E-3</v>
      </c>
      <c r="K222" s="2"/>
      <c r="L222" s="7">
        <f t="shared" si="115"/>
        <v>-1500</v>
      </c>
      <c r="M222" s="2"/>
      <c r="N222" s="6">
        <f t="shared" si="116"/>
        <v>-1</v>
      </c>
      <c r="O222" s="11"/>
      <c r="P222" s="7"/>
      <c r="Q222" s="2"/>
      <c r="R222" s="6">
        <f t="shared" si="117"/>
        <v>0</v>
      </c>
      <c r="S222" s="2"/>
      <c r="T222" s="7">
        <v>9100</v>
      </c>
      <c r="U222" s="2"/>
      <c r="V222" s="6">
        <f t="shared" si="118"/>
        <v>1.4829230009342415E-3</v>
      </c>
      <c r="W222" s="2"/>
      <c r="X222" s="7">
        <f t="shared" si="119"/>
        <v>-9100</v>
      </c>
      <c r="Y222" s="2"/>
      <c r="Z222" s="6">
        <f t="shared" si="120"/>
        <v>-1</v>
      </c>
    </row>
    <row r="223" spans="1:26" s="28" customFormat="1" outlineLevel="1" collapsed="1" x14ac:dyDescent="0.25">
      <c r="A223" s="27"/>
      <c r="B223" s="14" t="str">
        <f>CONCATENATE("     ","Telephone/Data Lines                              ")</f>
        <v xml:space="preserve">     Telephone/Data Lines                              </v>
      </c>
      <c r="C223" s="14"/>
      <c r="D223" s="1">
        <f>SUM(OSRRefD22_21x_0)</f>
        <v>2254.4899999999998</v>
      </c>
      <c r="E223" s="1"/>
      <c r="F223" s="5">
        <f t="shared" ref="F223:F225" si="121">IF(D$12=0,0,D223/D$12)</f>
        <v>7.2011556652408848E-3</v>
      </c>
      <c r="G223" s="1"/>
      <c r="H223" s="1">
        <f>SUM(OSRRefH22_21x_0)</f>
        <v>2845</v>
      </c>
      <c r="I223" s="1"/>
      <c r="J223" s="5">
        <f t="shared" ref="J223:J225" si="122">IF(H$12=0,0,H223/H$12)</f>
        <v>6.3656501018056521E-3</v>
      </c>
      <c r="K223" s="1"/>
      <c r="L223" s="1">
        <f t="shared" ref="L223:L225" si="123">+D223-H223</f>
        <v>-590.51000000000022</v>
      </c>
      <c r="M223" s="1"/>
      <c r="N223" s="5">
        <f t="shared" ref="N223:N225" si="124">IF(H223=0,0,L223/H223)</f>
        <v>-0.20756063268892802</v>
      </c>
      <c r="O223" s="14"/>
      <c r="P223" s="1">
        <f>SUM(OSRRefP22_21x_0)</f>
        <v>16881.489999999998</v>
      </c>
      <c r="Q223" s="1"/>
      <c r="R223" s="5">
        <f t="shared" ref="R223:R225" si="125">IF(P$12=0,0,P223/P$12)</f>
        <v>4.248028033342806E-3</v>
      </c>
      <c r="S223" s="1"/>
      <c r="T223" s="1">
        <f>SUM(OSRRefT22_21x_0)</f>
        <v>17080</v>
      </c>
      <c r="U223" s="1"/>
      <c r="V223" s="5">
        <f t="shared" ref="V223:V225" si="126">IF(T$12=0,0,T223/T$12)</f>
        <v>2.7833324017534993E-3</v>
      </c>
      <c r="W223" s="1"/>
      <c r="X223" s="1">
        <f t="shared" ref="X223:X225" si="127">+P223-T223</f>
        <v>-198.51000000000204</v>
      </c>
      <c r="Y223" s="1"/>
      <c r="Z223" s="5">
        <f t="shared" ref="Z223:Z225" si="128">IF(T223=0,0,X223/T223)</f>
        <v>-1.1622365339578574E-2</v>
      </c>
    </row>
    <row r="224" spans="1:26" s="24" customFormat="1" hidden="1" outlineLevel="2" x14ac:dyDescent="0.25">
      <c r="A224" s="29"/>
      <c r="B224" s="11" t="str">
        <f>CONCATENATE("          ", "6303", " - ", "DATA PHONE LINES")</f>
        <v xml:space="preserve">          6303 - DATA PHONE LINES</v>
      </c>
      <c r="C224" s="11"/>
      <c r="D224" s="7"/>
      <c r="E224" s="2"/>
      <c r="F224" s="6">
        <f t="shared" si="121"/>
        <v>0</v>
      </c>
      <c r="G224" s="2"/>
      <c r="H224" s="7">
        <v>630</v>
      </c>
      <c r="I224" s="2"/>
      <c r="J224" s="6">
        <f t="shared" si="122"/>
        <v>1.4096167185017787E-3</v>
      </c>
      <c r="K224" s="2"/>
      <c r="L224" s="7">
        <f t="shared" si="123"/>
        <v>-630</v>
      </c>
      <c r="M224" s="2"/>
      <c r="N224" s="6">
        <f t="shared" si="124"/>
        <v>-1</v>
      </c>
      <c r="O224" s="11"/>
      <c r="P224" s="7">
        <v>2065</v>
      </c>
      <c r="Q224" s="2"/>
      <c r="R224" s="6">
        <f t="shared" si="125"/>
        <v>5.1963291681320165E-4</v>
      </c>
      <c r="S224" s="2"/>
      <c r="T224" s="7">
        <v>3780</v>
      </c>
      <c r="U224" s="2"/>
      <c r="V224" s="6">
        <f t="shared" si="126"/>
        <v>6.1598340038806956E-4</v>
      </c>
      <c r="W224" s="2"/>
      <c r="X224" s="7">
        <f t="shared" si="127"/>
        <v>-1715</v>
      </c>
      <c r="Y224" s="2"/>
      <c r="Z224" s="6">
        <f t="shared" si="128"/>
        <v>-0.45370370370370372</v>
      </c>
    </row>
    <row r="225" spans="1:26" s="24" customFormat="1" hidden="1" outlineLevel="2" x14ac:dyDescent="0.25">
      <c r="A225" s="29"/>
      <c r="B225" s="11" t="str">
        <f>CONCATENATE("          ", "6309", " - ", "TELEPHONE")</f>
        <v xml:space="preserve">          6309 - TELEPHONE</v>
      </c>
      <c r="C225" s="11"/>
      <c r="D225" s="7">
        <v>2254.4899999999998</v>
      </c>
      <c r="E225" s="2"/>
      <c r="F225" s="6">
        <f t="shared" si="121"/>
        <v>7.2011556652408848E-3</v>
      </c>
      <c r="G225" s="2"/>
      <c r="H225" s="7">
        <v>2215</v>
      </c>
      <c r="I225" s="2"/>
      <c r="J225" s="6">
        <f t="shared" si="122"/>
        <v>4.9560333833038733E-3</v>
      </c>
      <c r="K225" s="2"/>
      <c r="L225" s="7">
        <f t="shared" si="123"/>
        <v>39.489999999999782</v>
      </c>
      <c r="M225" s="2"/>
      <c r="N225" s="6">
        <f t="shared" si="124"/>
        <v>1.7828442437923153E-2</v>
      </c>
      <c r="O225" s="11"/>
      <c r="P225" s="7">
        <v>14816.489999999998</v>
      </c>
      <c r="Q225" s="2"/>
      <c r="R225" s="6">
        <f t="shared" si="125"/>
        <v>3.7283951165296048E-3</v>
      </c>
      <c r="S225" s="2"/>
      <c r="T225" s="7">
        <v>13300</v>
      </c>
      <c r="U225" s="2"/>
      <c r="V225" s="6">
        <f t="shared" si="126"/>
        <v>2.1673490013654297E-3</v>
      </c>
      <c r="W225" s="2"/>
      <c r="X225" s="7">
        <f t="shared" si="127"/>
        <v>1516.489999999998</v>
      </c>
      <c r="Y225" s="2"/>
      <c r="Z225" s="6">
        <f t="shared" si="128"/>
        <v>0.11402180451127804</v>
      </c>
    </row>
    <row r="226" spans="1:26" s="28" customFormat="1" outlineLevel="1" collapsed="1" x14ac:dyDescent="0.25">
      <c r="A226" s="27"/>
      <c r="B226" s="14" t="str">
        <f>CONCATENATE("     ","Training                                          ")</f>
        <v xml:space="preserve">     Training                                          </v>
      </c>
      <c r="C226" s="14"/>
      <c r="D226" s="1">
        <f>SUM(OSRRefD22_22x_0)</f>
        <v>0</v>
      </c>
      <c r="E226" s="1"/>
      <c r="F226" s="5">
        <f t="shared" ref="F226:F231" si="129">IF(D$12=0,0,D226/D$12)</f>
        <v>0</v>
      </c>
      <c r="G226" s="1"/>
      <c r="H226" s="1">
        <f>SUM(OSRRefH22_22x_0)</f>
        <v>1800</v>
      </c>
      <c r="I226" s="1"/>
      <c r="J226" s="5">
        <f t="shared" ref="J226:J231" si="130">IF(H$12=0,0,H226/H$12)</f>
        <v>4.0274763385765109E-3</v>
      </c>
      <c r="K226" s="1"/>
      <c r="L226" s="1">
        <f t="shared" ref="L226:L231" si="131">+D226-H226</f>
        <v>-1800</v>
      </c>
      <c r="M226" s="1"/>
      <c r="N226" s="5">
        <f t="shared" ref="N226:N231" si="132">IF(H226=0,0,L226/H226)</f>
        <v>-1</v>
      </c>
      <c r="O226" s="14"/>
      <c r="P226" s="1">
        <f>SUM(OSRRefP22_22x_0)</f>
        <v>245.63</v>
      </c>
      <c r="Q226" s="1"/>
      <c r="R226" s="5">
        <f t="shared" ref="R226:R231" si="133">IF(P$12=0,0,P226/P$12)</f>
        <v>6.1809895088051683E-5</v>
      </c>
      <c r="S226" s="1"/>
      <c r="T226" s="1">
        <f>SUM(OSRRefT22_22x_0)</f>
        <v>5110</v>
      </c>
      <c r="U226" s="1"/>
      <c r="V226" s="5">
        <f t="shared" ref="V226:V231" si="134">IF(T$12=0,0,T226/T$12)</f>
        <v>8.3271830052461255E-4</v>
      </c>
      <c r="W226" s="1"/>
      <c r="X226" s="1">
        <f t="shared" ref="X226:X231" si="135">+P226-T226</f>
        <v>-4864.37</v>
      </c>
      <c r="Y226" s="1"/>
      <c r="Z226" s="5">
        <f t="shared" ref="Z226:Z231" si="136">IF(T226=0,0,X226/T226)</f>
        <v>-0.95193150684931505</v>
      </c>
    </row>
    <row r="227" spans="1:26" s="24" customFormat="1" hidden="1" outlineLevel="2" x14ac:dyDescent="0.25">
      <c r="A227" s="29"/>
      <c r="B227" s="11" t="str">
        <f>CONCATENATE("          ", "6376", " - ", "TRAINING")</f>
        <v xml:space="preserve">          6376 - TRAINING</v>
      </c>
      <c r="C227" s="11"/>
      <c r="D227" s="7"/>
      <c r="E227" s="2"/>
      <c r="F227" s="6">
        <f t="shared" si="129"/>
        <v>0</v>
      </c>
      <c r="G227" s="2"/>
      <c r="H227" s="7">
        <v>1800</v>
      </c>
      <c r="I227" s="2"/>
      <c r="J227" s="6">
        <f t="shared" si="130"/>
        <v>4.0274763385765109E-3</v>
      </c>
      <c r="K227" s="2"/>
      <c r="L227" s="7">
        <f t="shared" si="131"/>
        <v>-1800</v>
      </c>
      <c r="M227" s="2"/>
      <c r="N227" s="6">
        <f t="shared" si="132"/>
        <v>-1</v>
      </c>
      <c r="O227" s="11"/>
      <c r="P227" s="7">
        <v>245.63</v>
      </c>
      <c r="Q227" s="2"/>
      <c r="R227" s="6">
        <f t="shared" si="133"/>
        <v>6.1809895088051683E-5</v>
      </c>
      <c r="S227" s="2"/>
      <c r="T227" s="7">
        <v>5110</v>
      </c>
      <c r="U227" s="2"/>
      <c r="V227" s="6">
        <f t="shared" si="134"/>
        <v>8.3271830052461255E-4</v>
      </c>
      <c r="W227" s="2"/>
      <c r="X227" s="7">
        <f t="shared" si="135"/>
        <v>-4864.37</v>
      </c>
      <c r="Y227" s="2"/>
      <c r="Z227" s="6">
        <f t="shared" si="136"/>
        <v>-0.95193150684931505</v>
      </c>
    </row>
    <row r="228" spans="1:26" s="28" customFormat="1" outlineLevel="1" collapsed="1" x14ac:dyDescent="0.25">
      <c r="A228" s="27"/>
      <c r="B228" s="14" t="str">
        <f>CONCATENATE("     ","Travel                                            ")</f>
        <v xml:space="preserve">     Travel                                            </v>
      </c>
      <c r="C228" s="14"/>
      <c r="D228" s="1">
        <f>SUM(OSRRefD22_23x_0)</f>
        <v>0</v>
      </c>
      <c r="E228" s="1"/>
      <c r="F228" s="5">
        <f t="shared" si="129"/>
        <v>0</v>
      </c>
      <c r="G228" s="1"/>
      <c r="H228" s="1">
        <f>SUM(OSRRefH22_23x_0)</f>
        <v>225</v>
      </c>
      <c r="I228" s="1"/>
      <c r="J228" s="5">
        <f t="shared" si="130"/>
        <v>5.0343454232206386E-4</v>
      </c>
      <c r="K228" s="1"/>
      <c r="L228" s="1">
        <f t="shared" si="131"/>
        <v>-225</v>
      </c>
      <c r="M228" s="1"/>
      <c r="N228" s="5">
        <f t="shared" si="132"/>
        <v>-1</v>
      </c>
      <c r="O228" s="14"/>
      <c r="P228" s="1">
        <f>SUM(OSRRefP22_23x_0)</f>
        <v>680.93</v>
      </c>
      <c r="Q228" s="1"/>
      <c r="R228" s="5">
        <f t="shared" si="133"/>
        <v>1.7134801067584184E-4</v>
      </c>
      <c r="S228" s="1"/>
      <c r="T228" s="1">
        <f>SUM(OSRRefT22_23x_0)</f>
        <v>475</v>
      </c>
      <c r="U228" s="1"/>
      <c r="V228" s="5">
        <f t="shared" si="134"/>
        <v>7.7405321477336784E-5</v>
      </c>
      <c r="W228" s="1"/>
      <c r="X228" s="1">
        <f t="shared" si="135"/>
        <v>205.92999999999995</v>
      </c>
      <c r="Y228" s="1"/>
      <c r="Z228" s="5">
        <f t="shared" si="136"/>
        <v>0.43353684210526305</v>
      </c>
    </row>
    <row r="229" spans="1:26" s="24" customFormat="1" hidden="1" outlineLevel="2" x14ac:dyDescent="0.25">
      <c r="A229" s="29"/>
      <c r="B229" s="11" t="str">
        <f>CONCATENATE("          ", "6292", " - ", "TRAVEL/CONFERENCE")</f>
        <v xml:space="preserve">          6292 - TRAVEL/CONFERENCE</v>
      </c>
      <c r="C229" s="11"/>
      <c r="D229" s="7"/>
      <c r="E229" s="2"/>
      <c r="F229" s="6">
        <f t="shared" si="129"/>
        <v>0</v>
      </c>
      <c r="G229" s="2"/>
      <c r="H229" s="7"/>
      <c r="I229" s="2"/>
      <c r="J229" s="6">
        <f t="shared" si="130"/>
        <v>0</v>
      </c>
      <c r="K229" s="2"/>
      <c r="L229" s="7">
        <f t="shared" si="131"/>
        <v>0</v>
      </c>
      <c r="M229" s="2"/>
      <c r="N229" s="6">
        <f t="shared" si="132"/>
        <v>0</v>
      </c>
      <c r="O229" s="11"/>
      <c r="P229" s="7">
        <v>299.16000000000003</v>
      </c>
      <c r="Q229" s="2"/>
      <c r="R229" s="6">
        <f t="shared" si="133"/>
        <v>7.5280088810575021E-5</v>
      </c>
      <c r="S229" s="2"/>
      <c r="T229" s="7">
        <v>0</v>
      </c>
      <c r="U229" s="2"/>
      <c r="V229" s="6">
        <f t="shared" si="134"/>
        <v>0</v>
      </c>
      <c r="W229" s="2"/>
      <c r="X229" s="7">
        <f t="shared" si="135"/>
        <v>299.16000000000003</v>
      </c>
      <c r="Y229" s="2"/>
      <c r="Z229" s="6">
        <f t="shared" si="136"/>
        <v>0</v>
      </c>
    </row>
    <row r="230" spans="1:26" s="24" customFormat="1" hidden="1" outlineLevel="2" x14ac:dyDescent="0.25">
      <c r="A230" s="29"/>
      <c r="B230" s="11" t="str">
        <f>CONCATENATE("          ", "6294", " - ", "TRAVEL OPERATIONAL")</f>
        <v xml:space="preserve">          6294 - TRAVEL OPERATIONAL</v>
      </c>
      <c r="C230" s="11"/>
      <c r="D230" s="7"/>
      <c r="E230" s="2"/>
      <c r="F230" s="6">
        <f t="shared" si="129"/>
        <v>0</v>
      </c>
      <c r="G230" s="2"/>
      <c r="H230" s="7">
        <v>25</v>
      </c>
      <c r="I230" s="2"/>
      <c r="J230" s="6">
        <f t="shared" si="130"/>
        <v>5.5937171369118206E-5</v>
      </c>
      <c r="K230" s="2"/>
      <c r="L230" s="7">
        <f t="shared" si="131"/>
        <v>-25</v>
      </c>
      <c r="M230" s="2"/>
      <c r="N230" s="6">
        <f t="shared" si="132"/>
        <v>-1</v>
      </c>
      <c r="O230" s="11"/>
      <c r="P230" s="7">
        <v>321.88</v>
      </c>
      <c r="Q230" s="2"/>
      <c r="R230" s="6">
        <f t="shared" si="133"/>
        <v>8.0997309086602108E-5</v>
      </c>
      <c r="S230" s="2"/>
      <c r="T230" s="7">
        <v>150</v>
      </c>
      <c r="U230" s="2"/>
      <c r="V230" s="6">
        <f t="shared" si="134"/>
        <v>2.4443785729685298E-5</v>
      </c>
      <c r="W230" s="2"/>
      <c r="X230" s="7">
        <f t="shared" si="135"/>
        <v>171.88</v>
      </c>
      <c r="Y230" s="2"/>
      <c r="Z230" s="6">
        <f t="shared" si="136"/>
        <v>1.1458666666666666</v>
      </c>
    </row>
    <row r="231" spans="1:26" s="24" customFormat="1" hidden="1" outlineLevel="2" x14ac:dyDescent="0.25">
      <c r="A231" s="29"/>
      <c r="B231" s="11" t="str">
        <f>CONCATENATE("          ", "6298", " - ", "VEHICLE MILEAGE")</f>
        <v xml:space="preserve">          6298 - VEHICLE MILEAGE</v>
      </c>
      <c r="C231" s="11"/>
      <c r="D231" s="7"/>
      <c r="E231" s="2"/>
      <c r="F231" s="6">
        <f t="shared" si="129"/>
        <v>0</v>
      </c>
      <c r="G231" s="2"/>
      <c r="H231" s="7">
        <v>200</v>
      </c>
      <c r="I231" s="2"/>
      <c r="J231" s="6">
        <f t="shared" si="130"/>
        <v>4.4749737095294565E-4</v>
      </c>
      <c r="K231" s="2"/>
      <c r="L231" s="7">
        <f t="shared" si="131"/>
        <v>-200</v>
      </c>
      <c r="M231" s="2"/>
      <c r="N231" s="6">
        <f t="shared" si="132"/>
        <v>-1</v>
      </c>
      <c r="O231" s="11"/>
      <c r="P231" s="7">
        <v>59.89</v>
      </c>
      <c r="Q231" s="2"/>
      <c r="R231" s="6">
        <f t="shared" si="133"/>
        <v>1.5070612778664721E-5</v>
      </c>
      <c r="S231" s="2"/>
      <c r="T231" s="7">
        <v>325</v>
      </c>
      <c r="U231" s="2"/>
      <c r="V231" s="6">
        <f t="shared" si="134"/>
        <v>5.296153574765148E-5</v>
      </c>
      <c r="W231" s="2"/>
      <c r="X231" s="7">
        <f t="shared" si="135"/>
        <v>-265.11</v>
      </c>
      <c r="Y231" s="2"/>
      <c r="Z231" s="6">
        <f t="shared" si="136"/>
        <v>-0.815723076923077</v>
      </c>
    </row>
    <row r="232" spans="1:26" s="28" customFormat="1" outlineLevel="1" collapsed="1" x14ac:dyDescent="0.25">
      <c r="A232" s="27"/>
      <c r="B232" s="14" t="str">
        <f>CONCATENATE("     ","Utilities                                         ")</f>
        <v xml:space="preserve">     Utilities                                         </v>
      </c>
      <c r="C232" s="14"/>
      <c r="D232" s="1">
        <f>SUM(OSRRefD22_24x_0)</f>
        <v>6175.61</v>
      </c>
      <c r="E232" s="1"/>
      <c r="F232" s="5">
        <f t="shared" ref="F232:F233" si="137">IF(D$12=0,0,D232/D$12)</f>
        <v>1.9725760122164333E-2</v>
      </c>
      <c r="G232" s="1"/>
      <c r="H232" s="1">
        <f>SUM(OSRRefH22_24x_0)</f>
        <v>6225</v>
      </c>
      <c r="I232" s="1"/>
      <c r="J232" s="5">
        <f t="shared" ref="J232:J233" si="138">IF(H$12=0,0,H232/H$12)</f>
        <v>1.3928355670910433E-2</v>
      </c>
      <c r="K232" s="1"/>
      <c r="L232" s="1">
        <f t="shared" ref="L232:L233" si="139">+D232-H232</f>
        <v>-49.390000000000327</v>
      </c>
      <c r="M232" s="1"/>
      <c r="N232" s="5">
        <f t="shared" ref="N232:N233" si="140">IF(H232=0,0,L232/H232)</f>
        <v>-7.9341365461847915E-3</v>
      </c>
      <c r="O232" s="14"/>
      <c r="P232" s="1">
        <f>SUM(OSRRefP22_24x_0)</f>
        <v>36761.420000000006</v>
      </c>
      <c r="Q232" s="1"/>
      <c r="R232" s="5">
        <f t="shared" ref="R232:R233" si="141">IF(P$12=0,0,P232/P$12)</f>
        <v>9.250578160191366E-3</v>
      </c>
      <c r="S232" s="1"/>
      <c r="T232" s="1">
        <f>SUM(OSRRefT22_24x_0)</f>
        <v>36750</v>
      </c>
      <c r="U232" s="1"/>
      <c r="V232" s="5">
        <f t="shared" ref="V232:V233" si="142">IF(T$12=0,0,T232/T$12)</f>
        <v>5.9887275037728985E-3</v>
      </c>
      <c r="W232" s="1"/>
      <c r="X232" s="1">
        <f t="shared" ref="X232:X233" si="143">+P232-T232</f>
        <v>11.42000000000553</v>
      </c>
      <c r="Y232" s="1"/>
      <c r="Z232" s="5">
        <f t="shared" ref="Z232:Z233" si="144">IF(T232=0,0,X232/T232)</f>
        <v>3.1074829931987836E-4</v>
      </c>
    </row>
    <row r="233" spans="1:26" s="24" customFormat="1" hidden="1" outlineLevel="2" x14ac:dyDescent="0.25">
      <c r="A233" s="29"/>
      <c r="B233" s="11" t="str">
        <f>CONCATENATE("          ", "6274", " - ", "UTILITIES")</f>
        <v xml:space="preserve">          6274 - UTILITIES</v>
      </c>
      <c r="C233" s="11"/>
      <c r="D233" s="7">
        <v>6175.61</v>
      </c>
      <c r="E233" s="2"/>
      <c r="F233" s="6">
        <f t="shared" si="137"/>
        <v>1.9725760122164333E-2</v>
      </c>
      <c r="G233" s="2"/>
      <c r="H233" s="7">
        <v>6225</v>
      </c>
      <c r="I233" s="2"/>
      <c r="J233" s="6">
        <f t="shared" si="138"/>
        <v>1.3928355670910433E-2</v>
      </c>
      <c r="K233" s="2"/>
      <c r="L233" s="7">
        <f t="shared" si="139"/>
        <v>-49.390000000000327</v>
      </c>
      <c r="M233" s="2"/>
      <c r="N233" s="6">
        <f t="shared" si="140"/>
        <v>-7.9341365461847915E-3</v>
      </c>
      <c r="O233" s="11"/>
      <c r="P233" s="7">
        <v>36761.420000000006</v>
      </c>
      <c r="Q233" s="2"/>
      <c r="R233" s="6">
        <f t="shared" si="141"/>
        <v>9.250578160191366E-3</v>
      </c>
      <c r="S233" s="2"/>
      <c r="T233" s="7">
        <v>36750</v>
      </c>
      <c r="U233" s="2"/>
      <c r="V233" s="6">
        <f t="shared" si="142"/>
        <v>5.9887275037728985E-3</v>
      </c>
      <c r="W233" s="2"/>
      <c r="X233" s="7">
        <f t="shared" si="143"/>
        <v>11.42000000000553</v>
      </c>
      <c r="Y233" s="2"/>
      <c r="Z233" s="6">
        <f t="shared" si="144"/>
        <v>3.1074829931987836E-4</v>
      </c>
    </row>
    <row r="234" spans="1:26" s="53" customFormat="1" x14ac:dyDescent="0.25">
      <c r="A234" s="36"/>
      <c r="B234" s="36"/>
      <c r="C234" s="36"/>
      <c r="D234" s="1"/>
      <c r="E234" s="1"/>
      <c r="F234" s="5"/>
      <c r="G234" s="1"/>
      <c r="H234" s="1"/>
      <c r="I234" s="1"/>
      <c r="J234" s="5"/>
      <c r="K234" s="1"/>
      <c r="L234" s="1"/>
      <c r="M234" s="1"/>
      <c r="N234" s="5"/>
      <c r="O234" s="36"/>
      <c r="P234" s="1"/>
      <c r="Q234" s="1"/>
      <c r="R234" s="5"/>
      <c r="S234" s="1"/>
      <c r="T234" s="1"/>
      <c r="U234" s="1"/>
      <c r="V234" s="5"/>
      <c r="W234" s="1"/>
      <c r="X234" s="1"/>
      <c r="Y234" s="1"/>
      <c r="Z234" s="5"/>
    </row>
    <row r="235" spans="1:26" s="23" customFormat="1" collapsed="1" x14ac:dyDescent="0.25">
      <c r="A235" s="10"/>
      <c r="B235" s="26" t="s">
        <v>0</v>
      </c>
      <c r="C235" s="10"/>
      <c r="D235" s="4">
        <f>SUM(OSRRefD25x_0)</f>
        <v>19597.010000000002</v>
      </c>
      <c r="E235" s="4"/>
      <c r="F235" s="12">
        <f t="shared" ref="F235:F240" si="145">IF(D$12=0,0,D235/D$12)</f>
        <v>6.2595584625916412E-2</v>
      </c>
      <c r="G235" s="4"/>
      <c r="H235" s="4">
        <f>SUM(OSRRefH25x_0)</f>
        <v>211950</v>
      </c>
      <c r="I235" s="4"/>
      <c r="J235" s="12">
        <f t="shared" ref="J235:J240" si="146">IF(H$12=0,0,H235/H$12)</f>
        <v>0.47423533886738417</v>
      </c>
      <c r="K235" s="4"/>
      <c r="L235" s="4">
        <f t="shared" ref="L235:L240" si="147">+D235-H235</f>
        <v>-192352.99</v>
      </c>
      <c r="M235" s="4"/>
      <c r="N235" s="12">
        <f t="shared" ref="N235:N240" si="148">IF(H235=0,0,L235/H235)</f>
        <v>-0.90753946685539033</v>
      </c>
      <c r="O235" s="10"/>
      <c r="P235" s="4">
        <f>SUM(OSRRefP25x_0)</f>
        <v>544732.37</v>
      </c>
      <c r="Q235" s="4"/>
      <c r="R235" s="12">
        <f t="shared" ref="R235:R240" si="149">IF(P$12=0,0,P235/P$12)</f>
        <v>0.13707548198821704</v>
      </c>
      <c r="S235" s="4"/>
      <c r="T235" s="4">
        <f>SUM(OSRRefT25x_0)</f>
        <v>486563</v>
      </c>
      <c r="U235" s="4"/>
      <c r="V235" s="12">
        <f t="shared" ref="V235:V240" si="150">IF(T$12=0,0,T235/T$12)</f>
        <v>7.9289611439952459E-2</v>
      </c>
      <c r="W235" s="4"/>
      <c r="X235" s="4">
        <f t="shared" ref="X235:X240" si="151">+P235-T235</f>
        <v>58169.369999999995</v>
      </c>
      <c r="Y235" s="4"/>
      <c r="Z235" s="12">
        <f t="shared" ref="Z235:Z240" si="152">IF(T235=0,0,X235/T235)</f>
        <v>0.11955156886158626</v>
      </c>
    </row>
    <row r="236" spans="1:26" s="24" customFormat="1" hidden="1" outlineLevel="1" x14ac:dyDescent="0.25">
      <c r="A236" s="51"/>
      <c r="B236" s="11" t="str">
        <f>CONCATENATE("          ", "4187", " - ", "NON-TAXABLE SALES-COMPUTER REP")</f>
        <v xml:space="preserve">          4187 - NON-TAXABLE SALES-COMPUTER REP</v>
      </c>
      <c r="C236" s="11"/>
      <c r="D236" s="2">
        <f>--471.29</f>
        <v>471.29</v>
      </c>
      <c r="E236" s="2"/>
      <c r="F236" s="22">
        <f t="shared" si="145"/>
        <v>1.5053660266718314E-3</v>
      </c>
      <c r="G236" s="2"/>
      <c r="H236" s="2"/>
      <c r="I236" s="2"/>
      <c r="J236" s="22">
        <f t="shared" si="146"/>
        <v>0</v>
      </c>
      <c r="K236" s="2"/>
      <c r="L236" s="2">
        <f t="shared" si="147"/>
        <v>471.29</v>
      </c>
      <c r="M236" s="2"/>
      <c r="N236" s="22">
        <f t="shared" si="148"/>
        <v>0</v>
      </c>
      <c r="O236" s="11"/>
      <c r="P236" s="2">
        <f>--1034.5</f>
        <v>1034.5</v>
      </c>
      <c r="Q236" s="2"/>
      <c r="R236" s="22">
        <f t="shared" si="149"/>
        <v>2.603197348393497E-4</v>
      </c>
      <c r="S236" s="2"/>
      <c r="T236" s="2"/>
      <c r="U236" s="2"/>
      <c r="V236" s="22">
        <f t="shared" si="150"/>
        <v>0</v>
      </c>
      <c r="W236" s="2"/>
      <c r="X236" s="2">
        <f t="shared" si="151"/>
        <v>1034.5</v>
      </c>
      <c r="Y236" s="2"/>
      <c r="Z236" s="22">
        <f t="shared" si="152"/>
        <v>0</v>
      </c>
    </row>
    <row r="237" spans="1:26" s="24" customFormat="1" hidden="1" outlineLevel="1" x14ac:dyDescent="0.25">
      <c r="A237" s="51"/>
      <c r="B237" s="11" t="str">
        <f>CONCATENATE("          ", "9150", " - ", "MISC. INCOME")</f>
        <v xml:space="preserve">          9150 - MISC. INCOME</v>
      </c>
      <c r="C237" s="11"/>
      <c r="D237" s="2">
        <f>--18646.02</f>
        <v>18646.02</v>
      </c>
      <c r="E237" s="2"/>
      <c r="F237" s="22">
        <f t="shared" si="145"/>
        <v>5.9557989858990218E-2</v>
      </c>
      <c r="G237" s="2"/>
      <c r="H237" s="2">
        <v>23155</v>
      </c>
      <c r="I237" s="2"/>
      <c r="J237" s="22">
        <f t="shared" si="146"/>
        <v>5.1809008122077282E-2</v>
      </c>
      <c r="K237" s="2"/>
      <c r="L237" s="2">
        <f t="shared" si="147"/>
        <v>-4508.9799999999996</v>
      </c>
      <c r="M237" s="2"/>
      <c r="N237" s="22">
        <f t="shared" si="148"/>
        <v>-0.19473029583243359</v>
      </c>
      <c r="O237" s="11"/>
      <c r="P237" s="2">
        <f>--217920.71</f>
        <v>217920.71</v>
      </c>
      <c r="Q237" s="2"/>
      <c r="R237" s="22">
        <f t="shared" si="149"/>
        <v>5.4837178775449802E-2</v>
      </c>
      <c r="S237" s="2"/>
      <c r="T237" s="2">
        <v>129633.99999999999</v>
      </c>
      <c r="U237" s="2"/>
      <c r="V237" s="22">
        <f t="shared" si="150"/>
        <v>2.1124971461880158E-2</v>
      </c>
      <c r="W237" s="2"/>
      <c r="X237" s="2">
        <f t="shared" si="151"/>
        <v>88286.71</v>
      </c>
      <c r="Y237" s="2"/>
      <c r="Z237" s="22">
        <f t="shared" si="152"/>
        <v>0.68104594473672042</v>
      </c>
    </row>
    <row r="238" spans="1:26" s="24" customFormat="1" hidden="1" outlineLevel="1" x14ac:dyDescent="0.25">
      <c r="A238" s="51"/>
      <c r="B238" s="11" t="str">
        <f>CONCATENATE("          ", "9151", " - ", "MISC. INCOME")</f>
        <v xml:space="preserve">          9151 - MISC. INCOME</v>
      </c>
      <c r="C238" s="11"/>
      <c r="D238" s="2">
        <f>0</f>
        <v>0</v>
      </c>
      <c r="E238" s="2"/>
      <c r="F238" s="22">
        <f t="shared" si="145"/>
        <v>0</v>
      </c>
      <c r="G238" s="2"/>
      <c r="H238" s="2">
        <v>188795</v>
      </c>
      <c r="I238" s="2"/>
      <c r="J238" s="22">
        <f t="shared" si="146"/>
        <v>0.42242633074530689</v>
      </c>
      <c r="K238" s="2"/>
      <c r="L238" s="2">
        <f t="shared" si="147"/>
        <v>-188795</v>
      </c>
      <c r="M238" s="2"/>
      <c r="N238" s="22">
        <f t="shared" si="148"/>
        <v>-1</v>
      </c>
      <c r="O238" s="11"/>
      <c r="P238" s="2">
        <f>--147285.39</f>
        <v>147285.39000000001</v>
      </c>
      <c r="Q238" s="2"/>
      <c r="R238" s="22">
        <f t="shared" si="149"/>
        <v>3.7062632837612582E-2</v>
      </c>
      <c r="S238" s="2"/>
      <c r="T238" s="2">
        <v>356929</v>
      </c>
      <c r="U238" s="2"/>
      <c r="V238" s="22">
        <f t="shared" si="150"/>
        <v>5.8164639978072294E-2</v>
      </c>
      <c r="W238" s="2"/>
      <c r="X238" s="2">
        <f t="shared" si="151"/>
        <v>-209643.61</v>
      </c>
      <c r="Y238" s="2"/>
      <c r="Z238" s="22">
        <f t="shared" si="152"/>
        <v>-0.58735381546470022</v>
      </c>
    </row>
    <row r="239" spans="1:26" s="24" customFormat="1" hidden="1" outlineLevel="1" x14ac:dyDescent="0.25">
      <c r="A239" s="51"/>
      <c r="B239" s="11" t="str">
        <f>CONCATENATE("          ", "9152", " - ", "MISC. INCOME")</f>
        <v xml:space="preserve">          9152 - MISC. INCOME</v>
      </c>
      <c r="C239" s="11"/>
      <c r="D239" s="2">
        <f>--479.7</f>
        <v>479.7</v>
      </c>
      <c r="E239" s="2"/>
      <c r="F239" s="22">
        <f t="shared" si="145"/>
        <v>1.5322287402543603E-3</v>
      </c>
      <c r="G239" s="2"/>
      <c r="H239" s="2"/>
      <c r="I239" s="2"/>
      <c r="J239" s="22">
        <f t="shared" si="146"/>
        <v>0</v>
      </c>
      <c r="K239" s="2"/>
      <c r="L239" s="2">
        <f t="shared" si="147"/>
        <v>479.7</v>
      </c>
      <c r="M239" s="2"/>
      <c r="N239" s="22">
        <f t="shared" si="148"/>
        <v>0</v>
      </c>
      <c r="O239" s="11"/>
      <c r="P239" s="2">
        <f>--3085.93</f>
        <v>3085.93</v>
      </c>
      <c r="Q239" s="2"/>
      <c r="R239" s="22">
        <f t="shared" si="149"/>
        <v>7.7653792105635033E-4</v>
      </c>
      <c r="S239" s="2"/>
      <c r="T239" s="2"/>
      <c r="U239" s="2"/>
      <c r="V239" s="22">
        <f t="shared" si="150"/>
        <v>0</v>
      </c>
      <c r="W239" s="2"/>
      <c r="X239" s="2">
        <f t="shared" si="151"/>
        <v>3085.93</v>
      </c>
      <c r="Y239" s="2"/>
      <c r="Z239" s="22">
        <f t="shared" si="152"/>
        <v>0</v>
      </c>
    </row>
    <row r="240" spans="1:26" s="24" customFormat="1" hidden="1" outlineLevel="1" x14ac:dyDescent="0.25">
      <c r="A240" s="51"/>
      <c r="B240" s="11" t="str">
        <f>CONCATENATE("          ", "9163", " - ", "MISC. INCOME")</f>
        <v xml:space="preserve">          9163 - MISC. INCOME</v>
      </c>
      <c r="C240" s="11"/>
      <c r="D240" s="2">
        <f>0</f>
        <v>0</v>
      </c>
      <c r="E240" s="2"/>
      <c r="F240" s="22">
        <f t="shared" si="145"/>
        <v>0</v>
      </c>
      <c r="G240" s="2"/>
      <c r="H240" s="2"/>
      <c r="I240" s="2"/>
      <c r="J240" s="22">
        <f t="shared" si="146"/>
        <v>0</v>
      </c>
      <c r="K240" s="2"/>
      <c r="L240" s="2">
        <f t="shared" si="147"/>
        <v>0</v>
      </c>
      <c r="M240" s="2"/>
      <c r="N240" s="22">
        <f t="shared" si="148"/>
        <v>0</v>
      </c>
      <c r="O240" s="11"/>
      <c r="P240" s="2">
        <f>--175405.84</f>
        <v>175405.84</v>
      </c>
      <c r="Q240" s="2"/>
      <c r="R240" s="22">
        <f t="shared" si="149"/>
        <v>4.4138812719258964E-2</v>
      </c>
      <c r="S240" s="2"/>
      <c r="T240" s="2"/>
      <c r="U240" s="2"/>
      <c r="V240" s="22">
        <f t="shared" si="150"/>
        <v>0</v>
      </c>
      <c r="W240" s="2"/>
      <c r="X240" s="2">
        <f t="shared" si="151"/>
        <v>175405.84</v>
      </c>
      <c r="Y240" s="2"/>
      <c r="Z240" s="22">
        <f t="shared" si="152"/>
        <v>0</v>
      </c>
    </row>
    <row r="241" spans="1:26" x14ac:dyDescent="0.25">
      <c r="A241" s="9"/>
      <c r="B241" s="10"/>
      <c r="C241" s="10"/>
      <c r="D241" s="3"/>
      <c r="E241" s="3"/>
      <c r="F241" s="8"/>
      <c r="G241" s="3"/>
      <c r="H241" s="3"/>
      <c r="I241" s="3"/>
      <c r="J241" s="8"/>
      <c r="K241" s="3"/>
      <c r="L241" s="3"/>
      <c r="M241" s="3"/>
      <c r="N241" s="8"/>
      <c r="O241" s="10"/>
      <c r="P241" s="3"/>
      <c r="Q241" s="3"/>
      <c r="R241" s="8"/>
      <c r="S241" s="3"/>
      <c r="T241" s="3"/>
      <c r="U241" s="3"/>
      <c r="V241" s="8"/>
      <c r="W241" s="3"/>
      <c r="X241" s="3"/>
      <c r="Y241" s="3"/>
      <c r="Z241" s="8"/>
    </row>
    <row r="242" spans="1:26" s="23" customFormat="1" x14ac:dyDescent="0.25">
      <c r="A242" s="10"/>
      <c r="B242" s="25" t="s">
        <v>3</v>
      </c>
      <c r="C242" s="25"/>
      <c r="D242" s="21">
        <f>+D135-D137+D235</f>
        <v>-136975.07999999996</v>
      </c>
      <c r="E242" s="13"/>
      <c r="F242" s="19">
        <f>IF(D$12=0,0,D242/D$12)</f>
        <v>-0.43751751985540999</v>
      </c>
      <c r="G242" s="13"/>
      <c r="H242" s="21">
        <f>+H135-H137+H235</f>
        <v>58497.264622038463</v>
      </c>
      <c r="I242" s="13"/>
      <c r="J242" s="19">
        <f>IF(H$12=0,0,H242/H$12)</f>
        <v>0.13088686063150484</v>
      </c>
      <c r="K242" s="16"/>
      <c r="L242" s="21">
        <f>+D242-H242</f>
        <v>-195472.34462203842</v>
      </c>
      <c r="M242" s="16"/>
      <c r="N242" s="19">
        <f>IF(H242=0,0,L242/H242)</f>
        <v>-3.3415638472161224</v>
      </c>
      <c r="O242" s="26"/>
      <c r="P242" s="21">
        <f>+P135-P137+P235</f>
        <v>-119550.31999999715</v>
      </c>
      <c r="Q242" s="13"/>
      <c r="R242" s="19">
        <f>IF(P$12=0,0,P242/P$12)</f>
        <v>-3.0083429291791846E-2</v>
      </c>
      <c r="S242" s="13"/>
      <c r="T242" s="21">
        <f>+T135-T137+T235</f>
        <v>353687.37873474974</v>
      </c>
      <c r="U242" s="13"/>
      <c r="V242" s="19">
        <f>IF(T$12=0,0,T242/T$12)</f>
        <v>5.7636390007241835E-2</v>
      </c>
      <c r="W242" s="16"/>
      <c r="X242" s="21">
        <f>+P242-T242</f>
        <v>-473237.6987347469</v>
      </c>
      <c r="Y242" s="16"/>
      <c r="Z242" s="19">
        <f>IF(T242=0,0,X242/T242)</f>
        <v>-1.3380112698046112</v>
      </c>
    </row>
    <row r="243" spans="1:26" x14ac:dyDescent="0.25">
      <c r="A243" s="9"/>
      <c r="B243" s="10"/>
      <c r="C243" s="9"/>
      <c r="D243" s="3"/>
      <c r="E243" s="3"/>
      <c r="F243" s="8"/>
      <c r="G243" s="3"/>
      <c r="H243" s="3"/>
      <c r="I243" s="3"/>
      <c r="J243" s="8"/>
      <c r="K243" s="3"/>
      <c r="L243" s="3"/>
      <c r="M243" s="3"/>
      <c r="N243" s="8"/>
      <c r="P243" s="3"/>
      <c r="Q243" s="3"/>
      <c r="R243" s="8"/>
      <c r="S243" s="3"/>
      <c r="T243" s="3"/>
      <c r="U243" s="3"/>
      <c r="V243" s="8"/>
      <c r="W243" s="3"/>
      <c r="X243" s="3"/>
      <c r="Y243" s="3"/>
      <c r="Z243" s="8"/>
    </row>
    <row r="244" spans="1:26" s="23" customFormat="1" x14ac:dyDescent="0.25">
      <c r="A244" s="52"/>
      <c r="B244" s="10" t="s">
        <v>14</v>
      </c>
      <c r="C244" s="10"/>
      <c r="D244" s="4">
        <v>153558.1</v>
      </c>
      <c r="E244" s="4"/>
      <c r="F244" s="12">
        <f>IF(D$12=0,0,D244/D$12)</f>
        <v>0.49048599983083824</v>
      </c>
      <c r="G244" s="4"/>
      <c r="H244" s="4">
        <v>153475</v>
      </c>
      <c r="I244" s="4"/>
      <c r="J244" s="12">
        <f>IF(H$12=0,0,H244/H$12)</f>
        <v>0.34339829503501668</v>
      </c>
      <c r="K244" s="4"/>
      <c r="L244" s="4">
        <f>+D244-H244</f>
        <v>83.100000000005821</v>
      </c>
      <c r="M244" s="4"/>
      <c r="N244" s="12">
        <f>IF(H244=0,0,L244/H244)</f>
        <v>5.4145626323509252E-4</v>
      </c>
      <c r="O244" s="10"/>
      <c r="P244" s="4">
        <v>735266.59</v>
      </c>
      <c r="Q244" s="4"/>
      <c r="R244" s="12">
        <f>IF(P$12=0,0,P244/P$12)</f>
        <v>0.18502117326731063</v>
      </c>
      <c r="S244" s="4"/>
      <c r="T244" s="4">
        <v>1168990</v>
      </c>
      <c r="U244" s="4"/>
      <c r="V244" s="12">
        <f>IF(T$12=0,0,T244/T$12)</f>
        <v>0.19049694053429878</v>
      </c>
      <c r="W244" s="4"/>
      <c r="X244" s="4">
        <f>+P244-T244</f>
        <v>-433723.41000000003</v>
      </c>
      <c r="Y244" s="4"/>
      <c r="Z244" s="12">
        <f>IF(T244=0,0,X244/T244)</f>
        <v>-0.37102405495342133</v>
      </c>
    </row>
    <row r="245" spans="1:26" x14ac:dyDescent="0.25">
      <c r="A245" s="9"/>
      <c r="B245" s="10"/>
      <c r="C245" s="10"/>
      <c r="D245" s="3"/>
      <c r="E245" s="3"/>
      <c r="F245" s="8"/>
      <c r="G245" s="3"/>
      <c r="H245" s="3"/>
      <c r="I245" s="3"/>
      <c r="J245" s="8"/>
      <c r="K245" s="3"/>
      <c r="L245" s="3"/>
      <c r="M245" s="3"/>
      <c r="N245" s="8"/>
      <c r="O245" s="10"/>
      <c r="P245" s="3"/>
      <c r="Q245" s="3"/>
      <c r="R245" s="8"/>
      <c r="S245" s="3"/>
      <c r="T245" s="3"/>
      <c r="U245" s="3"/>
      <c r="V245" s="8"/>
      <c r="W245" s="3"/>
      <c r="X245" s="3"/>
      <c r="Y245" s="3"/>
      <c r="Z245" s="8"/>
    </row>
    <row r="246" spans="1:26" s="23" customFormat="1" ht="15.75" thickBot="1" x14ac:dyDescent="0.3">
      <c r="A246" s="10"/>
      <c r="B246" s="25" t="s">
        <v>4</v>
      </c>
      <c r="C246" s="25"/>
      <c r="D246" s="34">
        <f>+D242-D244</f>
        <v>-290533.17999999993</v>
      </c>
      <c r="E246" s="13"/>
      <c r="F246" s="31">
        <f>IF(D$12=0,0,D246/D$12)</f>
        <v>-0.92800351968624806</v>
      </c>
      <c r="G246" s="13"/>
      <c r="H246" s="34">
        <f>+H242-H244</f>
        <v>-94977.735377961537</v>
      </c>
      <c r="I246" s="13"/>
      <c r="J246" s="31">
        <f>IF(H$12=0,0,H246/H$12)</f>
        <v>-0.21251143440351181</v>
      </c>
      <c r="K246" s="16"/>
      <c r="L246" s="34">
        <f>D246-H246</f>
        <v>-195555.4446220384</v>
      </c>
      <c r="M246" s="16"/>
      <c r="N246" s="31">
        <f>IF(H246=0,0,L246/H246)</f>
        <v>2.0589609116687226</v>
      </c>
      <c r="O246" s="26"/>
      <c r="P246" s="34">
        <f>+P242-P244</f>
        <v>-854816.90999999712</v>
      </c>
      <c r="Q246" s="13"/>
      <c r="R246" s="31">
        <f>IF(P$12=0,0,P246/P$12)</f>
        <v>-0.21510460255910246</v>
      </c>
      <c r="S246" s="13"/>
      <c r="T246" s="34">
        <f>+T242-T244</f>
        <v>-815302.62126525026</v>
      </c>
      <c r="U246" s="13"/>
      <c r="V246" s="31">
        <f>IF(T$12=0,0,T246/T$12)</f>
        <v>-0.13286055052705695</v>
      </c>
      <c r="W246" s="16"/>
      <c r="X246" s="34">
        <f>P246-T246</f>
        <v>-39514.288734746864</v>
      </c>
      <c r="Y246" s="16"/>
      <c r="Z246" s="31">
        <f>IF(T246=0,0,X246/T246)</f>
        <v>4.8465793809696706E-2</v>
      </c>
    </row>
    <row r="247" spans="1:26" ht="15.75" thickTop="1" x14ac:dyDescent="0.25">
      <c r="A247" s="9"/>
      <c r="B247" s="9"/>
      <c r="C247" s="9"/>
      <c r="D247" s="3"/>
      <c r="E247" s="3"/>
      <c r="F247" s="8"/>
      <c r="G247" s="3"/>
      <c r="H247" s="3"/>
      <c r="I247" s="3"/>
      <c r="J247" s="8"/>
      <c r="K247" s="3"/>
      <c r="L247" s="3"/>
      <c r="M247" s="3"/>
      <c r="N247" s="8"/>
      <c r="P247" s="3"/>
      <c r="Q247" s="3"/>
      <c r="R247" s="8"/>
      <c r="S247" s="3"/>
      <c r="T247" s="3"/>
      <c r="U247" s="3"/>
      <c r="V247" s="8"/>
      <c r="W247" s="3"/>
      <c r="X247" s="3"/>
      <c r="Y247" s="3"/>
      <c r="Z247" s="8"/>
    </row>
    <row r="248" spans="1:26" x14ac:dyDescent="0.25">
      <c r="A248" s="9"/>
      <c r="B248" s="9"/>
      <c r="C248" s="9"/>
      <c r="D248" s="3"/>
      <c r="E248" s="3"/>
      <c r="F248" s="8"/>
      <c r="G248" s="3"/>
      <c r="H248" s="3"/>
      <c r="I248" s="3"/>
      <c r="J248" s="8"/>
      <c r="K248" s="3"/>
      <c r="L248" s="3"/>
      <c r="M248" s="3"/>
      <c r="N248" s="8"/>
      <c r="P248" s="3"/>
      <c r="Q248" s="3"/>
      <c r="R248" s="8"/>
      <c r="S248" s="3"/>
      <c r="T248" s="3"/>
      <c r="U248" s="3"/>
      <c r="V248" s="8"/>
      <c r="W248" s="3"/>
      <c r="X248" s="3"/>
      <c r="Y248" s="3"/>
      <c r="Z248" s="8"/>
    </row>
    <row r="249" spans="1:26" s="23" customFormat="1" ht="15.75" thickBot="1" x14ac:dyDescent="0.3">
      <c r="A249" s="10"/>
      <c r="B249" s="25" t="s">
        <v>5</v>
      </c>
      <c r="C249" s="25"/>
      <c r="D249" s="33">
        <f>SUM(D246:D248)</f>
        <v>-290533.17999999993</v>
      </c>
      <c r="E249" s="13"/>
      <c r="F249" s="32">
        <f>IF(D$12=0,0,D249/D$12)</f>
        <v>-0.92800351968624806</v>
      </c>
      <c r="G249" s="13"/>
      <c r="H249" s="33">
        <f>SUM(H246:H248)</f>
        <v>-94977.735377961537</v>
      </c>
      <c r="I249" s="13"/>
      <c r="J249" s="32">
        <f>IF(H$12=0,0,H249/H$12)</f>
        <v>-0.21251143440351181</v>
      </c>
      <c r="K249" s="16"/>
      <c r="L249" s="33">
        <f>+D249-H249</f>
        <v>-195555.4446220384</v>
      </c>
      <c r="M249" s="16"/>
      <c r="N249" s="32">
        <f>IF(H249=0,0,L249/H249)</f>
        <v>2.0589609116687226</v>
      </c>
      <c r="O249" s="26"/>
      <c r="P249" s="33">
        <f>SUM(P246:P248)</f>
        <v>-854816.90999999712</v>
      </c>
      <c r="Q249" s="13"/>
      <c r="R249" s="32">
        <f>IF(P$12=0,0,P249/P$12)</f>
        <v>-0.21510460255910246</v>
      </c>
      <c r="S249" s="13"/>
      <c r="T249" s="33">
        <f>SUM(T246:T248)</f>
        <v>-815302.62126525026</v>
      </c>
      <c r="U249" s="13"/>
      <c r="V249" s="32">
        <f>IF(T$12=0,0,T249/T$12)</f>
        <v>-0.13286055052705695</v>
      </c>
      <c r="W249" s="16"/>
      <c r="X249" s="33">
        <f>+P249-T249</f>
        <v>-39514.288734746864</v>
      </c>
      <c r="Y249" s="16"/>
      <c r="Z249" s="32">
        <f>IF(T249=0,0,X249/T249)</f>
        <v>4.8465793809696706E-2</v>
      </c>
    </row>
    <row r="250" spans="1:26" ht="15.75" thickTop="1" x14ac:dyDescent="0.25">
      <c r="A250" s="9"/>
      <c r="C250" s="9"/>
      <c r="D250" s="18"/>
      <c r="E250" s="18"/>
      <c r="G250" s="18"/>
      <c r="H250" s="18"/>
      <c r="I250" s="18"/>
      <c r="J250" s="43"/>
      <c r="K250" s="18"/>
      <c r="L250" s="18"/>
      <c r="M250" s="18"/>
      <c r="P250" s="18"/>
      <c r="Q250" s="18"/>
      <c r="R250" s="43"/>
      <c r="S250" s="18"/>
      <c r="T250" s="18"/>
      <c r="U250" s="18"/>
      <c r="V250" s="43"/>
      <c r="W250" s="18"/>
      <c r="X250" s="18"/>
    </row>
    <row r="251" spans="1:26" x14ac:dyDescent="0.25">
      <c r="A251" s="9"/>
      <c r="B251" s="63">
        <v>44209.518091666665</v>
      </c>
      <c r="D251" s="18"/>
      <c r="E251" s="18"/>
      <c r="G251" s="18"/>
      <c r="H251" s="18"/>
      <c r="I251" s="18"/>
      <c r="J251" s="43"/>
      <c r="K251" s="18"/>
      <c r="L251" s="18"/>
      <c r="M251" s="18"/>
      <c r="P251" s="18"/>
      <c r="Q251" s="18"/>
      <c r="R251" s="43"/>
      <c r="S251" s="18"/>
      <c r="T251" s="18"/>
      <c r="U251" s="18"/>
      <c r="V251" s="43"/>
      <c r="W251" s="18"/>
      <c r="X251" s="18"/>
    </row>
    <row r="252" spans="1:26" x14ac:dyDescent="0.25">
      <c r="A252" s="9"/>
      <c r="B252" s="60" t="s">
        <v>314</v>
      </c>
      <c r="D252" s="18"/>
      <c r="E252" s="18"/>
      <c r="G252" s="18"/>
      <c r="H252" s="18"/>
      <c r="I252" s="18"/>
      <c r="J252" s="43"/>
      <c r="K252" s="18"/>
      <c r="L252" s="18"/>
      <c r="M252" s="18"/>
      <c r="P252" s="18"/>
      <c r="Q252" s="18"/>
      <c r="R252" s="43"/>
      <c r="S252" s="18"/>
      <c r="T252" s="18"/>
      <c r="U252" s="18"/>
      <c r="V252" s="43"/>
      <c r="W252" s="18"/>
      <c r="X252" s="18"/>
    </row>
    <row r="253" spans="1:26" x14ac:dyDescent="0.25">
      <c r="A253" s="9"/>
      <c r="B253" s="58"/>
      <c r="D253" s="18"/>
      <c r="E253" s="18"/>
      <c r="G253" s="18"/>
      <c r="H253" s="18"/>
      <c r="I253" s="18"/>
      <c r="J253" s="43"/>
      <c r="K253" s="18"/>
      <c r="L253" s="18"/>
      <c r="M253" s="18"/>
      <c r="P253" s="18"/>
      <c r="Q253" s="18"/>
      <c r="R253" s="43"/>
      <c r="S253" s="18"/>
      <c r="T253" s="18"/>
      <c r="U253" s="18"/>
      <c r="V253" s="43"/>
      <c r="W253" s="18"/>
      <c r="X253" s="18"/>
    </row>
    <row r="254" spans="1:26" x14ac:dyDescent="0.25">
      <c r="D254" s="18"/>
      <c r="E254" s="18"/>
      <c r="G254" s="18"/>
      <c r="H254" s="18"/>
      <c r="I254" s="18"/>
      <c r="J254" s="43"/>
      <c r="K254" s="18"/>
      <c r="L254" s="18"/>
      <c r="M254" s="18"/>
      <c r="P254" s="18"/>
      <c r="Q254" s="18"/>
      <c r="R254" s="43"/>
      <c r="S254" s="18"/>
      <c r="T254" s="18"/>
      <c r="U254" s="18"/>
      <c r="V254" s="43"/>
      <c r="W254" s="18"/>
      <c r="X254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","301", " - ", "Bookstore Operations")</f>
        <v>Department 301 - Bookstore Operations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6"/>
      <c r="L16" s="21">
        <f>+D16-H16</f>
        <v>0</v>
      </c>
      <c r="M16" s="16"/>
      <c r="N16" s="19">
        <f>IF(H16=0,0,L16/H16)</f>
        <v>0</v>
      </c>
      <c r="O16" s="26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6"/>
      <c r="X16" s="21">
        <f>+P16-T16</f>
        <v>0</v>
      </c>
      <c r="Y16" s="16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101696.02999999997</v>
      </c>
      <c r="E18" s="20"/>
      <c r="F18" s="30">
        <f t="shared" ref="F18:F29" si="0">IF(D$12=0,0,D18/D$12)</f>
        <v>0</v>
      </c>
      <c r="G18" s="20"/>
      <c r="H18" s="20">
        <f>SUM(OSRRefH22x_0)</f>
        <v>139685.12364033848</v>
      </c>
      <c r="I18" s="20"/>
      <c r="J18" s="30">
        <f t="shared" ref="J18:J29" si="1">IF(H$12=0,0,H18/H$12)</f>
        <v>0</v>
      </c>
      <c r="K18" s="4"/>
      <c r="L18" s="20">
        <f t="shared" ref="L18:L29" si="2">+D18-H18</f>
        <v>-37989.093640338513</v>
      </c>
      <c r="M18" s="4"/>
      <c r="N18" s="30">
        <f t="shared" ref="N18:N29" si="3">IF(H18=0,0,L18/H18)</f>
        <v>-0.27196234395119201</v>
      </c>
      <c r="O18" s="10"/>
      <c r="P18" s="20">
        <f>SUM(OSRRefP22x_0)</f>
        <v>733088.14000000013</v>
      </c>
      <c r="Q18" s="20"/>
      <c r="R18" s="30">
        <f t="shared" ref="R18:R29" si="4">IF(P$12=0,0,P18/P$12)</f>
        <v>0</v>
      </c>
      <c r="S18" s="20"/>
      <c r="T18" s="20">
        <f>SUM(OSRRefT22x_0)</f>
        <v>918714.98301720002</v>
      </c>
      <c r="U18" s="20"/>
      <c r="V18" s="30">
        <f t="shared" ref="V18:V29" si="5">IF(T$12=0,0,T18/T$12)</f>
        <v>0</v>
      </c>
      <c r="W18" s="4"/>
      <c r="X18" s="20">
        <f t="shared" ref="X18:X29" si="6">+P18-T18</f>
        <v>-185626.84301719989</v>
      </c>
      <c r="Y18" s="4"/>
      <c r="Z18" s="30">
        <f t="shared" ref="Z18:Z29" si="7">IF(T18=0,0,X18/T18)</f>
        <v>-0.20205052322927514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8093.39</v>
      </c>
      <c r="E19" s="1"/>
      <c r="F19" s="5">
        <f t="shared" si="0"/>
        <v>0</v>
      </c>
      <c r="G19" s="1"/>
      <c r="H19" s="1">
        <f>SUM(OSRRefH22_0x_0)</f>
        <v>7896.3781018769296</v>
      </c>
      <c r="I19" s="1"/>
      <c r="J19" s="5">
        <f t="shared" si="1"/>
        <v>0</v>
      </c>
      <c r="K19" s="1"/>
      <c r="L19" s="1">
        <f t="shared" si="2"/>
        <v>197.01189812307075</v>
      </c>
      <c r="M19" s="1"/>
      <c r="N19" s="5">
        <f t="shared" si="3"/>
        <v>2.494965357297696E-2</v>
      </c>
      <c r="O19" s="14"/>
      <c r="P19" s="1">
        <f>SUM(OSRRefP22_0x_0)</f>
        <v>50633.89</v>
      </c>
      <c r="Q19" s="1"/>
      <c r="R19" s="5">
        <f t="shared" si="4"/>
        <v>0</v>
      </c>
      <c r="S19" s="1"/>
      <c r="T19" s="1">
        <f>SUM(OSRRefT22_0x_0)</f>
        <v>53926.387017200002</v>
      </c>
      <c r="U19" s="1"/>
      <c r="V19" s="5">
        <f t="shared" si="5"/>
        <v>0</v>
      </c>
      <c r="W19" s="1"/>
      <c r="X19" s="1">
        <f t="shared" si="6"/>
        <v>-3292.497017200003</v>
      </c>
      <c r="Y19" s="1"/>
      <c r="Z19" s="5">
        <f t="shared" si="7"/>
        <v>-6.1055397910300388E-2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1775.58</v>
      </c>
      <c r="E20" s="2"/>
      <c r="F20" s="6">
        <f t="shared" si="0"/>
        <v>0</v>
      </c>
      <c r="G20" s="2"/>
      <c r="H20" s="7">
        <v>1590.95202895385</v>
      </c>
      <c r="I20" s="2"/>
      <c r="J20" s="6">
        <f t="shared" si="1"/>
        <v>0</v>
      </c>
      <c r="K20" s="2"/>
      <c r="L20" s="7">
        <f t="shared" si="2"/>
        <v>184.62797104614992</v>
      </c>
      <c r="M20" s="2"/>
      <c r="N20" s="6">
        <f t="shared" si="3"/>
        <v>0.11604873540250885</v>
      </c>
      <c r="O20" s="11"/>
      <c r="P20" s="7">
        <v>15013.12</v>
      </c>
      <c r="Q20" s="2"/>
      <c r="R20" s="6">
        <f t="shared" si="4"/>
        <v>0</v>
      </c>
      <c r="S20" s="2"/>
      <c r="T20" s="7">
        <v>13626.31496820002</v>
      </c>
      <c r="U20" s="2"/>
      <c r="V20" s="6">
        <f t="shared" si="5"/>
        <v>0</v>
      </c>
      <c r="W20" s="2"/>
      <c r="X20" s="7">
        <f t="shared" si="6"/>
        <v>1386.8050317999805</v>
      </c>
      <c r="Y20" s="2"/>
      <c r="Z20" s="6">
        <f t="shared" si="7"/>
        <v>0.10177403318772484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841.14</v>
      </c>
      <c r="E21" s="2"/>
      <c r="F21" s="6">
        <f t="shared" si="0"/>
        <v>0</v>
      </c>
      <c r="G21" s="2"/>
      <c r="H21" s="7">
        <v>743.89621384615407</v>
      </c>
      <c r="I21" s="2"/>
      <c r="J21" s="6">
        <f t="shared" si="1"/>
        <v>0</v>
      </c>
      <c r="K21" s="2"/>
      <c r="L21" s="7">
        <f t="shared" si="2"/>
        <v>97.243786153845917</v>
      </c>
      <c r="M21" s="2"/>
      <c r="N21" s="6">
        <f t="shared" si="3"/>
        <v>0.13072224907701574</v>
      </c>
      <c r="O21" s="11"/>
      <c r="P21" s="7">
        <v>4629.07</v>
      </c>
      <c r="Q21" s="2"/>
      <c r="R21" s="6">
        <f t="shared" si="4"/>
        <v>0</v>
      </c>
      <c r="S21" s="2"/>
      <c r="T21" s="7">
        <v>5045.6380149999941</v>
      </c>
      <c r="U21" s="2"/>
      <c r="V21" s="6">
        <f t="shared" si="5"/>
        <v>0</v>
      </c>
      <c r="W21" s="2"/>
      <c r="X21" s="7">
        <f t="shared" si="6"/>
        <v>-416.56801499999438</v>
      </c>
      <c r="Y21" s="2"/>
      <c r="Z21" s="6">
        <f t="shared" si="7"/>
        <v>-8.2560027842186551E-2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1727.95</v>
      </c>
      <c r="E22" s="2"/>
      <c r="F22" s="6">
        <f t="shared" si="0"/>
        <v>0</v>
      </c>
      <c r="G22" s="2"/>
      <c r="H22" s="7">
        <v>3355.9615384615399</v>
      </c>
      <c r="I22" s="2"/>
      <c r="J22" s="6">
        <f t="shared" si="1"/>
        <v>0</v>
      </c>
      <c r="K22" s="2"/>
      <c r="L22" s="7">
        <f t="shared" si="2"/>
        <v>-1628.0115384615399</v>
      </c>
      <c r="M22" s="2"/>
      <c r="N22" s="6">
        <f t="shared" si="3"/>
        <v>-0.4851103088648217</v>
      </c>
      <c r="O22" s="11"/>
      <c r="P22" s="7">
        <v>9851.73</v>
      </c>
      <c r="Q22" s="2"/>
      <c r="R22" s="6">
        <f t="shared" si="4"/>
        <v>0</v>
      </c>
      <c r="S22" s="2"/>
      <c r="T22" s="7">
        <v>20775</v>
      </c>
      <c r="U22" s="2"/>
      <c r="V22" s="6">
        <f t="shared" si="5"/>
        <v>0</v>
      </c>
      <c r="W22" s="2"/>
      <c r="X22" s="7">
        <f t="shared" si="6"/>
        <v>-10923.27</v>
      </c>
      <c r="Y22" s="2"/>
      <c r="Z22" s="6">
        <f t="shared" si="7"/>
        <v>-0.52578916967509026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104.54757600000001</v>
      </c>
      <c r="I23" s="2"/>
      <c r="J23" s="6">
        <f t="shared" si="1"/>
        <v>0</v>
      </c>
      <c r="K23" s="2"/>
      <c r="L23" s="7">
        <f t="shared" si="2"/>
        <v>-104.54757600000001</v>
      </c>
      <c r="M23" s="2"/>
      <c r="N23" s="6">
        <f t="shared" si="3"/>
        <v>-1</v>
      </c>
      <c r="O23" s="11"/>
      <c r="P23" s="7">
        <v>599.66999999999996</v>
      </c>
      <c r="Q23" s="2"/>
      <c r="R23" s="6">
        <f t="shared" si="4"/>
        <v>0</v>
      </c>
      <c r="S23" s="2"/>
      <c r="T23" s="7">
        <v>709.11669400000005</v>
      </c>
      <c r="U23" s="2"/>
      <c r="V23" s="6">
        <f t="shared" si="5"/>
        <v>0</v>
      </c>
      <c r="W23" s="2"/>
      <c r="X23" s="7">
        <f t="shared" si="6"/>
        <v>-109.44669400000009</v>
      </c>
      <c r="Y23" s="2"/>
      <c r="Z23" s="6">
        <f t="shared" si="7"/>
        <v>-0.15434228939475522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1371.62</v>
      </c>
      <c r="E24" s="2"/>
      <c r="F24" s="6">
        <f t="shared" si="0"/>
        <v>0</v>
      </c>
      <c r="G24" s="2"/>
      <c r="H24" s="7">
        <v>731.74012923076907</v>
      </c>
      <c r="I24" s="2"/>
      <c r="J24" s="6">
        <f t="shared" si="1"/>
        <v>0</v>
      </c>
      <c r="K24" s="2"/>
      <c r="L24" s="7">
        <f t="shared" si="2"/>
        <v>639.87987076923082</v>
      </c>
      <c r="M24" s="2"/>
      <c r="N24" s="6">
        <f t="shared" si="3"/>
        <v>0.87446327624794207</v>
      </c>
      <c r="O24" s="11"/>
      <c r="P24" s="7">
        <v>7907.48</v>
      </c>
      <c r="Q24" s="2"/>
      <c r="R24" s="6">
        <f t="shared" si="4"/>
        <v>0</v>
      </c>
      <c r="S24" s="2"/>
      <c r="T24" s="7">
        <v>4756.3108400000001</v>
      </c>
      <c r="U24" s="2"/>
      <c r="V24" s="6">
        <f t="shared" si="5"/>
        <v>0</v>
      </c>
      <c r="W24" s="2"/>
      <c r="X24" s="7">
        <f t="shared" si="6"/>
        <v>3151.1691599999995</v>
      </c>
      <c r="Y24" s="2"/>
      <c r="Z24" s="6">
        <f t="shared" si="7"/>
        <v>0.6625238059504116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401.9</v>
      </c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401.9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"6117", " - ", "RETIREMENT STAFF HOURLY")</f>
        <v xml:space="preserve">          6117 - RETIREMENT STAFF HOURLY</v>
      </c>
      <c r="C26" s="11"/>
      <c r="D26" s="7">
        <v>189.96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189.96</v>
      </c>
      <c r="M26" s="2"/>
      <c r="N26" s="6">
        <f t="shared" si="3"/>
        <v>0</v>
      </c>
      <c r="O26" s="11"/>
      <c r="P26" s="7">
        <v>189.96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189.96</v>
      </c>
      <c r="Y26" s="2"/>
      <c r="Z26" s="6">
        <f t="shared" si="7"/>
        <v>0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7">
        <v>1231.6600000000001</v>
      </c>
      <c r="E27" s="2"/>
      <c r="F27" s="6">
        <f t="shared" si="0"/>
        <v>0</v>
      </c>
      <c r="G27" s="2"/>
      <c r="H27" s="7">
        <v>545.43030769230802</v>
      </c>
      <c r="I27" s="2"/>
      <c r="J27" s="6">
        <f t="shared" si="1"/>
        <v>0</v>
      </c>
      <c r="K27" s="2"/>
      <c r="L27" s="7">
        <f t="shared" si="2"/>
        <v>686.22969230769206</v>
      </c>
      <c r="M27" s="2"/>
      <c r="N27" s="6">
        <f t="shared" si="3"/>
        <v>1.2581436759741131</v>
      </c>
      <c r="O27" s="11"/>
      <c r="P27" s="7">
        <v>6575.37</v>
      </c>
      <c r="Q27" s="2"/>
      <c r="R27" s="6">
        <f t="shared" si="4"/>
        <v>0</v>
      </c>
      <c r="S27" s="2"/>
      <c r="T27" s="7">
        <v>3545.2970000000018</v>
      </c>
      <c r="U27" s="2"/>
      <c r="V27" s="6">
        <f t="shared" si="5"/>
        <v>0</v>
      </c>
      <c r="W27" s="2"/>
      <c r="X27" s="7">
        <f t="shared" si="6"/>
        <v>3030.072999999998</v>
      </c>
      <c r="Y27" s="2"/>
      <c r="Z27" s="6">
        <f t="shared" si="7"/>
        <v>0.85467395256307055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7">
        <v>809.69</v>
      </c>
      <c r="E28" s="2"/>
      <c r="F28" s="6">
        <f t="shared" si="0"/>
        <v>0</v>
      </c>
      <c r="G28" s="2"/>
      <c r="H28" s="7">
        <v>823.85030769230798</v>
      </c>
      <c r="I28" s="2"/>
      <c r="J28" s="6">
        <f t="shared" si="1"/>
        <v>0</v>
      </c>
      <c r="K28" s="2"/>
      <c r="L28" s="7">
        <f t="shared" si="2"/>
        <v>-14.160307692307924</v>
      </c>
      <c r="M28" s="2"/>
      <c r="N28" s="6">
        <f t="shared" si="3"/>
        <v>-1.7187961890761983E-2</v>
      </c>
      <c r="O28" s="11"/>
      <c r="P28" s="7">
        <v>4438.03</v>
      </c>
      <c r="Q28" s="2"/>
      <c r="R28" s="6">
        <f t="shared" si="4"/>
        <v>0</v>
      </c>
      <c r="S28" s="2"/>
      <c r="T28" s="7">
        <v>5468.709499999999</v>
      </c>
      <c r="U28" s="2"/>
      <c r="V28" s="6">
        <f t="shared" si="5"/>
        <v>0</v>
      </c>
      <c r="W28" s="2"/>
      <c r="X28" s="7">
        <f t="shared" si="6"/>
        <v>-1030.6794999999993</v>
      </c>
      <c r="Y28" s="2"/>
      <c r="Z28" s="6">
        <f t="shared" si="7"/>
        <v>-0.18846850431532328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7">
        <v>145.79</v>
      </c>
      <c r="E29" s="2"/>
      <c r="F29" s="6">
        <f t="shared" si="0"/>
        <v>0</v>
      </c>
      <c r="G29" s="2"/>
      <c r="H29" s="7"/>
      <c r="I29" s="2"/>
      <c r="J29" s="6">
        <f t="shared" si="1"/>
        <v>0</v>
      </c>
      <c r="K29" s="2"/>
      <c r="L29" s="7">
        <f t="shared" si="2"/>
        <v>145.79</v>
      </c>
      <c r="M29" s="2"/>
      <c r="N29" s="6">
        <f t="shared" si="3"/>
        <v>0</v>
      </c>
      <c r="O29" s="11"/>
      <c r="P29" s="7">
        <v>1027.56</v>
      </c>
      <c r="Q29" s="2"/>
      <c r="R29" s="6">
        <f t="shared" si="4"/>
        <v>0</v>
      </c>
      <c r="S29" s="2"/>
      <c r="T29" s="7"/>
      <c r="U29" s="2"/>
      <c r="V29" s="6">
        <f t="shared" si="5"/>
        <v>0</v>
      </c>
      <c r="W29" s="2"/>
      <c r="X29" s="7">
        <f t="shared" si="6"/>
        <v>1027.56</v>
      </c>
      <c r="Y29" s="2"/>
      <c r="Z29" s="6">
        <f t="shared" si="7"/>
        <v>0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39622.089999999997</v>
      </c>
      <c r="E30" s="1"/>
      <c r="F30" s="5">
        <f t="shared" ref="F30:F40" si="8">IF(D$12=0,0,D30/D$12)</f>
        <v>0</v>
      </c>
      <c r="G30" s="1"/>
      <c r="H30" s="1">
        <f>SUM(OSRRefH22_1x_0)</f>
        <v>39159.745538461539</v>
      </c>
      <c r="I30" s="1"/>
      <c r="J30" s="5">
        <f t="shared" ref="J30:J40" si="9">IF(H$12=0,0,H30/H$12)</f>
        <v>0</v>
      </c>
      <c r="K30" s="1"/>
      <c r="L30" s="1">
        <f t="shared" ref="L30:L40" si="10">+D30-H30</f>
        <v>462.34446153845784</v>
      </c>
      <c r="M30" s="1"/>
      <c r="N30" s="5">
        <f t="shared" ref="N30:N40" si="11">IF(H30=0,0,L30/H30)</f>
        <v>1.1806625788320224E-2</v>
      </c>
      <c r="O30" s="14"/>
      <c r="P30" s="1">
        <f>SUM(OSRRefP22_1x_0)</f>
        <v>248185.47999999998</v>
      </c>
      <c r="Q30" s="1"/>
      <c r="R30" s="5">
        <f t="shared" ref="R30:R40" si="12">IF(P$12=0,0,P30/P$12)</f>
        <v>0</v>
      </c>
      <c r="S30" s="1"/>
      <c r="T30" s="1">
        <f>SUM(OSRRefT22_1x_0)</f>
        <v>265906.59600000002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-17721.116000000038</v>
      </c>
      <c r="Y30" s="1"/>
      <c r="Z30" s="5">
        <f t="shared" ref="Z30:Z40" si="15">IF(T30=0,0,X30/T30)</f>
        <v>-6.6644138455294419E-2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>
        <v>3745.16</v>
      </c>
      <c r="E31" s="2"/>
      <c r="F31" s="6">
        <f t="shared" si="8"/>
        <v>0</v>
      </c>
      <c r="G31" s="2"/>
      <c r="H31" s="7">
        <v>3807.6923076923099</v>
      </c>
      <c r="I31" s="2"/>
      <c r="J31" s="6">
        <f t="shared" si="9"/>
        <v>0</v>
      </c>
      <c r="K31" s="2"/>
      <c r="L31" s="7">
        <f t="shared" si="10"/>
        <v>-62.532307692310042</v>
      </c>
      <c r="M31" s="2"/>
      <c r="N31" s="6">
        <f t="shared" si="11"/>
        <v>-1.6422626262626871E-2</v>
      </c>
      <c r="O31" s="11"/>
      <c r="P31" s="7">
        <v>25194.43</v>
      </c>
      <c r="Q31" s="2"/>
      <c r="R31" s="6">
        <f t="shared" si="12"/>
        <v>0</v>
      </c>
      <c r="S31" s="2"/>
      <c r="T31" s="7">
        <v>24750.000000000018</v>
      </c>
      <c r="U31" s="2"/>
      <c r="V31" s="6">
        <f t="shared" si="13"/>
        <v>0</v>
      </c>
      <c r="W31" s="2"/>
      <c r="X31" s="7">
        <f t="shared" si="14"/>
        <v>444.4299999999821</v>
      </c>
      <c r="Y31" s="2"/>
      <c r="Z31" s="6">
        <f t="shared" si="15"/>
        <v>1.795676767676694E-2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>
        <v>9294.73</v>
      </c>
      <c r="E32" s="2"/>
      <c r="F32" s="6">
        <f t="shared" si="8"/>
        <v>0</v>
      </c>
      <c r="G32" s="2"/>
      <c r="H32" s="7">
        <v>3850.0532307692297</v>
      </c>
      <c r="I32" s="2"/>
      <c r="J32" s="6">
        <f t="shared" si="9"/>
        <v>0</v>
      </c>
      <c r="K32" s="2"/>
      <c r="L32" s="7">
        <f t="shared" si="10"/>
        <v>5444.6767692307694</v>
      </c>
      <c r="M32" s="2"/>
      <c r="N32" s="6">
        <f t="shared" si="11"/>
        <v>1.4141822055127633</v>
      </c>
      <c r="O32" s="11"/>
      <c r="P32" s="7">
        <v>52290.09</v>
      </c>
      <c r="Q32" s="2"/>
      <c r="R32" s="6">
        <f t="shared" si="12"/>
        <v>0</v>
      </c>
      <c r="S32" s="2"/>
      <c r="T32" s="7">
        <v>25025.345999999998</v>
      </c>
      <c r="U32" s="2"/>
      <c r="V32" s="6">
        <f t="shared" si="13"/>
        <v>0</v>
      </c>
      <c r="W32" s="2"/>
      <c r="X32" s="7">
        <f t="shared" si="14"/>
        <v>27264.743999999999</v>
      </c>
      <c r="Y32" s="2"/>
      <c r="Z32" s="6">
        <f t="shared" si="15"/>
        <v>1.0894851963285543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>
        <v>4510.4799999999996</v>
      </c>
      <c r="E34" s="2"/>
      <c r="F34" s="6">
        <f t="shared" si="8"/>
        <v>0</v>
      </c>
      <c r="G34" s="2"/>
      <c r="H34" s="7">
        <v>12080</v>
      </c>
      <c r="I34" s="2"/>
      <c r="J34" s="6">
        <f t="shared" si="9"/>
        <v>0</v>
      </c>
      <c r="K34" s="2"/>
      <c r="L34" s="7">
        <f t="shared" si="10"/>
        <v>-7569.52</v>
      </c>
      <c r="M34" s="2"/>
      <c r="N34" s="6">
        <f t="shared" si="11"/>
        <v>-0.62661589403973517</v>
      </c>
      <c r="O34" s="11"/>
      <c r="P34" s="7">
        <v>9306.8799999999992</v>
      </c>
      <c r="Q34" s="2"/>
      <c r="R34" s="6">
        <f t="shared" si="12"/>
        <v>0</v>
      </c>
      <c r="S34" s="2"/>
      <c r="T34" s="7">
        <v>78520</v>
      </c>
      <c r="U34" s="2"/>
      <c r="V34" s="6">
        <f t="shared" si="13"/>
        <v>0</v>
      </c>
      <c r="W34" s="2"/>
      <c r="X34" s="7">
        <f t="shared" si="14"/>
        <v>-69213.119999999995</v>
      </c>
      <c r="Y34" s="2"/>
      <c r="Z34" s="6">
        <f t="shared" si="15"/>
        <v>-0.88147121752419755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3938.93</v>
      </c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3938.93</v>
      </c>
      <c r="M35" s="2"/>
      <c r="N35" s="6">
        <f t="shared" si="11"/>
        <v>0</v>
      </c>
      <c r="O35" s="11"/>
      <c r="P35" s="7">
        <v>47517.68</v>
      </c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47517.68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>
        <v>1432.35</v>
      </c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1432.35</v>
      </c>
      <c r="M36" s="2"/>
      <c r="N36" s="6">
        <f t="shared" si="11"/>
        <v>0</v>
      </c>
      <c r="O36" s="11"/>
      <c r="P36" s="7">
        <v>9485.67</v>
      </c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9485.67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>
        <v>16700.439999999999</v>
      </c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16700.439999999999</v>
      </c>
      <c r="M37" s="2"/>
      <c r="N37" s="6">
        <f t="shared" si="11"/>
        <v>0</v>
      </c>
      <c r="O37" s="11"/>
      <c r="P37" s="7">
        <v>104390.73</v>
      </c>
      <c r="Q37" s="2"/>
      <c r="R37" s="6">
        <f t="shared" si="12"/>
        <v>0</v>
      </c>
      <c r="S37" s="2"/>
      <c r="T37" s="7">
        <v>42926</v>
      </c>
      <c r="U37" s="2"/>
      <c r="V37" s="6">
        <f t="shared" si="13"/>
        <v>0</v>
      </c>
      <c r="W37" s="2"/>
      <c r="X37" s="7">
        <f t="shared" si="14"/>
        <v>61464.729999999996</v>
      </c>
      <c r="Y37" s="2"/>
      <c r="Z37" s="6">
        <f t="shared" si="15"/>
        <v>1.431876485113917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8"/>
        <v>0</v>
      </c>
      <c r="G38" s="2"/>
      <c r="H38" s="7">
        <v>19422</v>
      </c>
      <c r="I38" s="2"/>
      <c r="J38" s="6">
        <f t="shared" si="9"/>
        <v>0</v>
      </c>
      <c r="K38" s="2"/>
      <c r="L38" s="7">
        <f t="shared" si="10"/>
        <v>-19422</v>
      </c>
      <c r="M38" s="2"/>
      <c r="N38" s="6">
        <f t="shared" si="11"/>
        <v>-1</v>
      </c>
      <c r="O38" s="11"/>
      <c r="P38" s="7"/>
      <c r="Q38" s="2"/>
      <c r="R38" s="6">
        <f t="shared" si="12"/>
        <v>0</v>
      </c>
      <c r="S38" s="2"/>
      <c r="T38" s="7">
        <v>94685.25</v>
      </c>
      <c r="U38" s="2"/>
      <c r="V38" s="6">
        <f t="shared" si="13"/>
        <v>0</v>
      </c>
      <c r="W38" s="2"/>
      <c r="X38" s="7">
        <f t="shared" si="14"/>
        <v>-94685.25</v>
      </c>
      <c r="Y38" s="2"/>
      <c r="Z38" s="6">
        <f t="shared" si="15"/>
        <v>-1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8"/>
        <v>0</v>
      </c>
      <c r="G40" s="2"/>
      <c r="H40" s="7">
        <v>0</v>
      </c>
      <c r="I40" s="2"/>
      <c r="J40" s="6">
        <f t="shared" si="9"/>
        <v>0</v>
      </c>
      <c r="K40" s="2"/>
      <c r="L40" s="7">
        <f t="shared" si="10"/>
        <v>0</v>
      </c>
      <c r="M40" s="2"/>
      <c r="N40" s="6">
        <f t="shared" si="11"/>
        <v>0</v>
      </c>
      <c r="O40" s="11"/>
      <c r="P40" s="7"/>
      <c r="Q40" s="2"/>
      <c r="R40" s="6">
        <f t="shared" si="12"/>
        <v>0</v>
      </c>
      <c r="S40" s="2"/>
      <c r="T40" s="7">
        <v>0</v>
      </c>
      <c r="U40" s="2"/>
      <c r="V40" s="6">
        <f t="shared" si="13"/>
        <v>0</v>
      </c>
      <c r="W40" s="2"/>
      <c r="X40" s="7">
        <f t="shared" si="14"/>
        <v>0</v>
      </c>
      <c r="Y40" s="2"/>
      <c r="Z40" s="6">
        <f t="shared" si="15"/>
        <v>0</v>
      </c>
    </row>
    <row r="41" spans="1:26" s="28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45" si="16">IF(D$12=0,0,D41/D$12)</f>
        <v>0</v>
      </c>
      <c r="G41" s="1"/>
      <c r="H41" s="1">
        <f>SUM(OSRRefH22_2x_0)</f>
        <v>0</v>
      </c>
      <c r="I41" s="1"/>
      <c r="J41" s="5">
        <f t="shared" ref="J41:J45" si="17">IF(H$12=0,0,H41/H$12)</f>
        <v>0</v>
      </c>
      <c r="K41" s="1"/>
      <c r="L41" s="1">
        <f t="shared" ref="L41:L45" si="18">+D41-H41</f>
        <v>0</v>
      </c>
      <c r="M41" s="1"/>
      <c r="N41" s="5">
        <f t="shared" ref="N41:N45" si="19">IF(H41=0,0,L41/H41)</f>
        <v>0</v>
      </c>
      <c r="O41" s="14"/>
      <c r="P41" s="1">
        <f>SUM(OSRRefP22_2x_0)</f>
        <v>100</v>
      </c>
      <c r="Q41" s="1"/>
      <c r="R41" s="5">
        <f t="shared" ref="R41:R45" si="20">IF(P$12=0,0,P41/P$12)</f>
        <v>0</v>
      </c>
      <c r="S41" s="1"/>
      <c r="T41" s="1">
        <f>SUM(OSRRefT22_2x_0)</f>
        <v>0</v>
      </c>
      <c r="U41" s="1"/>
      <c r="V41" s="5">
        <f t="shared" ref="V41:V45" si="21">IF(T$12=0,0,T41/T$12)</f>
        <v>0</v>
      </c>
      <c r="W41" s="1"/>
      <c r="X41" s="1">
        <f t="shared" ref="X41:X45" si="22">+P41-T41</f>
        <v>100</v>
      </c>
      <c r="Y41" s="1"/>
      <c r="Z41" s="5">
        <f t="shared" ref="Z41:Z45" si="23">IF(T41=0,0,X41/T41)</f>
        <v>0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>
        <v>100</v>
      </c>
      <c r="Q42" s="2"/>
      <c r="R42" s="6">
        <f t="shared" si="20"/>
        <v>0</v>
      </c>
      <c r="S42" s="2"/>
      <c r="T42" s="7"/>
      <c r="U42" s="2"/>
      <c r="V42" s="6">
        <f t="shared" si="21"/>
        <v>0</v>
      </c>
      <c r="W42" s="2"/>
      <c r="X42" s="7">
        <f t="shared" si="22"/>
        <v>100</v>
      </c>
      <c r="Y42" s="2"/>
      <c r="Z42" s="6">
        <f t="shared" si="23"/>
        <v>0</v>
      </c>
    </row>
    <row r="43" spans="1:26" s="28" customFormat="1" outlineLevel="1" collapsed="1" x14ac:dyDescent="0.25">
      <c r="A43" s="27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-4.96</v>
      </c>
      <c r="E43" s="1"/>
      <c r="F43" s="5">
        <f t="shared" si="16"/>
        <v>0</v>
      </c>
      <c r="G43" s="1"/>
      <c r="H43" s="1">
        <f>SUM(OSRRefH22_3x_0)</f>
        <v>100</v>
      </c>
      <c r="I43" s="1"/>
      <c r="J43" s="5">
        <f t="shared" si="17"/>
        <v>0</v>
      </c>
      <c r="K43" s="1"/>
      <c r="L43" s="1">
        <f t="shared" si="18"/>
        <v>-104.96</v>
      </c>
      <c r="M43" s="1"/>
      <c r="N43" s="5">
        <f t="shared" si="19"/>
        <v>-1.0495999999999999</v>
      </c>
      <c r="O43" s="14"/>
      <c r="P43" s="1">
        <f>SUM(OSRRefP22_3x_0)</f>
        <v>46.25</v>
      </c>
      <c r="Q43" s="1"/>
      <c r="R43" s="5">
        <f t="shared" si="20"/>
        <v>0</v>
      </c>
      <c r="S43" s="1"/>
      <c r="T43" s="1">
        <f>SUM(OSRRefT22_3x_0)</f>
        <v>600</v>
      </c>
      <c r="U43" s="1"/>
      <c r="V43" s="5">
        <f t="shared" si="21"/>
        <v>0</v>
      </c>
      <c r="W43" s="1"/>
      <c r="X43" s="1">
        <f t="shared" si="22"/>
        <v>-553.75</v>
      </c>
      <c r="Y43" s="1"/>
      <c r="Z43" s="5">
        <f t="shared" si="23"/>
        <v>-0.92291666666666672</v>
      </c>
    </row>
    <row r="44" spans="1:26" s="24" customFormat="1" hidden="1" outlineLevel="2" x14ac:dyDescent="0.25">
      <c r="A44" s="29"/>
      <c r="B44" s="11" t="str">
        <f>CONCATENATE("          ", "6272", " - ", "CASH (OVER/SHORT)")</f>
        <v xml:space="preserve">          6272 - CASH (OVER/SHORT)</v>
      </c>
      <c r="C44" s="11"/>
      <c r="D44" s="7">
        <v>-4.96</v>
      </c>
      <c r="E44" s="2"/>
      <c r="F44" s="6">
        <f t="shared" si="16"/>
        <v>0</v>
      </c>
      <c r="G44" s="2"/>
      <c r="H44" s="7">
        <v>50</v>
      </c>
      <c r="I44" s="2"/>
      <c r="J44" s="6">
        <f t="shared" si="17"/>
        <v>0</v>
      </c>
      <c r="K44" s="2"/>
      <c r="L44" s="7">
        <f t="shared" si="18"/>
        <v>-54.96</v>
      </c>
      <c r="M44" s="2"/>
      <c r="N44" s="6">
        <f t="shared" si="19"/>
        <v>-1.0992</v>
      </c>
      <c r="O44" s="11"/>
      <c r="P44" s="7">
        <v>46.25</v>
      </c>
      <c r="Q44" s="2"/>
      <c r="R44" s="6">
        <f t="shared" si="20"/>
        <v>0</v>
      </c>
      <c r="S44" s="2"/>
      <c r="T44" s="7">
        <v>300</v>
      </c>
      <c r="U44" s="2"/>
      <c r="V44" s="6">
        <f t="shared" si="21"/>
        <v>0</v>
      </c>
      <c r="W44" s="2"/>
      <c r="X44" s="7">
        <f t="shared" si="22"/>
        <v>-253.75</v>
      </c>
      <c r="Y44" s="2"/>
      <c r="Z44" s="6">
        <f t="shared" si="23"/>
        <v>-0.84583333333333333</v>
      </c>
    </row>
    <row r="45" spans="1:26" s="24" customFormat="1" hidden="1" outlineLevel="2" x14ac:dyDescent="0.25">
      <c r="A45" s="29"/>
      <c r="B45" s="11" t="str">
        <f>CONCATENATE("          ", "6342", " - ", "BAD DEBT")</f>
        <v xml:space="preserve">          6342 - BAD DEBT</v>
      </c>
      <c r="C45" s="11"/>
      <c r="D45" s="7"/>
      <c r="E45" s="2"/>
      <c r="F45" s="6">
        <f t="shared" si="16"/>
        <v>0</v>
      </c>
      <c r="G45" s="2"/>
      <c r="H45" s="7">
        <v>50</v>
      </c>
      <c r="I45" s="2"/>
      <c r="J45" s="6">
        <f t="shared" si="17"/>
        <v>0</v>
      </c>
      <c r="K45" s="2"/>
      <c r="L45" s="7">
        <f t="shared" si="18"/>
        <v>-50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300</v>
      </c>
      <c r="U45" s="2"/>
      <c r="V45" s="6">
        <f t="shared" si="21"/>
        <v>0</v>
      </c>
      <c r="W45" s="2"/>
      <c r="X45" s="7">
        <f t="shared" si="22"/>
        <v>-300</v>
      </c>
      <c r="Y45" s="2"/>
      <c r="Z45" s="6">
        <f t="shared" si="23"/>
        <v>-1</v>
      </c>
    </row>
    <row r="46" spans="1:26" s="28" customFormat="1" outlineLevel="1" collapsed="1" x14ac:dyDescent="0.25">
      <c r="A46" s="27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SUM(OSRRefD22_4x_0)</f>
        <v>4573.05</v>
      </c>
      <c r="E46" s="1"/>
      <c r="F46" s="5">
        <f t="shared" ref="F46:F50" si="24">IF(D$12=0,0,D46/D$12)</f>
        <v>0</v>
      </c>
      <c r="G46" s="1"/>
      <c r="H46" s="1">
        <f>SUM(OSRRefH22_4x_0)</f>
        <v>30000</v>
      </c>
      <c r="I46" s="1"/>
      <c r="J46" s="5">
        <f t="shared" ref="J46:J50" si="25">IF(H$12=0,0,H46/H$12)</f>
        <v>0</v>
      </c>
      <c r="K46" s="1"/>
      <c r="L46" s="1">
        <f t="shared" ref="L46:L50" si="26">+D46-H46</f>
        <v>-25426.95</v>
      </c>
      <c r="M46" s="1"/>
      <c r="N46" s="5">
        <f t="shared" ref="N46:N50" si="27">IF(H46=0,0,L46/H46)</f>
        <v>-0.84756500000000001</v>
      </c>
      <c r="O46" s="14"/>
      <c r="P46" s="1">
        <f>SUM(OSRRefP22_4x_0)</f>
        <v>44482.51</v>
      </c>
      <c r="Q46" s="1"/>
      <c r="R46" s="5">
        <f t="shared" ref="R46:R50" si="28">IF(P$12=0,0,P46/P$12)</f>
        <v>0</v>
      </c>
      <c r="S46" s="1"/>
      <c r="T46" s="1">
        <f>SUM(OSRRefT22_4x_0)</f>
        <v>114000</v>
      </c>
      <c r="U46" s="1"/>
      <c r="V46" s="5">
        <f t="shared" ref="V46:V50" si="29">IF(T$12=0,0,T46/T$12)</f>
        <v>0</v>
      </c>
      <c r="W46" s="1"/>
      <c r="X46" s="1">
        <f t="shared" ref="X46:X50" si="30">+P46-T46</f>
        <v>-69517.489999999991</v>
      </c>
      <c r="Y46" s="1"/>
      <c r="Z46" s="5">
        <f t="shared" ref="Z46:Z50" si="31">IF(T46=0,0,X46/T46)</f>
        <v>-0.60980254385964905</v>
      </c>
    </row>
    <row r="47" spans="1:26" s="24" customFormat="1" hidden="1" outlineLevel="2" x14ac:dyDescent="0.25">
      <c r="A47" s="29"/>
      <c r="B47" s="11" t="str">
        <f>CONCATENATE("          ", "6381", " - ", "BANK/CREDIT CARD FEES")</f>
        <v xml:space="preserve">          6381 - BANK/CREDIT CARD FEES</v>
      </c>
      <c r="C47" s="11"/>
      <c r="D47" s="7">
        <v>4573.05</v>
      </c>
      <c r="E47" s="2"/>
      <c r="F47" s="6">
        <f t="shared" si="24"/>
        <v>0</v>
      </c>
      <c r="G47" s="2"/>
      <c r="H47" s="7">
        <v>30000</v>
      </c>
      <c r="I47" s="2"/>
      <c r="J47" s="6">
        <f t="shared" si="25"/>
        <v>0</v>
      </c>
      <c r="K47" s="2"/>
      <c r="L47" s="7">
        <f t="shared" si="26"/>
        <v>-25426.95</v>
      </c>
      <c r="M47" s="2"/>
      <c r="N47" s="6">
        <f t="shared" si="27"/>
        <v>-0.84756500000000001</v>
      </c>
      <c r="O47" s="11"/>
      <c r="P47" s="7">
        <v>44482.51</v>
      </c>
      <c r="Q47" s="2"/>
      <c r="R47" s="6">
        <f t="shared" si="28"/>
        <v>0</v>
      </c>
      <c r="S47" s="2"/>
      <c r="T47" s="7">
        <v>114000</v>
      </c>
      <c r="U47" s="2"/>
      <c r="V47" s="6">
        <f t="shared" si="29"/>
        <v>0</v>
      </c>
      <c r="W47" s="2"/>
      <c r="X47" s="7">
        <f t="shared" si="30"/>
        <v>-69517.489999999991</v>
      </c>
      <c r="Y47" s="2"/>
      <c r="Z47" s="6">
        <f t="shared" si="31"/>
        <v>-0.60980254385964905</v>
      </c>
    </row>
    <row r="48" spans="1:26" s="28" customFormat="1" outlineLevel="1" collapsed="1" x14ac:dyDescent="0.25">
      <c r="A48" s="27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SUM(OSRRefD22_5x_0)</f>
        <v>30565.97</v>
      </c>
      <c r="E48" s="1"/>
      <c r="F48" s="5">
        <f t="shared" si="24"/>
        <v>0</v>
      </c>
      <c r="G48" s="1"/>
      <c r="H48" s="1">
        <f>SUM(OSRRefH22_5x_0)</f>
        <v>30124</v>
      </c>
      <c r="I48" s="1"/>
      <c r="J48" s="5">
        <f t="shared" si="25"/>
        <v>0</v>
      </c>
      <c r="K48" s="1"/>
      <c r="L48" s="1">
        <f t="shared" si="26"/>
        <v>441.97000000000116</v>
      </c>
      <c r="M48" s="1"/>
      <c r="N48" s="5">
        <f t="shared" si="27"/>
        <v>1.4671690346567559E-2</v>
      </c>
      <c r="O48" s="14"/>
      <c r="P48" s="1">
        <f>SUM(OSRRefP22_5x_0)</f>
        <v>183691.31</v>
      </c>
      <c r="Q48" s="1"/>
      <c r="R48" s="5">
        <f t="shared" si="28"/>
        <v>0</v>
      </c>
      <c r="S48" s="1"/>
      <c r="T48" s="1">
        <f>SUM(OSRRefT22_5x_0)</f>
        <v>181752</v>
      </c>
      <c r="U48" s="1"/>
      <c r="V48" s="5">
        <f t="shared" si="29"/>
        <v>0</v>
      </c>
      <c r="W48" s="1"/>
      <c r="X48" s="1">
        <f t="shared" si="30"/>
        <v>1939.3099999999977</v>
      </c>
      <c r="Y48" s="1"/>
      <c r="Z48" s="5">
        <f t="shared" si="31"/>
        <v>1.0670088912364088E-2</v>
      </c>
    </row>
    <row r="49" spans="1:26" s="24" customFormat="1" hidden="1" outlineLevel="2" x14ac:dyDescent="0.25">
      <c r="A49" s="29"/>
      <c r="B49" s="11" t="str">
        <f>CONCATENATE("          ", "6321", " - ", "BUILDING DEPRECIATION")</f>
        <v xml:space="preserve">          6321 - BUILDING DEPRECIATION</v>
      </c>
      <c r="C49" s="11"/>
      <c r="D49" s="7">
        <v>16396.52</v>
      </c>
      <c r="E49" s="2"/>
      <c r="F49" s="6">
        <f t="shared" si="24"/>
        <v>0</v>
      </c>
      <c r="G49" s="2"/>
      <c r="H49" s="7"/>
      <c r="I49" s="2"/>
      <c r="J49" s="6">
        <f t="shared" si="25"/>
        <v>0</v>
      </c>
      <c r="K49" s="2"/>
      <c r="L49" s="7">
        <f t="shared" si="26"/>
        <v>16396.52</v>
      </c>
      <c r="M49" s="2"/>
      <c r="N49" s="6">
        <f t="shared" si="27"/>
        <v>0</v>
      </c>
      <c r="O49" s="11"/>
      <c r="P49" s="7">
        <v>98379.12</v>
      </c>
      <c r="Q49" s="2"/>
      <c r="R49" s="6">
        <f t="shared" si="28"/>
        <v>0</v>
      </c>
      <c r="S49" s="2"/>
      <c r="T49" s="7"/>
      <c r="U49" s="2"/>
      <c r="V49" s="6">
        <f t="shared" si="29"/>
        <v>0</v>
      </c>
      <c r="W49" s="2"/>
      <c r="X49" s="7">
        <f t="shared" si="30"/>
        <v>98379.12</v>
      </c>
      <c r="Y49" s="2"/>
      <c r="Z49" s="6">
        <f t="shared" si="31"/>
        <v>0</v>
      </c>
    </row>
    <row r="50" spans="1:26" s="24" customFormat="1" hidden="1" outlineLevel="2" x14ac:dyDescent="0.25">
      <c r="A50" s="29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14169.45</v>
      </c>
      <c r="E50" s="2"/>
      <c r="F50" s="6">
        <f t="shared" si="24"/>
        <v>0</v>
      </c>
      <c r="G50" s="2"/>
      <c r="H50" s="7">
        <v>30124</v>
      </c>
      <c r="I50" s="2"/>
      <c r="J50" s="6">
        <f t="shared" si="25"/>
        <v>0</v>
      </c>
      <c r="K50" s="2"/>
      <c r="L50" s="7">
        <f t="shared" si="26"/>
        <v>-15954.55</v>
      </c>
      <c r="M50" s="2"/>
      <c r="N50" s="6">
        <f t="shared" si="27"/>
        <v>-0.52962919930952057</v>
      </c>
      <c r="O50" s="11"/>
      <c r="P50" s="7">
        <v>85312.19</v>
      </c>
      <c r="Q50" s="2"/>
      <c r="R50" s="6">
        <f t="shared" si="28"/>
        <v>0</v>
      </c>
      <c r="S50" s="2"/>
      <c r="T50" s="7">
        <v>181752</v>
      </c>
      <c r="U50" s="2"/>
      <c r="V50" s="6">
        <f t="shared" si="29"/>
        <v>0</v>
      </c>
      <c r="W50" s="2"/>
      <c r="X50" s="7">
        <f t="shared" si="30"/>
        <v>-96439.81</v>
      </c>
      <c r="Y50" s="2"/>
      <c r="Z50" s="6">
        <f t="shared" si="31"/>
        <v>-0.53061209780360052</v>
      </c>
    </row>
    <row r="51" spans="1:26" s="28" customFormat="1" outlineLevel="1" collapsed="1" x14ac:dyDescent="0.25">
      <c r="A51" s="27"/>
      <c r="B51" s="14" t="str">
        <f>CONCATENATE("     ","Donations                                         ")</f>
        <v xml:space="preserve">     Donations                                         </v>
      </c>
      <c r="C51" s="14"/>
      <c r="D51" s="1">
        <f>SUM(OSRRefD22_6x_0)</f>
        <v>0</v>
      </c>
      <c r="E51" s="1"/>
      <c r="F51" s="5">
        <f t="shared" ref="F51:F71" si="32">IF(D$12=0,0,D51/D$12)</f>
        <v>0</v>
      </c>
      <c r="G51" s="1"/>
      <c r="H51" s="1">
        <f>SUM(OSRRefH22_6x_0)</f>
        <v>1000</v>
      </c>
      <c r="I51" s="1"/>
      <c r="J51" s="5">
        <f t="shared" ref="J51:J71" si="33">IF(H$12=0,0,H51/H$12)</f>
        <v>0</v>
      </c>
      <c r="K51" s="1"/>
      <c r="L51" s="1">
        <f t="shared" ref="L51:L71" si="34">+D51-H51</f>
        <v>-1000</v>
      </c>
      <c r="M51" s="1"/>
      <c r="N51" s="5">
        <f t="shared" ref="N51:N71" si="35">IF(H51=0,0,L51/H51)</f>
        <v>-1</v>
      </c>
      <c r="O51" s="14"/>
      <c r="P51" s="1">
        <f>SUM(OSRRefP22_6x_0)</f>
        <v>0</v>
      </c>
      <c r="Q51" s="1"/>
      <c r="R51" s="5">
        <f t="shared" ref="R51:R71" si="36">IF(P$12=0,0,P51/P$12)</f>
        <v>0</v>
      </c>
      <c r="S51" s="1"/>
      <c r="T51" s="1">
        <f>SUM(OSRRefT22_6x_0)</f>
        <v>6000</v>
      </c>
      <c r="U51" s="1"/>
      <c r="V51" s="5">
        <f t="shared" ref="V51:V71" si="37">IF(T$12=0,0,T51/T$12)</f>
        <v>0</v>
      </c>
      <c r="W51" s="1"/>
      <c r="X51" s="1">
        <f t="shared" ref="X51:X71" si="38">+P51-T51</f>
        <v>-6000</v>
      </c>
      <c r="Y51" s="1"/>
      <c r="Z51" s="5">
        <f t="shared" ref="Z51:Z71" si="39">IF(T51=0,0,X51/T51)</f>
        <v>-1</v>
      </c>
    </row>
    <row r="52" spans="1:26" s="24" customFormat="1" hidden="1" outlineLevel="2" x14ac:dyDescent="0.25">
      <c r="A52" s="29"/>
      <c r="B52" s="11" t="str">
        <f>CONCATENATE("          ", "6399", " - ", "DONATION-ON CAMPUS")</f>
        <v xml:space="preserve">          6399 - DONATION-ON CAMPUS</v>
      </c>
      <c r="C52" s="11"/>
      <c r="D52" s="7"/>
      <c r="E52" s="2"/>
      <c r="F52" s="6">
        <f t="shared" si="32"/>
        <v>0</v>
      </c>
      <c r="G52" s="2"/>
      <c r="H52" s="7">
        <v>1000</v>
      </c>
      <c r="I52" s="2"/>
      <c r="J52" s="6">
        <f t="shared" si="33"/>
        <v>0</v>
      </c>
      <c r="K52" s="2"/>
      <c r="L52" s="7">
        <f t="shared" si="34"/>
        <v>-1000</v>
      </c>
      <c r="M52" s="2"/>
      <c r="N52" s="6">
        <f t="shared" si="35"/>
        <v>-1</v>
      </c>
      <c r="O52" s="11"/>
      <c r="P52" s="7"/>
      <c r="Q52" s="2"/>
      <c r="R52" s="6">
        <f t="shared" si="36"/>
        <v>0</v>
      </c>
      <c r="S52" s="2"/>
      <c r="T52" s="7">
        <v>6000</v>
      </c>
      <c r="U52" s="2"/>
      <c r="V52" s="6">
        <f t="shared" si="37"/>
        <v>0</v>
      </c>
      <c r="W52" s="2"/>
      <c r="X52" s="7">
        <f t="shared" si="38"/>
        <v>-6000</v>
      </c>
      <c r="Y52" s="2"/>
      <c r="Z52" s="6">
        <f t="shared" si="39"/>
        <v>-1</v>
      </c>
    </row>
    <row r="53" spans="1:26" s="28" customFormat="1" outlineLevel="1" collapsed="1" x14ac:dyDescent="0.25">
      <c r="A53" s="27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SUM(OSRRefD22_7x_0)</f>
        <v>0</v>
      </c>
      <c r="E53" s="1"/>
      <c r="F53" s="5">
        <f t="shared" si="32"/>
        <v>0</v>
      </c>
      <c r="G53" s="1"/>
      <c r="H53" s="1">
        <f>SUM(OSRRefH22_7x_0)</f>
        <v>125</v>
      </c>
      <c r="I53" s="1"/>
      <c r="J53" s="5">
        <f t="shared" si="33"/>
        <v>0</v>
      </c>
      <c r="K53" s="1"/>
      <c r="L53" s="1">
        <f t="shared" si="34"/>
        <v>-125</v>
      </c>
      <c r="M53" s="1"/>
      <c r="N53" s="5">
        <f t="shared" si="35"/>
        <v>-1</v>
      </c>
      <c r="O53" s="14"/>
      <c r="P53" s="1">
        <f>SUM(OSRRefP22_7x_0)</f>
        <v>0</v>
      </c>
      <c r="Q53" s="1"/>
      <c r="R53" s="5">
        <f t="shared" si="36"/>
        <v>0</v>
      </c>
      <c r="S53" s="1"/>
      <c r="T53" s="1">
        <f>SUM(OSRRefT22_7x_0)</f>
        <v>800</v>
      </c>
      <c r="U53" s="1"/>
      <c r="V53" s="5">
        <f t="shared" si="37"/>
        <v>0</v>
      </c>
      <c r="W53" s="1"/>
      <c r="X53" s="1">
        <f t="shared" si="38"/>
        <v>-800</v>
      </c>
      <c r="Y53" s="1"/>
      <c r="Z53" s="5">
        <f t="shared" si="39"/>
        <v>-1</v>
      </c>
    </row>
    <row r="54" spans="1:26" s="24" customFormat="1" hidden="1" outlineLevel="2" x14ac:dyDescent="0.25">
      <c r="A54" s="29"/>
      <c r="B54" s="11" t="str">
        <f>CONCATENATE("          ", "6277", " - ", "EMPLOYEE APPRECIATION")</f>
        <v xml:space="preserve">          6277 - EMPLOYEE APPRECIATION</v>
      </c>
      <c r="C54" s="11"/>
      <c r="D54" s="7"/>
      <c r="E54" s="2"/>
      <c r="F54" s="6">
        <f t="shared" si="32"/>
        <v>0</v>
      </c>
      <c r="G54" s="2"/>
      <c r="H54" s="7">
        <v>125</v>
      </c>
      <c r="I54" s="2"/>
      <c r="J54" s="6">
        <f t="shared" si="33"/>
        <v>0</v>
      </c>
      <c r="K54" s="2"/>
      <c r="L54" s="7">
        <f t="shared" si="34"/>
        <v>-125</v>
      </c>
      <c r="M54" s="2"/>
      <c r="N54" s="6">
        <f t="shared" si="35"/>
        <v>-1</v>
      </c>
      <c r="O54" s="11"/>
      <c r="P54" s="7"/>
      <c r="Q54" s="2"/>
      <c r="R54" s="6">
        <f t="shared" si="36"/>
        <v>0</v>
      </c>
      <c r="S54" s="2"/>
      <c r="T54" s="7">
        <v>800</v>
      </c>
      <c r="U54" s="2"/>
      <c r="V54" s="6">
        <f t="shared" si="37"/>
        <v>0</v>
      </c>
      <c r="W54" s="2"/>
      <c r="X54" s="7">
        <f t="shared" si="38"/>
        <v>-800</v>
      </c>
      <c r="Y54" s="2"/>
      <c r="Z54" s="6">
        <f t="shared" si="39"/>
        <v>-1</v>
      </c>
    </row>
    <row r="55" spans="1:26" s="28" customFormat="1" outlineLevel="1" collapsed="1" x14ac:dyDescent="0.25">
      <c r="A55" s="27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SUM(OSRRefD22_8x_0)</f>
        <v>91.26</v>
      </c>
      <c r="E55" s="1"/>
      <c r="F55" s="5">
        <f t="shared" si="32"/>
        <v>0</v>
      </c>
      <c r="G55" s="1"/>
      <c r="H55" s="1">
        <f>SUM(OSRRefH22_8x_0)</f>
        <v>1700</v>
      </c>
      <c r="I55" s="1"/>
      <c r="J55" s="5">
        <f t="shared" si="33"/>
        <v>0</v>
      </c>
      <c r="K55" s="1"/>
      <c r="L55" s="1">
        <f t="shared" si="34"/>
        <v>-1608.74</v>
      </c>
      <c r="M55" s="1"/>
      <c r="N55" s="5">
        <f t="shared" si="35"/>
        <v>-0.94631764705882349</v>
      </c>
      <c r="O55" s="14"/>
      <c r="P55" s="1">
        <f>SUM(OSRRefP22_8x_0)</f>
        <v>1195.3399999999999</v>
      </c>
      <c r="Q55" s="1"/>
      <c r="R55" s="5">
        <f t="shared" si="36"/>
        <v>0</v>
      </c>
      <c r="S55" s="1"/>
      <c r="T55" s="1">
        <f>SUM(OSRRefT22_8x_0)</f>
        <v>10200</v>
      </c>
      <c r="U55" s="1"/>
      <c r="V55" s="5">
        <f t="shared" si="37"/>
        <v>0</v>
      </c>
      <c r="W55" s="1"/>
      <c r="X55" s="1">
        <f t="shared" si="38"/>
        <v>-9004.66</v>
      </c>
      <c r="Y55" s="1"/>
      <c r="Z55" s="5">
        <f t="shared" si="39"/>
        <v>-0.8828098039215686</v>
      </c>
    </row>
    <row r="56" spans="1:26" s="24" customFormat="1" hidden="1" outlineLevel="2" x14ac:dyDescent="0.25">
      <c r="A56" s="29"/>
      <c r="B56" s="11" t="str">
        <f>CONCATENATE("          ", "6351", " - ", "EQUIPMENT RENTAL")</f>
        <v xml:space="preserve">          6351 - EQUIPMENT RENTAL</v>
      </c>
      <c r="C56" s="11"/>
      <c r="D56" s="7">
        <v>91.26</v>
      </c>
      <c r="E56" s="2"/>
      <c r="F56" s="6">
        <f t="shared" si="32"/>
        <v>0</v>
      </c>
      <c r="G56" s="2"/>
      <c r="H56" s="7">
        <v>1700</v>
      </c>
      <c r="I56" s="2"/>
      <c r="J56" s="6">
        <f t="shared" si="33"/>
        <v>0</v>
      </c>
      <c r="K56" s="2"/>
      <c r="L56" s="7">
        <f t="shared" si="34"/>
        <v>-1608.74</v>
      </c>
      <c r="M56" s="2"/>
      <c r="N56" s="6">
        <f t="shared" si="35"/>
        <v>-0.94631764705882349</v>
      </c>
      <c r="O56" s="11"/>
      <c r="P56" s="7">
        <v>1195.3399999999999</v>
      </c>
      <c r="Q56" s="2"/>
      <c r="R56" s="6">
        <f t="shared" si="36"/>
        <v>0</v>
      </c>
      <c r="S56" s="2"/>
      <c r="T56" s="7">
        <v>10200</v>
      </c>
      <c r="U56" s="2"/>
      <c r="V56" s="6">
        <f t="shared" si="37"/>
        <v>0</v>
      </c>
      <c r="W56" s="2"/>
      <c r="X56" s="7">
        <f t="shared" si="38"/>
        <v>-9004.66</v>
      </c>
      <c r="Y56" s="2"/>
      <c r="Z56" s="6">
        <f t="shared" si="39"/>
        <v>-0.8828098039215686</v>
      </c>
    </row>
    <row r="57" spans="1:26" s="28" customFormat="1" outlineLevel="1" collapsed="1" x14ac:dyDescent="0.25">
      <c r="A57" s="27"/>
      <c r="B57" s="14" t="str">
        <f>CONCATENATE("     ","Freight out/Postage                               ")</f>
        <v xml:space="preserve">     Freight out/Postage                               </v>
      </c>
      <c r="C57" s="14"/>
      <c r="D57" s="1">
        <f>SUM(OSRRefD22_9x_0)</f>
        <v>15.95</v>
      </c>
      <c r="E57" s="1"/>
      <c r="F57" s="5">
        <f t="shared" si="32"/>
        <v>0</v>
      </c>
      <c r="G57" s="1"/>
      <c r="H57" s="1">
        <f>SUM(OSRRefH22_9x_0)</f>
        <v>10</v>
      </c>
      <c r="I57" s="1"/>
      <c r="J57" s="5">
        <f t="shared" si="33"/>
        <v>0</v>
      </c>
      <c r="K57" s="1"/>
      <c r="L57" s="1">
        <f t="shared" si="34"/>
        <v>5.9499999999999993</v>
      </c>
      <c r="M57" s="1"/>
      <c r="N57" s="5">
        <f t="shared" si="35"/>
        <v>0.59499999999999997</v>
      </c>
      <c r="O57" s="14"/>
      <c r="P57" s="1">
        <f>SUM(OSRRefP22_9x_0)</f>
        <v>679.75</v>
      </c>
      <c r="Q57" s="1"/>
      <c r="R57" s="5">
        <f t="shared" si="36"/>
        <v>0</v>
      </c>
      <c r="S57" s="1"/>
      <c r="T57" s="1">
        <f>SUM(OSRRefT22_9x_0)</f>
        <v>60</v>
      </c>
      <c r="U57" s="1"/>
      <c r="V57" s="5">
        <f t="shared" si="37"/>
        <v>0</v>
      </c>
      <c r="W57" s="1"/>
      <c r="X57" s="1">
        <f t="shared" si="38"/>
        <v>619.75</v>
      </c>
      <c r="Y57" s="1"/>
      <c r="Z57" s="5">
        <f t="shared" si="39"/>
        <v>10.329166666666667</v>
      </c>
    </row>
    <row r="58" spans="1:26" s="24" customFormat="1" hidden="1" outlineLevel="2" x14ac:dyDescent="0.25">
      <c r="A58" s="29"/>
      <c r="B58" s="11" t="str">
        <f>CONCATENATE("          ", "6307", " - ", "POSTAGE")</f>
        <v xml:space="preserve">          6307 - POSTAGE</v>
      </c>
      <c r="C58" s="11"/>
      <c r="D58" s="7">
        <v>15.95</v>
      </c>
      <c r="E58" s="2"/>
      <c r="F58" s="6">
        <f t="shared" si="32"/>
        <v>0</v>
      </c>
      <c r="G58" s="2"/>
      <c r="H58" s="7">
        <v>10</v>
      </c>
      <c r="I58" s="2"/>
      <c r="J58" s="6">
        <f t="shared" si="33"/>
        <v>0</v>
      </c>
      <c r="K58" s="2"/>
      <c r="L58" s="7">
        <f t="shared" si="34"/>
        <v>5.9499999999999993</v>
      </c>
      <c r="M58" s="2"/>
      <c r="N58" s="6">
        <f t="shared" si="35"/>
        <v>0.59499999999999997</v>
      </c>
      <c r="O58" s="11"/>
      <c r="P58" s="7">
        <v>679.75</v>
      </c>
      <c r="Q58" s="2"/>
      <c r="R58" s="6">
        <f t="shared" si="36"/>
        <v>0</v>
      </c>
      <c r="S58" s="2"/>
      <c r="T58" s="7">
        <v>60</v>
      </c>
      <c r="U58" s="2"/>
      <c r="V58" s="6">
        <f t="shared" si="37"/>
        <v>0</v>
      </c>
      <c r="W58" s="2"/>
      <c r="X58" s="7">
        <f t="shared" si="38"/>
        <v>619.75</v>
      </c>
      <c r="Y58" s="2"/>
      <c r="Z58" s="6">
        <f t="shared" si="39"/>
        <v>10.329166666666667</v>
      </c>
    </row>
    <row r="59" spans="1:26" s="28" customFormat="1" outlineLevel="1" collapsed="1" x14ac:dyDescent="0.25">
      <c r="A59" s="27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SUM(OSRRefD22_10x_0)</f>
        <v>300</v>
      </c>
      <c r="E59" s="1"/>
      <c r="F59" s="5">
        <f t="shared" si="32"/>
        <v>0</v>
      </c>
      <c r="G59" s="1"/>
      <c r="H59" s="1">
        <f>SUM(OSRRefH22_10x_0)</f>
        <v>500</v>
      </c>
      <c r="I59" s="1"/>
      <c r="J59" s="5">
        <f t="shared" si="33"/>
        <v>0</v>
      </c>
      <c r="K59" s="1"/>
      <c r="L59" s="1">
        <f t="shared" si="34"/>
        <v>-200</v>
      </c>
      <c r="M59" s="1"/>
      <c r="N59" s="5">
        <f t="shared" si="35"/>
        <v>-0.4</v>
      </c>
      <c r="O59" s="14"/>
      <c r="P59" s="1">
        <f>SUM(OSRRefP22_10x_0)</f>
        <v>1167.81</v>
      </c>
      <c r="Q59" s="1"/>
      <c r="R59" s="5">
        <f t="shared" si="36"/>
        <v>0</v>
      </c>
      <c r="S59" s="1"/>
      <c r="T59" s="1">
        <f>SUM(OSRRefT22_10x_0)</f>
        <v>3000</v>
      </c>
      <c r="U59" s="1"/>
      <c r="V59" s="5">
        <f t="shared" si="37"/>
        <v>0</v>
      </c>
      <c r="W59" s="1"/>
      <c r="X59" s="1">
        <f t="shared" si="38"/>
        <v>-1832.19</v>
      </c>
      <c r="Y59" s="1"/>
      <c r="Z59" s="5">
        <f t="shared" si="39"/>
        <v>-0.61073</v>
      </c>
    </row>
    <row r="60" spans="1:26" s="24" customFormat="1" hidden="1" outlineLevel="2" x14ac:dyDescent="0.25">
      <c r="A60" s="29"/>
      <c r="B60" s="11" t="str">
        <f>CONCATENATE("          ", "6279", " - ", "GENERAL EXPENSE")</f>
        <v xml:space="preserve">          6279 - GENERAL EXPENSE</v>
      </c>
      <c r="C60" s="11"/>
      <c r="D60" s="7">
        <v>300</v>
      </c>
      <c r="E60" s="2"/>
      <c r="F60" s="6">
        <f t="shared" si="32"/>
        <v>0</v>
      </c>
      <c r="G60" s="2"/>
      <c r="H60" s="7">
        <v>500</v>
      </c>
      <c r="I60" s="2"/>
      <c r="J60" s="6">
        <f t="shared" si="33"/>
        <v>0</v>
      </c>
      <c r="K60" s="2"/>
      <c r="L60" s="7">
        <f t="shared" si="34"/>
        <v>-200</v>
      </c>
      <c r="M60" s="2"/>
      <c r="N60" s="6">
        <f t="shared" si="35"/>
        <v>-0.4</v>
      </c>
      <c r="O60" s="11"/>
      <c r="P60" s="7">
        <v>1167.81</v>
      </c>
      <c r="Q60" s="2"/>
      <c r="R60" s="6">
        <f t="shared" si="36"/>
        <v>0</v>
      </c>
      <c r="S60" s="2"/>
      <c r="T60" s="7">
        <v>3000</v>
      </c>
      <c r="U60" s="2"/>
      <c r="V60" s="6">
        <f t="shared" si="37"/>
        <v>0</v>
      </c>
      <c r="W60" s="2"/>
      <c r="X60" s="7">
        <f t="shared" si="38"/>
        <v>-1832.19</v>
      </c>
      <c r="Y60" s="2"/>
      <c r="Z60" s="6">
        <f t="shared" si="39"/>
        <v>-0.61073</v>
      </c>
    </row>
    <row r="61" spans="1:26" s="28" customFormat="1" outlineLevel="1" collapsed="1" x14ac:dyDescent="0.25">
      <c r="A61" s="27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SUM(OSRRefD22_11x_0)</f>
        <v>3883.56</v>
      </c>
      <c r="E61" s="1"/>
      <c r="F61" s="5">
        <f t="shared" si="32"/>
        <v>0</v>
      </c>
      <c r="G61" s="1"/>
      <c r="H61" s="1">
        <f>SUM(OSRRefH22_11x_0)</f>
        <v>4270</v>
      </c>
      <c r="I61" s="1"/>
      <c r="J61" s="5">
        <f t="shared" si="33"/>
        <v>0</v>
      </c>
      <c r="K61" s="1"/>
      <c r="L61" s="1">
        <f t="shared" si="34"/>
        <v>-386.44000000000005</v>
      </c>
      <c r="M61" s="1"/>
      <c r="N61" s="5">
        <f t="shared" si="35"/>
        <v>-9.0501170960187366E-2</v>
      </c>
      <c r="O61" s="14"/>
      <c r="P61" s="1">
        <f>SUM(OSRRefP22_11x_0)</f>
        <v>23301.360000000001</v>
      </c>
      <c r="Q61" s="1"/>
      <c r="R61" s="5">
        <f t="shared" si="36"/>
        <v>0</v>
      </c>
      <c r="S61" s="1"/>
      <c r="T61" s="1">
        <f>SUM(OSRRefT22_11x_0)</f>
        <v>25620</v>
      </c>
      <c r="U61" s="1"/>
      <c r="V61" s="5">
        <f t="shared" si="37"/>
        <v>0</v>
      </c>
      <c r="W61" s="1"/>
      <c r="X61" s="1">
        <f t="shared" si="38"/>
        <v>-2318.6399999999994</v>
      </c>
      <c r="Y61" s="1"/>
      <c r="Z61" s="5">
        <f t="shared" si="39"/>
        <v>-9.0501170960187324E-2</v>
      </c>
    </row>
    <row r="62" spans="1:26" s="24" customFormat="1" hidden="1" outlineLevel="2" x14ac:dyDescent="0.25">
      <c r="A62" s="29"/>
      <c r="B62" s="11" t="str">
        <f>CONCATENATE("          ", "6314", " - ", "LIABILITY INSURANCE")</f>
        <v xml:space="preserve">          6314 - LIABILITY INSURANCE</v>
      </c>
      <c r="C62" s="11"/>
      <c r="D62" s="7">
        <v>3883.56</v>
      </c>
      <c r="E62" s="2"/>
      <c r="F62" s="6">
        <f t="shared" si="32"/>
        <v>0</v>
      </c>
      <c r="G62" s="2"/>
      <c r="H62" s="7">
        <v>4270</v>
      </c>
      <c r="I62" s="2"/>
      <c r="J62" s="6">
        <f t="shared" si="33"/>
        <v>0</v>
      </c>
      <c r="K62" s="2"/>
      <c r="L62" s="7">
        <f t="shared" si="34"/>
        <v>-386.44000000000005</v>
      </c>
      <c r="M62" s="2"/>
      <c r="N62" s="6">
        <f t="shared" si="35"/>
        <v>-9.0501170960187366E-2</v>
      </c>
      <c r="O62" s="11"/>
      <c r="P62" s="7">
        <v>23301.360000000001</v>
      </c>
      <c r="Q62" s="2"/>
      <c r="R62" s="6">
        <f t="shared" si="36"/>
        <v>0</v>
      </c>
      <c r="S62" s="2"/>
      <c r="T62" s="7">
        <v>25620</v>
      </c>
      <c r="U62" s="2"/>
      <c r="V62" s="6">
        <f t="shared" si="37"/>
        <v>0</v>
      </c>
      <c r="W62" s="2"/>
      <c r="X62" s="7">
        <f t="shared" si="38"/>
        <v>-2318.6399999999994</v>
      </c>
      <c r="Y62" s="2"/>
      <c r="Z62" s="6">
        <f t="shared" si="39"/>
        <v>-9.0501170960187324E-2</v>
      </c>
    </row>
    <row r="63" spans="1:26" s="28" customFormat="1" outlineLevel="1" collapsed="1" x14ac:dyDescent="0.25">
      <c r="A63" s="27"/>
      <c r="B63" s="14" t="str">
        <f>CONCATENATE("     ","Inventory Adjustment                              ")</f>
        <v xml:space="preserve">     Inventory Adjustment                              </v>
      </c>
      <c r="C63" s="14"/>
      <c r="D63" s="1">
        <f>SUM(OSRRefD22_12x_0)</f>
        <v>0</v>
      </c>
      <c r="E63" s="1"/>
      <c r="F63" s="5">
        <f t="shared" si="32"/>
        <v>0</v>
      </c>
      <c r="G63" s="1"/>
      <c r="H63" s="1">
        <f>SUM(OSRRefH22_12x_0)</f>
        <v>1000</v>
      </c>
      <c r="I63" s="1"/>
      <c r="J63" s="5">
        <f t="shared" si="33"/>
        <v>0</v>
      </c>
      <c r="K63" s="1"/>
      <c r="L63" s="1">
        <f t="shared" si="34"/>
        <v>-1000</v>
      </c>
      <c r="M63" s="1"/>
      <c r="N63" s="5">
        <f t="shared" si="35"/>
        <v>-1</v>
      </c>
      <c r="O63" s="14"/>
      <c r="P63" s="1">
        <f>SUM(OSRRefP22_12x_0)</f>
        <v>0</v>
      </c>
      <c r="Q63" s="1"/>
      <c r="R63" s="5">
        <f t="shared" si="36"/>
        <v>0</v>
      </c>
      <c r="S63" s="1"/>
      <c r="T63" s="1">
        <f>SUM(OSRRefT22_12x_0)</f>
        <v>6000</v>
      </c>
      <c r="U63" s="1"/>
      <c r="V63" s="5">
        <f t="shared" si="37"/>
        <v>0</v>
      </c>
      <c r="W63" s="1"/>
      <c r="X63" s="1">
        <f t="shared" si="38"/>
        <v>-6000</v>
      </c>
      <c r="Y63" s="1"/>
      <c r="Z63" s="5">
        <f t="shared" si="39"/>
        <v>-1</v>
      </c>
    </row>
    <row r="64" spans="1:26" s="24" customFormat="1" hidden="1" outlineLevel="2" x14ac:dyDescent="0.25">
      <c r="A64" s="29"/>
      <c r="B64" s="11" t="str">
        <f>CONCATENATE("          ", "6408", " - ", "INVENTORY ADJUSTMENT")</f>
        <v xml:space="preserve">          6408 - INVENTORY ADJUSTMENT</v>
      </c>
      <c r="C64" s="11"/>
      <c r="D64" s="7"/>
      <c r="E64" s="2"/>
      <c r="F64" s="6">
        <f t="shared" si="32"/>
        <v>0</v>
      </c>
      <c r="G64" s="2"/>
      <c r="H64" s="7">
        <v>1000</v>
      </c>
      <c r="I64" s="2"/>
      <c r="J64" s="6">
        <f t="shared" si="33"/>
        <v>0</v>
      </c>
      <c r="K64" s="2"/>
      <c r="L64" s="7">
        <f t="shared" si="34"/>
        <v>-1000</v>
      </c>
      <c r="M64" s="2"/>
      <c r="N64" s="6">
        <f t="shared" si="35"/>
        <v>-1</v>
      </c>
      <c r="O64" s="11"/>
      <c r="P64" s="7"/>
      <c r="Q64" s="2"/>
      <c r="R64" s="6">
        <f t="shared" si="36"/>
        <v>0</v>
      </c>
      <c r="S64" s="2"/>
      <c r="T64" s="7">
        <v>6000</v>
      </c>
      <c r="U64" s="2"/>
      <c r="V64" s="6">
        <f t="shared" si="37"/>
        <v>0</v>
      </c>
      <c r="W64" s="2"/>
      <c r="X64" s="7">
        <f t="shared" si="38"/>
        <v>-6000</v>
      </c>
      <c r="Y64" s="2"/>
      <c r="Z64" s="6">
        <f t="shared" si="39"/>
        <v>-1</v>
      </c>
    </row>
    <row r="65" spans="1:26" s="28" customFormat="1" outlineLevel="1" collapsed="1" x14ac:dyDescent="0.25">
      <c r="A65" s="27"/>
      <c r="B65" s="14" t="str">
        <f>CONCATENATE("     ","Rent                                              ")</f>
        <v xml:space="preserve">     Rent                                              </v>
      </c>
      <c r="C65" s="14"/>
      <c r="D65" s="1">
        <f>SUM(OSRRefD22_13x_0)</f>
        <v>-800</v>
      </c>
      <c r="E65" s="1"/>
      <c r="F65" s="5">
        <f t="shared" si="32"/>
        <v>0</v>
      </c>
      <c r="G65" s="1"/>
      <c r="H65" s="1">
        <f>SUM(OSRRefH22_13x_0)</f>
        <v>-800</v>
      </c>
      <c r="I65" s="1"/>
      <c r="J65" s="5">
        <f t="shared" si="33"/>
        <v>0</v>
      </c>
      <c r="K65" s="1"/>
      <c r="L65" s="1">
        <f t="shared" si="34"/>
        <v>0</v>
      </c>
      <c r="M65" s="1"/>
      <c r="N65" s="5">
        <f t="shared" si="35"/>
        <v>0</v>
      </c>
      <c r="O65" s="14"/>
      <c r="P65" s="1">
        <f>SUM(OSRRefP22_13x_0)</f>
        <v>-4800</v>
      </c>
      <c r="Q65" s="1"/>
      <c r="R65" s="5">
        <f t="shared" si="36"/>
        <v>0</v>
      </c>
      <c r="S65" s="1"/>
      <c r="T65" s="1">
        <f>SUM(OSRRefT22_13x_0)</f>
        <v>-4800</v>
      </c>
      <c r="U65" s="1"/>
      <c r="V65" s="5">
        <f t="shared" si="37"/>
        <v>0</v>
      </c>
      <c r="W65" s="1"/>
      <c r="X65" s="1">
        <f t="shared" si="38"/>
        <v>0</v>
      </c>
      <c r="Y65" s="1"/>
      <c r="Z65" s="5">
        <f t="shared" si="39"/>
        <v>0</v>
      </c>
    </row>
    <row r="66" spans="1:26" s="24" customFormat="1" hidden="1" outlineLevel="2" x14ac:dyDescent="0.25">
      <c r="A66" s="29"/>
      <c r="B66" s="11" t="str">
        <f>CONCATENATE("          ", "6273", " - ", "RENT")</f>
        <v xml:space="preserve">          6273 - RENT</v>
      </c>
      <c r="C66" s="11"/>
      <c r="D66" s="7">
        <v>-800</v>
      </c>
      <c r="E66" s="2"/>
      <c r="F66" s="6">
        <f t="shared" si="32"/>
        <v>0</v>
      </c>
      <c r="G66" s="2"/>
      <c r="H66" s="7">
        <v>-800</v>
      </c>
      <c r="I66" s="2"/>
      <c r="J66" s="6">
        <f t="shared" si="33"/>
        <v>0</v>
      </c>
      <c r="K66" s="2"/>
      <c r="L66" s="7">
        <f t="shared" si="34"/>
        <v>0</v>
      </c>
      <c r="M66" s="2"/>
      <c r="N66" s="6">
        <f t="shared" si="35"/>
        <v>0</v>
      </c>
      <c r="O66" s="11"/>
      <c r="P66" s="7">
        <v>-4800</v>
      </c>
      <c r="Q66" s="2"/>
      <c r="R66" s="6">
        <f t="shared" si="36"/>
        <v>0</v>
      </c>
      <c r="S66" s="2"/>
      <c r="T66" s="7">
        <v>-4800</v>
      </c>
      <c r="U66" s="2"/>
      <c r="V66" s="6">
        <f t="shared" si="37"/>
        <v>0</v>
      </c>
      <c r="W66" s="2"/>
      <c r="X66" s="7">
        <f t="shared" si="38"/>
        <v>0</v>
      </c>
      <c r="Y66" s="2"/>
      <c r="Z66" s="6">
        <f t="shared" si="39"/>
        <v>0</v>
      </c>
    </row>
    <row r="67" spans="1:26" s="28" customFormat="1" outlineLevel="1" collapsed="1" x14ac:dyDescent="0.25">
      <c r="A67" s="27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SUM(OSRRefD22_14x_0)</f>
        <v>2967.36</v>
      </c>
      <c r="E67" s="1"/>
      <c r="F67" s="5">
        <f t="shared" si="32"/>
        <v>0</v>
      </c>
      <c r="G67" s="1"/>
      <c r="H67" s="1">
        <f>SUM(OSRRefH22_14x_0)</f>
        <v>9000</v>
      </c>
      <c r="I67" s="1"/>
      <c r="J67" s="5">
        <f t="shared" si="33"/>
        <v>0</v>
      </c>
      <c r="K67" s="1"/>
      <c r="L67" s="1">
        <f t="shared" si="34"/>
        <v>-6032.6399999999994</v>
      </c>
      <c r="M67" s="1"/>
      <c r="N67" s="5">
        <f t="shared" si="35"/>
        <v>-0.6702933333333333</v>
      </c>
      <c r="O67" s="14"/>
      <c r="P67" s="1">
        <f>SUM(OSRRefP22_14x_0)</f>
        <v>79304.08</v>
      </c>
      <c r="Q67" s="1"/>
      <c r="R67" s="5">
        <f t="shared" si="36"/>
        <v>0</v>
      </c>
      <c r="S67" s="1"/>
      <c r="T67" s="1">
        <f>SUM(OSRRefT22_14x_0)</f>
        <v>99000</v>
      </c>
      <c r="U67" s="1"/>
      <c r="V67" s="5">
        <f t="shared" si="37"/>
        <v>0</v>
      </c>
      <c r="W67" s="1"/>
      <c r="X67" s="1">
        <f t="shared" si="38"/>
        <v>-19695.919999999998</v>
      </c>
      <c r="Y67" s="1"/>
      <c r="Z67" s="5">
        <f t="shared" si="39"/>
        <v>-0.19894868686868686</v>
      </c>
    </row>
    <row r="68" spans="1:26" s="24" customFormat="1" hidden="1" outlineLevel="2" x14ac:dyDescent="0.25">
      <c r="A68" s="29"/>
      <c r="B68" s="11" t="str">
        <f>CONCATENATE("          ", "6371", " - ", "COMPUTER SOFTWARE MAINTENANCE")</f>
        <v xml:space="preserve">          6371 - COMPUTER SOFTWARE MAINTENANCE</v>
      </c>
      <c r="C68" s="11"/>
      <c r="D68" s="7"/>
      <c r="E68" s="2"/>
      <c r="F68" s="6">
        <f t="shared" si="32"/>
        <v>0</v>
      </c>
      <c r="G68" s="2"/>
      <c r="H68" s="7"/>
      <c r="I68" s="2"/>
      <c r="J68" s="6">
        <f t="shared" si="33"/>
        <v>0</v>
      </c>
      <c r="K68" s="2"/>
      <c r="L68" s="7">
        <f t="shared" si="34"/>
        <v>0</v>
      </c>
      <c r="M68" s="2"/>
      <c r="N68" s="6">
        <f t="shared" si="35"/>
        <v>0</v>
      </c>
      <c r="O68" s="11"/>
      <c r="P68" s="7">
        <v>58428.780000000006</v>
      </c>
      <c r="Q68" s="2"/>
      <c r="R68" s="6">
        <f t="shared" si="36"/>
        <v>0</v>
      </c>
      <c r="S68" s="2"/>
      <c r="T68" s="7">
        <v>45000</v>
      </c>
      <c r="U68" s="2"/>
      <c r="V68" s="6">
        <f t="shared" si="37"/>
        <v>0</v>
      </c>
      <c r="W68" s="2"/>
      <c r="X68" s="7">
        <f t="shared" si="38"/>
        <v>13428.780000000006</v>
      </c>
      <c r="Y68" s="2"/>
      <c r="Z68" s="6">
        <f t="shared" si="39"/>
        <v>0.29841733333333348</v>
      </c>
    </row>
    <row r="69" spans="1:26" s="24" customFormat="1" hidden="1" outlineLevel="2" x14ac:dyDescent="0.25">
      <c r="A69" s="29"/>
      <c r="B69" s="11" t="str">
        <f>CONCATENATE("          ", "6372", " - ", "COMPUTER HARDWARE MAINTENANCE")</f>
        <v xml:space="preserve">          6372 - COMPUTER HARDWARE MAINTENANCE</v>
      </c>
      <c r="C69" s="11"/>
      <c r="D69" s="7"/>
      <c r="E69" s="2"/>
      <c r="F69" s="6">
        <f t="shared" si="32"/>
        <v>0</v>
      </c>
      <c r="G69" s="2"/>
      <c r="H69" s="7"/>
      <c r="I69" s="2"/>
      <c r="J69" s="6">
        <f t="shared" si="33"/>
        <v>0</v>
      </c>
      <c r="K69" s="2"/>
      <c r="L69" s="7">
        <f t="shared" si="34"/>
        <v>0</v>
      </c>
      <c r="M69" s="2"/>
      <c r="N69" s="6">
        <f t="shared" si="35"/>
        <v>0</v>
      </c>
      <c r="O69" s="11"/>
      <c r="P69" s="7">
        <v>0</v>
      </c>
      <c r="Q69" s="2"/>
      <c r="R69" s="6">
        <f t="shared" si="36"/>
        <v>0</v>
      </c>
      <c r="S69" s="2"/>
      <c r="T69" s="7"/>
      <c r="U69" s="2"/>
      <c r="V69" s="6">
        <f t="shared" si="37"/>
        <v>0</v>
      </c>
      <c r="W69" s="2"/>
      <c r="X69" s="7">
        <f t="shared" si="38"/>
        <v>0</v>
      </c>
      <c r="Y69" s="2"/>
      <c r="Z69" s="6">
        <f t="shared" si="39"/>
        <v>0</v>
      </c>
    </row>
    <row r="70" spans="1:26" s="24" customFormat="1" hidden="1" outlineLevel="2" x14ac:dyDescent="0.25">
      <c r="A70" s="29"/>
      <c r="B70" s="11" t="str">
        <f>CONCATENATE("          ", "6373", " - ", "MAINTENANCE CONTRACTS")</f>
        <v xml:space="preserve">          6373 - MAINTENANCE CONTRACTS</v>
      </c>
      <c r="C70" s="11"/>
      <c r="D70" s="7">
        <v>2922.36</v>
      </c>
      <c r="E70" s="2"/>
      <c r="F70" s="6">
        <f t="shared" si="32"/>
        <v>0</v>
      </c>
      <c r="G70" s="2"/>
      <c r="H70" s="7">
        <v>1000</v>
      </c>
      <c r="I70" s="2"/>
      <c r="J70" s="6">
        <f t="shared" si="33"/>
        <v>0</v>
      </c>
      <c r="K70" s="2"/>
      <c r="L70" s="7">
        <f t="shared" si="34"/>
        <v>1922.3600000000001</v>
      </c>
      <c r="M70" s="2"/>
      <c r="N70" s="6">
        <f t="shared" si="35"/>
        <v>1.9223600000000001</v>
      </c>
      <c r="O70" s="11"/>
      <c r="P70" s="7">
        <v>9138.74</v>
      </c>
      <c r="Q70" s="2"/>
      <c r="R70" s="6">
        <f t="shared" si="36"/>
        <v>0</v>
      </c>
      <c r="S70" s="2"/>
      <c r="T70" s="7">
        <v>6000</v>
      </c>
      <c r="U70" s="2"/>
      <c r="V70" s="6">
        <f t="shared" si="37"/>
        <v>0</v>
      </c>
      <c r="W70" s="2"/>
      <c r="X70" s="7">
        <f t="shared" si="38"/>
        <v>3138.74</v>
      </c>
      <c r="Y70" s="2"/>
      <c r="Z70" s="6">
        <f t="shared" si="39"/>
        <v>0.52312333333333327</v>
      </c>
    </row>
    <row r="71" spans="1:26" s="24" customFormat="1" hidden="1" outlineLevel="2" x14ac:dyDescent="0.25">
      <c r="A71" s="29"/>
      <c r="B71" s="11" t="str">
        <f>CONCATENATE("          ", "6375", " - ", "OUTSIDE REPAIRS &amp; MAINTENANCE")</f>
        <v xml:space="preserve">          6375 - OUTSIDE REPAIRS &amp; MAINTENANCE</v>
      </c>
      <c r="C71" s="11"/>
      <c r="D71" s="7">
        <v>45</v>
      </c>
      <c r="E71" s="2"/>
      <c r="F71" s="6">
        <f t="shared" si="32"/>
        <v>0</v>
      </c>
      <c r="G71" s="2"/>
      <c r="H71" s="7">
        <v>8000</v>
      </c>
      <c r="I71" s="2"/>
      <c r="J71" s="6">
        <f t="shared" si="33"/>
        <v>0</v>
      </c>
      <c r="K71" s="2"/>
      <c r="L71" s="7">
        <f t="shared" si="34"/>
        <v>-7955</v>
      </c>
      <c r="M71" s="2"/>
      <c r="N71" s="6">
        <f t="shared" si="35"/>
        <v>-0.99437500000000001</v>
      </c>
      <c r="O71" s="11"/>
      <c r="P71" s="7">
        <v>11736.56</v>
      </c>
      <c r="Q71" s="2"/>
      <c r="R71" s="6">
        <f t="shared" si="36"/>
        <v>0</v>
      </c>
      <c r="S71" s="2"/>
      <c r="T71" s="7">
        <v>48000</v>
      </c>
      <c r="U71" s="2"/>
      <c r="V71" s="6">
        <f t="shared" si="37"/>
        <v>0</v>
      </c>
      <c r="W71" s="2"/>
      <c r="X71" s="7">
        <f t="shared" si="38"/>
        <v>-36263.440000000002</v>
      </c>
      <c r="Y71" s="2"/>
      <c r="Z71" s="6">
        <f t="shared" si="39"/>
        <v>-0.75548833333333343</v>
      </c>
    </row>
    <row r="72" spans="1:26" s="28" customFormat="1" outlineLevel="1" collapsed="1" x14ac:dyDescent="0.25">
      <c r="A72" s="27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SUM(OSRRefD22_15x_0)</f>
        <v>2269.62</v>
      </c>
      <c r="E72" s="1"/>
      <c r="F72" s="5">
        <f t="shared" ref="F72:F75" si="40">IF(D$12=0,0,D72/D$12)</f>
        <v>0</v>
      </c>
      <c r="G72" s="1"/>
      <c r="H72" s="1">
        <f>SUM(OSRRefH22_15x_0)</f>
        <v>4300</v>
      </c>
      <c r="I72" s="1"/>
      <c r="J72" s="5">
        <f t="shared" ref="J72:J75" si="41">IF(H$12=0,0,H72/H$12)</f>
        <v>0</v>
      </c>
      <c r="K72" s="1"/>
      <c r="L72" s="1">
        <f t="shared" ref="L72:L75" si="42">+D72-H72</f>
        <v>-2030.38</v>
      </c>
      <c r="M72" s="1"/>
      <c r="N72" s="5">
        <f t="shared" ref="N72:N75" si="43">IF(H72=0,0,L72/H72)</f>
        <v>-0.47218139534883724</v>
      </c>
      <c r="O72" s="14"/>
      <c r="P72" s="1">
        <f>SUM(OSRRefP22_15x_0)</f>
        <v>18972.43</v>
      </c>
      <c r="Q72" s="1"/>
      <c r="R72" s="5">
        <f t="shared" ref="R72:R75" si="44">IF(P$12=0,0,P72/P$12)</f>
        <v>0</v>
      </c>
      <c r="S72" s="1"/>
      <c r="T72" s="1">
        <f>SUM(OSRRefT22_15x_0)</f>
        <v>25800</v>
      </c>
      <c r="U72" s="1"/>
      <c r="V72" s="5">
        <f t="shared" ref="V72:V75" si="45">IF(T$12=0,0,T72/T$12)</f>
        <v>0</v>
      </c>
      <c r="W72" s="1"/>
      <c r="X72" s="1">
        <f t="shared" ref="X72:X75" si="46">+P72-T72</f>
        <v>-6827.57</v>
      </c>
      <c r="Y72" s="1"/>
      <c r="Z72" s="5">
        <f t="shared" ref="Z72:Z75" si="47">IF(T72=0,0,X72/T72)</f>
        <v>-0.264634496124031</v>
      </c>
    </row>
    <row r="73" spans="1:26" s="24" customFormat="1" hidden="1" outlineLevel="2" x14ac:dyDescent="0.25">
      <c r="A73" s="29"/>
      <c r="B73" s="11" t="str">
        <f>CONCATENATE("          ", "6282", " - ", "JANITORIAL/EXTERMINATOR EXPENS")</f>
        <v xml:space="preserve">          6282 - JANITORIAL/EXTERMINATOR EXPENS</v>
      </c>
      <c r="C73" s="11"/>
      <c r="D73" s="7"/>
      <c r="E73" s="2"/>
      <c r="F73" s="6">
        <f t="shared" si="40"/>
        <v>0</v>
      </c>
      <c r="G73" s="2"/>
      <c r="H73" s="7">
        <v>4000</v>
      </c>
      <c r="I73" s="2"/>
      <c r="J73" s="6">
        <f t="shared" si="41"/>
        <v>0</v>
      </c>
      <c r="K73" s="2"/>
      <c r="L73" s="7">
        <f t="shared" si="42"/>
        <v>-4000</v>
      </c>
      <c r="M73" s="2"/>
      <c r="N73" s="6">
        <f t="shared" si="43"/>
        <v>-1</v>
      </c>
      <c r="O73" s="11"/>
      <c r="P73" s="7">
        <v>5164.12</v>
      </c>
      <c r="Q73" s="2"/>
      <c r="R73" s="6">
        <f t="shared" si="44"/>
        <v>0</v>
      </c>
      <c r="S73" s="2"/>
      <c r="T73" s="7">
        <v>24000</v>
      </c>
      <c r="U73" s="2"/>
      <c r="V73" s="6">
        <f t="shared" si="45"/>
        <v>0</v>
      </c>
      <c r="W73" s="2"/>
      <c r="X73" s="7">
        <f t="shared" si="46"/>
        <v>-18835.88</v>
      </c>
      <c r="Y73" s="2"/>
      <c r="Z73" s="6">
        <f t="shared" si="47"/>
        <v>-0.78482833333333335</v>
      </c>
    </row>
    <row r="74" spans="1:26" s="24" customFormat="1" hidden="1" outlineLevel="2" x14ac:dyDescent="0.25">
      <c r="A74" s="29"/>
      <c r="B74" s="11" t="str">
        <f>CONCATENATE("          ", "6283", " - ", "PLANT SERVICE")</f>
        <v xml:space="preserve">          6283 - PLANT SERVICE</v>
      </c>
      <c r="C74" s="11"/>
      <c r="D74" s="7"/>
      <c r="E74" s="2"/>
      <c r="F74" s="6">
        <f t="shared" si="40"/>
        <v>0</v>
      </c>
      <c r="G74" s="2"/>
      <c r="H74" s="7"/>
      <c r="I74" s="2"/>
      <c r="J74" s="6">
        <f t="shared" si="41"/>
        <v>0</v>
      </c>
      <c r="K74" s="2"/>
      <c r="L74" s="7">
        <f t="shared" si="42"/>
        <v>0</v>
      </c>
      <c r="M74" s="2"/>
      <c r="N74" s="6">
        <f t="shared" si="43"/>
        <v>0</v>
      </c>
      <c r="O74" s="11"/>
      <c r="P74" s="7">
        <v>130</v>
      </c>
      <c r="Q74" s="2"/>
      <c r="R74" s="6">
        <f t="shared" si="44"/>
        <v>0</v>
      </c>
      <c r="S74" s="2"/>
      <c r="T74" s="7"/>
      <c r="U74" s="2"/>
      <c r="V74" s="6">
        <f t="shared" si="45"/>
        <v>0</v>
      </c>
      <c r="W74" s="2"/>
      <c r="X74" s="7">
        <f t="shared" si="46"/>
        <v>130</v>
      </c>
      <c r="Y74" s="2"/>
      <c r="Z74" s="6">
        <f t="shared" si="47"/>
        <v>0</v>
      </c>
    </row>
    <row r="75" spans="1:26" s="24" customFormat="1" hidden="1" outlineLevel="2" x14ac:dyDescent="0.25">
      <c r="A75" s="29"/>
      <c r="B75" s="11" t="str">
        <f>CONCATENATE("          ", "6285", " - ", "JANITORIAL SERVICES")</f>
        <v xml:space="preserve">          6285 - JANITORIAL SERVICES</v>
      </c>
      <c r="C75" s="11"/>
      <c r="D75" s="7">
        <v>2269.62</v>
      </c>
      <c r="E75" s="2"/>
      <c r="F75" s="6">
        <f t="shared" si="40"/>
        <v>0</v>
      </c>
      <c r="G75" s="2"/>
      <c r="H75" s="7">
        <v>300</v>
      </c>
      <c r="I75" s="2"/>
      <c r="J75" s="6">
        <f t="shared" si="41"/>
        <v>0</v>
      </c>
      <c r="K75" s="2"/>
      <c r="L75" s="7">
        <f t="shared" si="42"/>
        <v>1969.62</v>
      </c>
      <c r="M75" s="2"/>
      <c r="N75" s="6">
        <f t="shared" si="43"/>
        <v>6.5653999999999995</v>
      </c>
      <c r="O75" s="11"/>
      <c r="P75" s="7">
        <v>13678.31</v>
      </c>
      <c r="Q75" s="2"/>
      <c r="R75" s="6">
        <f t="shared" si="44"/>
        <v>0</v>
      </c>
      <c r="S75" s="2"/>
      <c r="T75" s="7">
        <v>1800</v>
      </c>
      <c r="U75" s="2"/>
      <c r="V75" s="6">
        <f t="shared" si="45"/>
        <v>0</v>
      </c>
      <c r="W75" s="2"/>
      <c r="X75" s="7">
        <f t="shared" si="46"/>
        <v>11878.31</v>
      </c>
      <c r="Y75" s="2"/>
      <c r="Z75" s="6">
        <f t="shared" si="47"/>
        <v>6.5990611111111113</v>
      </c>
    </row>
    <row r="76" spans="1:26" s="28" customFormat="1" outlineLevel="1" collapsed="1" x14ac:dyDescent="0.25">
      <c r="A76" s="27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1">
        <f>SUM(OSRRefD22_16x_0)</f>
        <v>0</v>
      </c>
      <c r="E76" s="1"/>
      <c r="F76" s="5">
        <f t="shared" ref="F76:F85" si="48">IF(D$12=0,0,D76/D$12)</f>
        <v>0</v>
      </c>
      <c r="G76" s="1"/>
      <c r="H76" s="1">
        <f>SUM(OSRRefH22_16x_0)</f>
        <v>800</v>
      </c>
      <c r="I76" s="1"/>
      <c r="J76" s="5">
        <f t="shared" ref="J76:J85" si="49">IF(H$12=0,0,H76/H$12)</f>
        <v>0</v>
      </c>
      <c r="K76" s="1"/>
      <c r="L76" s="1">
        <f t="shared" ref="L76:L85" si="50">+D76-H76</f>
        <v>-800</v>
      </c>
      <c r="M76" s="1"/>
      <c r="N76" s="5">
        <f t="shared" ref="N76:N85" si="51">IF(H76=0,0,L76/H76)</f>
        <v>-1</v>
      </c>
      <c r="O76" s="14"/>
      <c r="P76" s="1">
        <f>SUM(OSRRefP22_16x_0)</f>
        <v>0</v>
      </c>
      <c r="Q76" s="1"/>
      <c r="R76" s="5">
        <f t="shared" ref="R76:R85" si="52">IF(P$12=0,0,P76/P$12)</f>
        <v>0</v>
      </c>
      <c r="S76" s="1"/>
      <c r="T76" s="1">
        <f>SUM(OSRRefT22_16x_0)</f>
        <v>4800</v>
      </c>
      <c r="U76" s="1"/>
      <c r="V76" s="5">
        <f t="shared" ref="V76:V85" si="53">IF(T$12=0,0,T76/T$12)</f>
        <v>0</v>
      </c>
      <c r="W76" s="1"/>
      <c r="X76" s="1">
        <f t="shared" ref="X76:X85" si="54">+P76-T76</f>
        <v>-4800</v>
      </c>
      <c r="Y76" s="1"/>
      <c r="Z76" s="5">
        <f t="shared" ref="Z76:Z85" si="55">IF(T76=0,0,X76/T76)</f>
        <v>-1</v>
      </c>
    </row>
    <row r="77" spans="1:26" s="24" customFormat="1" hidden="1" outlineLevel="2" x14ac:dyDescent="0.25">
      <c r="A77" s="29"/>
      <c r="B77" s="11" t="str">
        <f>CONCATENATE("          ", "6258", " - ", "MEMBERSHIP DUES")</f>
        <v xml:space="preserve">          6258 - MEMBERSHIP DUES</v>
      </c>
      <c r="C77" s="11"/>
      <c r="D77" s="7"/>
      <c r="E77" s="2"/>
      <c r="F77" s="6">
        <f t="shared" si="48"/>
        <v>0</v>
      </c>
      <c r="G77" s="2"/>
      <c r="H77" s="7">
        <v>800</v>
      </c>
      <c r="I77" s="2"/>
      <c r="J77" s="6">
        <f t="shared" si="49"/>
        <v>0</v>
      </c>
      <c r="K77" s="2"/>
      <c r="L77" s="7">
        <f t="shared" si="50"/>
        <v>-800</v>
      </c>
      <c r="M77" s="2"/>
      <c r="N77" s="6">
        <f t="shared" si="51"/>
        <v>-1</v>
      </c>
      <c r="O77" s="11"/>
      <c r="P77" s="7"/>
      <c r="Q77" s="2"/>
      <c r="R77" s="6">
        <f t="shared" si="52"/>
        <v>0</v>
      </c>
      <c r="S77" s="2"/>
      <c r="T77" s="7">
        <v>4800</v>
      </c>
      <c r="U77" s="2"/>
      <c r="V77" s="6">
        <f t="shared" si="53"/>
        <v>0</v>
      </c>
      <c r="W77" s="2"/>
      <c r="X77" s="7">
        <f t="shared" si="54"/>
        <v>-4800</v>
      </c>
      <c r="Y77" s="2"/>
      <c r="Z77" s="6">
        <f t="shared" si="55"/>
        <v>-1</v>
      </c>
    </row>
    <row r="78" spans="1:26" s="28" customFormat="1" outlineLevel="1" collapsed="1" x14ac:dyDescent="0.25">
      <c r="A78" s="27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SUM(OSRRefD22_17x_0)</f>
        <v>3406.08</v>
      </c>
      <c r="E78" s="1"/>
      <c r="F78" s="5">
        <f t="shared" si="48"/>
        <v>0</v>
      </c>
      <c r="G78" s="1"/>
      <c r="H78" s="1">
        <f>SUM(OSRRefH22_17x_0)</f>
        <v>3900</v>
      </c>
      <c r="I78" s="1"/>
      <c r="J78" s="5">
        <f t="shared" si="49"/>
        <v>0</v>
      </c>
      <c r="K78" s="1"/>
      <c r="L78" s="1">
        <f t="shared" si="50"/>
        <v>-493.92000000000007</v>
      </c>
      <c r="M78" s="1"/>
      <c r="N78" s="5">
        <f t="shared" si="51"/>
        <v>-0.12664615384615385</v>
      </c>
      <c r="O78" s="14"/>
      <c r="P78" s="1">
        <f>SUM(OSRRefP22_17x_0)</f>
        <v>45302.47</v>
      </c>
      <c r="Q78" s="1"/>
      <c r="R78" s="5">
        <f t="shared" si="52"/>
        <v>0</v>
      </c>
      <c r="S78" s="1"/>
      <c r="T78" s="1">
        <f>SUM(OSRRefT22_17x_0)</f>
        <v>83200</v>
      </c>
      <c r="U78" s="1"/>
      <c r="V78" s="5">
        <f t="shared" si="53"/>
        <v>0</v>
      </c>
      <c r="W78" s="1"/>
      <c r="X78" s="1">
        <f t="shared" si="54"/>
        <v>-37897.53</v>
      </c>
      <c r="Y78" s="1"/>
      <c r="Z78" s="5">
        <f t="shared" si="55"/>
        <v>-0.45549915865384616</v>
      </c>
    </row>
    <row r="79" spans="1:26" s="24" customFormat="1" hidden="1" outlineLevel="2" x14ac:dyDescent="0.25">
      <c r="A79" s="29"/>
      <c r="B79" s="11" t="str">
        <f>CONCATENATE("          ", "6234", " - ", "EXPENDABLE SUPPLIES &amp; EQUIPMEN")</f>
        <v xml:space="preserve">          6234 - EXPENDABLE SUPPLIES &amp; EQUIPMEN</v>
      </c>
      <c r="C79" s="11"/>
      <c r="D79" s="7"/>
      <c r="E79" s="2"/>
      <c r="F79" s="6">
        <f t="shared" si="48"/>
        <v>0</v>
      </c>
      <c r="G79" s="2"/>
      <c r="H79" s="7">
        <v>100</v>
      </c>
      <c r="I79" s="2"/>
      <c r="J79" s="6">
        <f t="shared" si="49"/>
        <v>0</v>
      </c>
      <c r="K79" s="2"/>
      <c r="L79" s="7">
        <f t="shared" si="50"/>
        <v>-100</v>
      </c>
      <c r="M79" s="2"/>
      <c r="N79" s="6">
        <f t="shared" si="51"/>
        <v>-1</v>
      </c>
      <c r="O79" s="11"/>
      <c r="P79" s="7">
        <v>-449.34</v>
      </c>
      <c r="Q79" s="2"/>
      <c r="R79" s="6">
        <f t="shared" si="52"/>
        <v>0</v>
      </c>
      <c r="S79" s="2"/>
      <c r="T79" s="7">
        <v>600</v>
      </c>
      <c r="U79" s="2"/>
      <c r="V79" s="6">
        <f t="shared" si="53"/>
        <v>0</v>
      </c>
      <c r="W79" s="2"/>
      <c r="X79" s="7">
        <f t="shared" si="54"/>
        <v>-1049.3399999999999</v>
      </c>
      <c r="Y79" s="2"/>
      <c r="Z79" s="6">
        <f t="shared" si="55"/>
        <v>-1.7488999999999999</v>
      </c>
    </row>
    <row r="80" spans="1:26" s="24" customFormat="1" hidden="1" outlineLevel="2" x14ac:dyDescent="0.25">
      <c r="A80" s="29"/>
      <c r="B80" s="11" t="str">
        <f>CONCATENATE("          ", "6235", " - ", "COVID-19 EXPENSES")</f>
        <v xml:space="preserve">          6235 - COVID-19 EXPENSES</v>
      </c>
      <c r="C80" s="11"/>
      <c r="D80" s="7">
        <v>2921.2</v>
      </c>
      <c r="E80" s="2"/>
      <c r="F80" s="6">
        <f t="shared" si="48"/>
        <v>0</v>
      </c>
      <c r="G80" s="2"/>
      <c r="H80" s="7">
        <v>100</v>
      </c>
      <c r="I80" s="2"/>
      <c r="J80" s="6">
        <f t="shared" si="49"/>
        <v>0</v>
      </c>
      <c r="K80" s="2"/>
      <c r="L80" s="7">
        <f t="shared" si="50"/>
        <v>2821.2</v>
      </c>
      <c r="M80" s="2"/>
      <c r="N80" s="6">
        <f t="shared" si="51"/>
        <v>28.212</v>
      </c>
      <c r="O80" s="11"/>
      <c r="P80" s="7">
        <v>29330.489999999998</v>
      </c>
      <c r="Q80" s="2"/>
      <c r="R80" s="6">
        <f t="shared" si="52"/>
        <v>0</v>
      </c>
      <c r="S80" s="2"/>
      <c r="T80" s="7">
        <v>60400</v>
      </c>
      <c r="U80" s="2"/>
      <c r="V80" s="6">
        <f t="shared" si="53"/>
        <v>0</v>
      </c>
      <c r="W80" s="2"/>
      <c r="X80" s="7">
        <f t="shared" si="54"/>
        <v>-31069.510000000002</v>
      </c>
      <c r="Y80" s="2"/>
      <c r="Z80" s="6">
        <f t="shared" si="55"/>
        <v>-0.51439586092715239</v>
      </c>
    </row>
    <row r="81" spans="1:26" s="24" customFormat="1" hidden="1" outlineLevel="2" x14ac:dyDescent="0.25">
      <c r="A81" s="29"/>
      <c r="B81" s="11" t="str">
        <f>CONCATENATE("          ", "6237", " - ", "JANITORIAL SUPPLIES")</f>
        <v xml:space="preserve">          6237 - JANITORIAL SUPPLIES</v>
      </c>
      <c r="C81" s="11"/>
      <c r="D81" s="7">
        <v>438.53</v>
      </c>
      <c r="E81" s="2"/>
      <c r="F81" s="6">
        <f t="shared" si="48"/>
        <v>0</v>
      </c>
      <c r="G81" s="2"/>
      <c r="H81" s="7">
        <v>200</v>
      </c>
      <c r="I81" s="2"/>
      <c r="J81" s="6">
        <f t="shared" si="49"/>
        <v>0</v>
      </c>
      <c r="K81" s="2"/>
      <c r="L81" s="7">
        <f t="shared" si="50"/>
        <v>238.52999999999997</v>
      </c>
      <c r="M81" s="2"/>
      <c r="N81" s="6">
        <f t="shared" si="51"/>
        <v>1.1926499999999998</v>
      </c>
      <c r="O81" s="11"/>
      <c r="P81" s="7">
        <v>1742.14</v>
      </c>
      <c r="Q81" s="2"/>
      <c r="R81" s="6">
        <f t="shared" si="52"/>
        <v>0</v>
      </c>
      <c r="S81" s="2"/>
      <c r="T81" s="7">
        <v>1200</v>
      </c>
      <c r="U81" s="2"/>
      <c r="V81" s="6">
        <f t="shared" si="53"/>
        <v>0</v>
      </c>
      <c r="W81" s="2"/>
      <c r="X81" s="7">
        <f t="shared" si="54"/>
        <v>542.1400000000001</v>
      </c>
      <c r="Y81" s="2"/>
      <c r="Z81" s="6">
        <f t="shared" si="55"/>
        <v>0.45178333333333343</v>
      </c>
    </row>
    <row r="82" spans="1:26" s="24" customFormat="1" hidden="1" outlineLevel="2" x14ac:dyDescent="0.25">
      <c r="A82" s="29"/>
      <c r="B82" s="11" t="str">
        <f>CONCATENATE("          ", "6241", " - ", "OFFICE EXPENSE")</f>
        <v xml:space="preserve">          6241 - OFFICE EXPENSE</v>
      </c>
      <c r="C82" s="11"/>
      <c r="D82" s="7">
        <v>47.26</v>
      </c>
      <c r="E82" s="2"/>
      <c r="F82" s="6">
        <f t="shared" si="48"/>
        <v>0</v>
      </c>
      <c r="G82" s="2"/>
      <c r="H82" s="7"/>
      <c r="I82" s="2"/>
      <c r="J82" s="6">
        <f t="shared" si="49"/>
        <v>0</v>
      </c>
      <c r="K82" s="2"/>
      <c r="L82" s="7">
        <f t="shared" si="50"/>
        <v>47.26</v>
      </c>
      <c r="M82" s="2"/>
      <c r="N82" s="6">
        <f t="shared" si="51"/>
        <v>0</v>
      </c>
      <c r="O82" s="11"/>
      <c r="P82" s="7">
        <v>2274.0500000000002</v>
      </c>
      <c r="Q82" s="2"/>
      <c r="R82" s="6">
        <f t="shared" si="52"/>
        <v>0</v>
      </c>
      <c r="S82" s="2"/>
      <c r="T82" s="7"/>
      <c r="U82" s="2"/>
      <c r="V82" s="6">
        <f t="shared" si="53"/>
        <v>0</v>
      </c>
      <c r="W82" s="2"/>
      <c r="X82" s="7">
        <f t="shared" si="54"/>
        <v>2274.0500000000002</v>
      </c>
      <c r="Y82" s="2"/>
      <c r="Z82" s="6">
        <f t="shared" si="55"/>
        <v>0</v>
      </c>
    </row>
    <row r="83" spans="1:26" s="24" customFormat="1" hidden="1" outlineLevel="2" x14ac:dyDescent="0.25">
      <c r="A83" s="29"/>
      <c r="B83" s="11" t="str">
        <f>CONCATENATE("          ", "6245", " - ", "PRINTING")</f>
        <v xml:space="preserve">          6245 - PRINTING</v>
      </c>
      <c r="C83" s="11"/>
      <c r="D83" s="7"/>
      <c r="E83" s="2"/>
      <c r="F83" s="6">
        <f t="shared" si="48"/>
        <v>0</v>
      </c>
      <c r="G83" s="2"/>
      <c r="H83" s="7"/>
      <c r="I83" s="2"/>
      <c r="J83" s="6">
        <f t="shared" si="49"/>
        <v>0</v>
      </c>
      <c r="K83" s="2"/>
      <c r="L83" s="7">
        <f t="shared" si="50"/>
        <v>0</v>
      </c>
      <c r="M83" s="2"/>
      <c r="N83" s="6">
        <f t="shared" si="51"/>
        <v>0</v>
      </c>
      <c r="O83" s="11"/>
      <c r="P83" s="7">
        <v>68.66</v>
      </c>
      <c r="Q83" s="2"/>
      <c r="R83" s="6">
        <f t="shared" si="52"/>
        <v>0</v>
      </c>
      <c r="S83" s="2"/>
      <c r="T83" s="7"/>
      <c r="U83" s="2"/>
      <c r="V83" s="6">
        <f t="shared" si="53"/>
        <v>0</v>
      </c>
      <c r="W83" s="2"/>
      <c r="X83" s="7">
        <f t="shared" si="54"/>
        <v>68.66</v>
      </c>
      <c r="Y83" s="2"/>
      <c r="Z83" s="6">
        <f t="shared" si="55"/>
        <v>0</v>
      </c>
    </row>
    <row r="84" spans="1:26" s="24" customFormat="1" hidden="1" outlineLevel="2" x14ac:dyDescent="0.25">
      <c r="A84" s="29"/>
      <c r="B84" s="11" t="str">
        <f>CONCATENATE("          ", "6247", " - ", "STORE SUPPLIES")</f>
        <v xml:space="preserve">          6247 - STORE SUPPLIES</v>
      </c>
      <c r="C84" s="11"/>
      <c r="D84" s="7">
        <v>-0.91</v>
      </c>
      <c r="E84" s="2"/>
      <c r="F84" s="6">
        <f t="shared" si="48"/>
        <v>0</v>
      </c>
      <c r="G84" s="2"/>
      <c r="H84" s="7">
        <v>2000</v>
      </c>
      <c r="I84" s="2"/>
      <c r="J84" s="6">
        <f t="shared" si="49"/>
        <v>0</v>
      </c>
      <c r="K84" s="2"/>
      <c r="L84" s="7">
        <f t="shared" si="50"/>
        <v>-2000.91</v>
      </c>
      <c r="M84" s="2"/>
      <c r="N84" s="6">
        <f t="shared" si="51"/>
        <v>-1.0004550000000001</v>
      </c>
      <c r="O84" s="11"/>
      <c r="P84" s="7">
        <v>12336.47</v>
      </c>
      <c r="Q84" s="2"/>
      <c r="R84" s="6">
        <f t="shared" si="52"/>
        <v>0</v>
      </c>
      <c r="S84" s="2"/>
      <c r="T84" s="7">
        <v>12000</v>
      </c>
      <c r="U84" s="2"/>
      <c r="V84" s="6">
        <f t="shared" si="53"/>
        <v>0</v>
      </c>
      <c r="W84" s="2"/>
      <c r="X84" s="7">
        <f t="shared" si="54"/>
        <v>336.46999999999935</v>
      </c>
      <c r="Y84" s="2"/>
      <c r="Z84" s="6">
        <f t="shared" si="55"/>
        <v>2.8039166666666612E-2</v>
      </c>
    </row>
    <row r="85" spans="1:26" s="24" customFormat="1" hidden="1" outlineLevel="2" x14ac:dyDescent="0.25">
      <c r="A85" s="29"/>
      <c r="B85" s="11" t="str">
        <f>CONCATENATE("          ", "6248", " - ", "UNIFORMS")</f>
        <v xml:space="preserve">          6248 - UNIFORMS</v>
      </c>
      <c r="C85" s="11"/>
      <c r="D85" s="7"/>
      <c r="E85" s="2"/>
      <c r="F85" s="6">
        <f t="shared" si="48"/>
        <v>0</v>
      </c>
      <c r="G85" s="2"/>
      <c r="H85" s="7">
        <v>1500</v>
      </c>
      <c r="I85" s="2"/>
      <c r="J85" s="6">
        <f t="shared" si="49"/>
        <v>0</v>
      </c>
      <c r="K85" s="2"/>
      <c r="L85" s="7">
        <f t="shared" si="50"/>
        <v>-1500</v>
      </c>
      <c r="M85" s="2"/>
      <c r="N85" s="6">
        <f t="shared" si="51"/>
        <v>-1</v>
      </c>
      <c r="O85" s="11"/>
      <c r="P85" s="7"/>
      <c r="Q85" s="2"/>
      <c r="R85" s="6">
        <f t="shared" si="52"/>
        <v>0</v>
      </c>
      <c r="S85" s="2"/>
      <c r="T85" s="7">
        <v>9000</v>
      </c>
      <c r="U85" s="2"/>
      <c r="V85" s="6">
        <f t="shared" si="53"/>
        <v>0</v>
      </c>
      <c r="W85" s="2"/>
      <c r="X85" s="7">
        <f t="shared" si="54"/>
        <v>-9000</v>
      </c>
      <c r="Y85" s="2"/>
      <c r="Z85" s="6">
        <f t="shared" si="55"/>
        <v>-1</v>
      </c>
    </row>
    <row r="86" spans="1:26" s="28" customFormat="1" outlineLevel="1" collapsed="1" x14ac:dyDescent="0.25">
      <c r="A86" s="27"/>
      <c r="B86" s="14" t="str">
        <f>CONCATENATE("     ","Telephone/Data Lines                              ")</f>
        <v xml:space="preserve">     Telephone/Data Lines                              </v>
      </c>
      <c r="C86" s="14"/>
      <c r="D86" s="1">
        <f>SUM(OSRRefD22_18x_0)</f>
        <v>579.66</v>
      </c>
      <c r="E86" s="1"/>
      <c r="F86" s="5">
        <f t="shared" ref="F86:F92" si="56">IF(D$12=0,0,D86/D$12)</f>
        <v>0</v>
      </c>
      <c r="G86" s="1"/>
      <c r="H86" s="1">
        <f>SUM(OSRRefH22_18x_0)</f>
        <v>600</v>
      </c>
      <c r="I86" s="1"/>
      <c r="J86" s="5">
        <f t="shared" ref="J86:J92" si="57">IF(H$12=0,0,H86/H$12)</f>
        <v>0</v>
      </c>
      <c r="K86" s="1"/>
      <c r="L86" s="1">
        <f t="shared" ref="L86:L92" si="58">+D86-H86</f>
        <v>-20.340000000000032</v>
      </c>
      <c r="M86" s="1"/>
      <c r="N86" s="5">
        <f t="shared" ref="N86:N92" si="59">IF(H86=0,0,L86/H86)</f>
        <v>-3.3900000000000055E-2</v>
      </c>
      <c r="O86" s="14"/>
      <c r="P86" s="1">
        <f>SUM(OSRRefP22_18x_0)</f>
        <v>3732.94</v>
      </c>
      <c r="Q86" s="1"/>
      <c r="R86" s="5">
        <f t="shared" ref="R86:R92" si="60">IF(P$12=0,0,P86/P$12)</f>
        <v>0</v>
      </c>
      <c r="S86" s="1"/>
      <c r="T86" s="1">
        <f>SUM(OSRRefT22_18x_0)</f>
        <v>3600</v>
      </c>
      <c r="U86" s="1"/>
      <c r="V86" s="5">
        <f t="shared" ref="V86:V92" si="61">IF(T$12=0,0,T86/T$12)</f>
        <v>0</v>
      </c>
      <c r="W86" s="1"/>
      <c r="X86" s="1">
        <f t="shared" ref="X86:X92" si="62">+P86-T86</f>
        <v>132.94000000000005</v>
      </c>
      <c r="Y86" s="1"/>
      <c r="Z86" s="5">
        <f t="shared" ref="Z86:Z92" si="63">IF(T86=0,0,X86/T86)</f>
        <v>3.6927777777777795E-2</v>
      </c>
    </row>
    <row r="87" spans="1:26" s="24" customFormat="1" hidden="1" outlineLevel="2" x14ac:dyDescent="0.25">
      <c r="A87" s="29"/>
      <c r="B87" s="11" t="str">
        <f>CONCATENATE("          ", "6309", " - ", "TELEPHONE")</f>
        <v xml:space="preserve">          6309 - TELEPHONE</v>
      </c>
      <c r="C87" s="11"/>
      <c r="D87" s="7">
        <v>579.66</v>
      </c>
      <c r="E87" s="2"/>
      <c r="F87" s="6">
        <f t="shared" si="56"/>
        <v>0</v>
      </c>
      <c r="G87" s="2"/>
      <c r="H87" s="7">
        <v>600</v>
      </c>
      <c r="I87" s="2"/>
      <c r="J87" s="6">
        <f t="shared" si="57"/>
        <v>0</v>
      </c>
      <c r="K87" s="2"/>
      <c r="L87" s="7">
        <f t="shared" si="58"/>
        <v>-20.340000000000032</v>
      </c>
      <c r="M87" s="2"/>
      <c r="N87" s="6">
        <f t="shared" si="59"/>
        <v>-3.3900000000000055E-2</v>
      </c>
      <c r="O87" s="11"/>
      <c r="P87" s="7">
        <v>3732.94</v>
      </c>
      <c r="Q87" s="2"/>
      <c r="R87" s="6">
        <f t="shared" si="60"/>
        <v>0</v>
      </c>
      <c r="S87" s="2"/>
      <c r="T87" s="7">
        <v>3600</v>
      </c>
      <c r="U87" s="2"/>
      <c r="V87" s="6">
        <f t="shared" si="61"/>
        <v>0</v>
      </c>
      <c r="W87" s="2"/>
      <c r="X87" s="7">
        <f t="shared" si="62"/>
        <v>132.94000000000005</v>
      </c>
      <c r="Y87" s="2"/>
      <c r="Z87" s="6">
        <f t="shared" si="63"/>
        <v>3.6927777777777795E-2</v>
      </c>
    </row>
    <row r="88" spans="1:26" s="28" customFormat="1" outlineLevel="1" collapsed="1" x14ac:dyDescent="0.25">
      <c r="A88" s="27"/>
      <c r="B88" s="14" t="str">
        <f>CONCATENATE("     ","Training                                          ")</f>
        <v xml:space="preserve">     Training                                          </v>
      </c>
      <c r="C88" s="14"/>
      <c r="D88" s="1">
        <f>SUM(OSRRefD22_19x_0)</f>
        <v>0</v>
      </c>
      <c r="E88" s="1"/>
      <c r="F88" s="5">
        <f t="shared" si="56"/>
        <v>0</v>
      </c>
      <c r="G88" s="1"/>
      <c r="H88" s="1">
        <f>SUM(OSRRefH22_19x_0)</f>
        <v>0</v>
      </c>
      <c r="I88" s="1"/>
      <c r="J88" s="5">
        <f t="shared" si="57"/>
        <v>0</v>
      </c>
      <c r="K88" s="1"/>
      <c r="L88" s="1">
        <f t="shared" si="58"/>
        <v>0</v>
      </c>
      <c r="M88" s="1"/>
      <c r="N88" s="5">
        <f t="shared" si="59"/>
        <v>0</v>
      </c>
      <c r="O88" s="14"/>
      <c r="P88" s="1">
        <f>SUM(OSRRefP22_19x_0)</f>
        <v>131.63</v>
      </c>
      <c r="Q88" s="1"/>
      <c r="R88" s="5">
        <f t="shared" si="60"/>
        <v>0</v>
      </c>
      <c r="S88" s="1"/>
      <c r="T88" s="1">
        <f>SUM(OSRRefT22_19x_0)</f>
        <v>3250</v>
      </c>
      <c r="U88" s="1"/>
      <c r="V88" s="5">
        <f t="shared" si="61"/>
        <v>0</v>
      </c>
      <c r="W88" s="1"/>
      <c r="X88" s="1">
        <f t="shared" si="62"/>
        <v>-3118.37</v>
      </c>
      <c r="Y88" s="1"/>
      <c r="Z88" s="5">
        <f t="shared" si="63"/>
        <v>-0.95949846153846152</v>
      </c>
    </row>
    <row r="89" spans="1:26" s="24" customFormat="1" hidden="1" outlineLevel="2" x14ac:dyDescent="0.25">
      <c r="A89" s="29"/>
      <c r="B89" s="11" t="str">
        <f>CONCATENATE("          ", "6376", " - ", "TRAINING")</f>
        <v xml:space="preserve">          6376 - TRAINING</v>
      </c>
      <c r="C89" s="11"/>
      <c r="D89" s="7"/>
      <c r="E89" s="2"/>
      <c r="F89" s="6">
        <f t="shared" si="56"/>
        <v>0</v>
      </c>
      <c r="G89" s="2"/>
      <c r="H89" s="7"/>
      <c r="I89" s="2"/>
      <c r="J89" s="6">
        <f t="shared" si="57"/>
        <v>0</v>
      </c>
      <c r="K89" s="2"/>
      <c r="L89" s="7">
        <f t="shared" si="58"/>
        <v>0</v>
      </c>
      <c r="M89" s="2"/>
      <c r="N89" s="6">
        <f t="shared" si="59"/>
        <v>0</v>
      </c>
      <c r="O89" s="11"/>
      <c r="P89" s="7">
        <v>131.63</v>
      </c>
      <c r="Q89" s="2"/>
      <c r="R89" s="6">
        <f t="shared" si="60"/>
        <v>0</v>
      </c>
      <c r="S89" s="2"/>
      <c r="T89" s="7">
        <v>3250</v>
      </c>
      <c r="U89" s="2"/>
      <c r="V89" s="6">
        <f t="shared" si="61"/>
        <v>0</v>
      </c>
      <c r="W89" s="2"/>
      <c r="X89" s="7">
        <f t="shared" si="62"/>
        <v>-3118.37</v>
      </c>
      <c r="Y89" s="2"/>
      <c r="Z89" s="6">
        <f t="shared" si="63"/>
        <v>-0.95949846153846152</v>
      </c>
    </row>
    <row r="90" spans="1:26" s="28" customFormat="1" outlineLevel="1" collapsed="1" x14ac:dyDescent="0.25">
      <c r="A90" s="27"/>
      <c r="B90" s="14" t="str">
        <f>CONCATENATE("     ","Travel                                            ")</f>
        <v xml:space="preserve">     Travel                                            </v>
      </c>
      <c r="C90" s="14"/>
      <c r="D90" s="1">
        <f>SUM(OSRRefD22_20x_0)</f>
        <v>0</v>
      </c>
      <c r="E90" s="1"/>
      <c r="F90" s="5">
        <f t="shared" si="56"/>
        <v>0</v>
      </c>
      <c r="G90" s="1"/>
      <c r="H90" s="1">
        <f>SUM(OSRRefH22_20x_0)</f>
        <v>0</v>
      </c>
      <c r="I90" s="1"/>
      <c r="J90" s="5">
        <f t="shared" si="57"/>
        <v>0</v>
      </c>
      <c r="K90" s="1"/>
      <c r="L90" s="1">
        <f t="shared" si="58"/>
        <v>0</v>
      </c>
      <c r="M90" s="1"/>
      <c r="N90" s="5">
        <f t="shared" si="59"/>
        <v>0</v>
      </c>
      <c r="O90" s="14"/>
      <c r="P90" s="1">
        <f>SUM(OSRRefP22_20x_0)</f>
        <v>358.89</v>
      </c>
      <c r="Q90" s="1"/>
      <c r="R90" s="5">
        <f t="shared" si="60"/>
        <v>0</v>
      </c>
      <c r="S90" s="1"/>
      <c r="T90" s="1">
        <f>SUM(OSRRefT22_20x_0)</f>
        <v>0</v>
      </c>
      <c r="U90" s="1"/>
      <c r="V90" s="5">
        <f t="shared" si="61"/>
        <v>0</v>
      </c>
      <c r="W90" s="1"/>
      <c r="X90" s="1">
        <f t="shared" si="62"/>
        <v>358.89</v>
      </c>
      <c r="Y90" s="1"/>
      <c r="Z90" s="5">
        <f t="shared" si="63"/>
        <v>0</v>
      </c>
    </row>
    <row r="91" spans="1:26" s="24" customFormat="1" hidden="1" outlineLevel="2" x14ac:dyDescent="0.25">
      <c r="A91" s="29"/>
      <c r="B91" s="11" t="str">
        <f>CONCATENATE("          ", "6292", " - ", "TRAVEL/CONFERENCE")</f>
        <v xml:space="preserve">          6292 - TRAVEL/CONFERENCE</v>
      </c>
      <c r="C91" s="11"/>
      <c r="D91" s="7"/>
      <c r="E91" s="2"/>
      <c r="F91" s="6">
        <f t="shared" si="56"/>
        <v>0</v>
      </c>
      <c r="G91" s="2"/>
      <c r="H91" s="7"/>
      <c r="I91" s="2"/>
      <c r="J91" s="6">
        <f t="shared" si="57"/>
        <v>0</v>
      </c>
      <c r="K91" s="2"/>
      <c r="L91" s="7">
        <f t="shared" si="58"/>
        <v>0</v>
      </c>
      <c r="M91" s="2"/>
      <c r="N91" s="6">
        <f t="shared" si="59"/>
        <v>0</v>
      </c>
      <c r="O91" s="11"/>
      <c r="P91" s="7">
        <v>299</v>
      </c>
      <c r="Q91" s="2"/>
      <c r="R91" s="6">
        <f t="shared" si="60"/>
        <v>0</v>
      </c>
      <c r="S91" s="2"/>
      <c r="T91" s="7"/>
      <c r="U91" s="2"/>
      <c r="V91" s="6">
        <f t="shared" si="61"/>
        <v>0</v>
      </c>
      <c r="W91" s="2"/>
      <c r="X91" s="7">
        <f t="shared" si="62"/>
        <v>299</v>
      </c>
      <c r="Y91" s="2"/>
      <c r="Z91" s="6">
        <f t="shared" si="63"/>
        <v>0</v>
      </c>
    </row>
    <row r="92" spans="1:26" s="24" customFormat="1" hidden="1" outlineLevel="2" x14ac:dyDescent="0.25">
      <c r="A92" s="29"/>
      <c r="B92" s="11" t="str">
        <f>CONCATENATE("          ", "6298", " - ", "VEHICLE MILEAGE")</f>
        <v xml:space="preserve">          6298 - VEHICLE MILEAGE</v>
      </c>
      <c r="C92" s="11"/>
      <c r="D92" s="7"/>
      <c r="E92" s="2"/>
      <c r="F92" s="6">
        <f t="shared" si="56"/>
        <v>0</v>
      </c>
      <c r="G92" s="2"/>
      <c r="H92" s="7"/>
      <c r="I92" s="2"/>
      <c r="J92" s="6">
        <f t="shared" si="57"/>
        <v>0</v>
      </c>
      <c r="K92" s="2"/>
      <c r="L92" s="7">
        <f t="shared" si="58"/>
        <v>0</v>
      </c>
      <c r="M92" s="2"/>
      <c r="N92" s="6">
        <f t="shared" si="59"/>
        <v>0</v>
      </c>
      <c r="O92" s="11"/>
      <c r="P92" s="7">
        <v>59.89</v>
      </c>
      <c r="Q92" s="2"/>
      <c r="R92" s="6">
        <f t="shared" si="60"/>
        <v>0</v>
      </c>
      <c r="S92" s="2"/>
      <c r="T92" s="7"/>
      <c r="U92" s="2"/>
      <c r="V92" s="6">
        <f t="shared" si="61"/>
        <v>0</v>
      </c>
      <c r="W92" s="2"/>
      <c r="X92" s="7">
        <f t="shared" si="62"/>
        <v>59.89</v>
      </c>
      <c r="Y92" s="2"/>
      <c r="Z92" s="6">
        <f t="shared" si="63"/>
        <v>0</v>
      </c>
    </row>
    <row r="93" spans="1:26" s="28" customFormat="1" outlineLevel="1" collapsed="1" x14ac:dyDescent="0.25">
      <c r="A93" s="27"/>
      <c r="B93" s="14" t="str">
        <f>CONCATENATE("     ","Utilities                                         ")</f>
        <v xml:space="preserve">     Utilities                                         </v>
      </c>
      <c r="C93" s="14"/>
      <c r="D93" s="1">
        <f>SUM(OSRRefD22_21x_0)</f>
        <v>6133</v>
      </c>
      <c r="E93" s="1"/>
      <c r="F93" s="5">
        <f t="shared" ref="F93:F94" si="64">IF(D$12=0,0,D93/D$12)</f>
        <v>0</v>
      </c>
      <c r="G93" s="1"/>
      <c r="H93" s="1">
        <f>SUM(OSRRefH22_21x_0)</f>
        <v>6000</v>
      </c>
      <c r="I93" s="1"/>
      <c r="J93" s="5">
        <f t="shared" ref="J93:J94" si="65">IF(H$12=0,0,H93/H$12)</f>
        <v>0</v>
      </c>
      <c r="K93" s="1"/>
      <c r="L93" s="1">
        <f t="shared" ref="L93:L94" si="66">+D93-H93</f>
        <v>133</v>
      </c>
      <c r="M93" s="1"/>
      <c r="N93" s="5">
        <f t="shared" ref="N93:N94" si="67">IF(H93=0,0,L93/H93)</f>
        <v>2.2166666666666668E-2</v>
      </c>
      <c r="O93" s="14"/>
      <c r="P93" s="1">
        <f>SUM(OSRRefP22_21x_0)</f>
        <v>36602</v>
      </c>
      <c r="Q93" s="1"/>
      <c r="R93" s="5">
        <f t="shared" ref="R93:R94" si="68">IF(P$12=0,0,P93/P$12)</f>
        <v>0</v>
      </c>
      <c r="S93" s="1"/>
      <c r="T93" s="1">
        <f>SUM(OSRRefT22_21x_0)</f>
        <v>36000</v>
      </c>
      <c r="U93" s="1"/>
      <c r="V93" s="5">
        <f t="shared" ref="V93:V94" si="69">IF(T$12=0,0,T93/T$12)</f>
        <v>0</v>
      </c>
      <c r="W93" s="1"/>
      <c r="X93" s="1">
        <f t="shared" ref="X93:X94" si="70">+P93-T93</f>
        <v>602</v>
      </c>
      <c r="Y93" s="1"/>
      <c r="Z93" s="5">
        <f t="shared" ref="Z93:Z94" si="71">IF(T93=0,0,X93/T93)</f>
        <v>1.6722222222222222E-2</v>
      </c>
    </row>
    <row r="94" spans="1:26" s="24" customFormat="1" hidden="1" outlineLevel="2" x14ac:dyDescent="0.25">
      <c r="A94" s="29"/>
      <c r="B94" s="11" t="str">
        <f>CONCATENATE("          ", "6274", " - ", "UTILITIES")</f>
        <v xml:space="preserve">          6274 - UTILITIES</v>
      </c>
      <c r="C94" s="11"/>
      <c r="D94" s="7">
        <v>6133</v>
      </c>
      <c r="E94" s="2"/>
      <c r="F94" s="6">
        <f t="shared" si="64"/>
        <v>0</v>
      </c>
      <c r="G94" s="2"/>
      <c r="H94" s="7">
        <v>6000</v>
      </c>
      <c r="I94" s="2"/>
      <c r="J94" s="6">
        <f t="shared" si="65"/>
        <v>0</v>
      </c>
      <c r="K94" s="2"/>
      <c r="L94" s="7">
        <f t="shared" si="66"/>
        <v>133</v>
      </c>
      <c r="M94" s="2"/>
      <c r="N94" s="6">
        <f t="shared" si="67"/>
        <v>2.2166666666666668E-2</v>
      </c>
      <c r="O94" s="11"/>
      <c r="P94" s="7">
        <v>36602</v>
      </c>
      <c r="Q94" s="2"/>
      <c r="R94" s="6">
        <f t="shared" si="68"/>
        <v>0</v>
      </c>
      <c r="S94" s="2"/>
      <c r="T94" s="7">
        <v>36000</v>
      </c>
      <c r="U94" s="2"/>
      <c r="V94" s="6">
        <f t="shared" si="69"/>
        <v>0</v>
      </c>
      <c r="W94" s="2"/>
      <c r="X94" s="7">
        <f t="shared" si="70"/>
        <v>602</v>
      </c>
      <c r="Y94" s="2"/>
      <c r="Z94" s="6">
        <f t="shared" si="71"/>
        <v>1.6722222222222222E-2</v>
      </c>
    </row>
    <row r="95" spans="1:26" s="53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collapsed="1" x14ac:dyDescent="0.25">
      <c r="A96" s="10"/>
      <c r="B96" s="26" t="s">
        <v>0</v>
      </c>
      <c r="C96" s="10"/>
      <c r="D96" s="4">
        <f>SUM(OSRRefD25x_0)</f>
        <v>3213.65</v>
      </c>
      <c r="E96" s="4"/>
      <c r="F96" s="12">
        <f t="shared" ref="F96:F98" si="72">IF(D$12=0,0,D96/D$12)</f>
        <v>0</v>
      </c>
      <c r="G96" s="4"/>
      <c r="H96" s="4">
        <f>SUM(OSRRefH25x_0)</f>
        <v>17275</v>
      </c>
      <c r="I96" s="4"/>
      <c r="J96" s="12">
        <f t="shared" ref="J96:J98" si="73">IF(H$12=0,0,H96/H$12)</f>
        <v>0</v>
      </c>
      <c r="K96" s="4"/>
      <c r="L96" s="4">
        <f t="shared" ref="L96:L98" si="74">+D96-H96</f>
        <v>-14061.35</v>
      </c>
      <c r="M96" s="4"/>
      <c r="N96" s="12">
        <f t="shared" ref="N96:N98" si="75">IF(H96=0,0,L96/H96)</f>
        <v>-0.81397105643994216</v>
      </c>
      <c r="O96" s="10"/>
      <c r="P96" s="4">
        <f>SUM(OSRRefP25x_0)</f>
        <v>123723.88</v>
      </c>
      <c r="Q96" s="4"/>
      <c r="R96" s="12">
        <f t="shared" ref="R96:R98" si="76">IF(P$12=0,0,P96/P$12)</f>
        <v>0</v>
      </c>
      <c r="S96" s="4"/>
      <c r="T96" s="4">
        <f>SUM(OSRRefT25x_0)</f>
        <v>103650</v>
      </c>
      <c r="U96" s="4"/>
      <c r="V96" s="12">
        <f t="shared" ref="V96:V98" si="77">IF(T$12=0,0,T96/T$12)</f>
        <v>0</v>
      </c>
      <c r="W96" s="4"/>
      <c r="X96" s="4">
        <f t="shared" ref="X96:X98" si="78">+P96-T96</f>
        <v>20073.880000000005</v>
      </c>
      <c r="Y96" s="4"/>
      <c r="Z96" s="12">
        <f t="shared" ref="Z96:Z98" si="79">IF(T96=0,0,X96/T96)</f>
        <v>0.19366985045827309</v>
      </c>
    </row>
    <row r="97" spans="1:26" s="24" customFormat="1" hidden="1" outlineLevel="1" x14ac:dyDescent="0.25">
      <c r="A97" s="51"/>
      <c r="B97" s="11" t="str">
        <f>CONCATENATE("          ", "9150", " - ", "MISC. INCOME")</f>
        <v xml:space="preserve">          9150 - MISC. INCOME</v>
      </c>
      <c r="C97" s="11"/>
      <c r="D97" s="2">
        <f>--3213.65</f>
        <v>3213.65</v>
      </c>
      <c r="E97" s="2"/>
      <c r="F97" s="22">
        <f t="shared" si="72"/>
        <v>0</v>
      </c>
      <c r="G97" s="2"/>
      <c r="H97" s="2">
        <v>2100</v>
      </c>
      <c r="I97" s="2"/>
      <c r="J97" s="22">
        <f t="shared" si="73"/>
        <v>0</v>
      </c>
      <c r="K97" s="2"/>
      <c r="L97" s="2">
        <f t="shared" si="74"/>
        <v>1113.6500000000001</v>
      </c>
      <c r="M97" s="2"/>
      <c r="N97" s="22">
        <f t="shared" si="75"/>
        <v>0.5303095238095239</v>
      </c>
      <c r="O97" s="11"/>
      <c r="P97" s="2">
        <f>--123723.88</f>
        <v>123723.88</v>
      </c>
      <c r="Q97" s="2"/>
      <c r="R97" s="22">
        <f t="shared" si="76"/>
        <v>0</v>
      </c>
      <c r="S97" s="2"/>
      <c r="T97" s="2">
        <v>12600</v>
      </c>
      <c r="U97" s="2"/>
      <c r="V97" s="22">
        <f t="shared" si="77"/>
        <v>0</v>
      </c>
      <c r="W97" s="2"/>
      <c r="X97" s="2">
        <f t="shared" si="78"/>
        <v>111123.88</v>
      </c>
      <c r="Y97" s="2"/>
      <c r="Z97" s="22">
        <f t="shared" si="79"/>
        <v>8.8193555555555552</v>
      </c>
    </row>
    <row r="98" spans="1:26" s="24" customFormat="1" hidden="1" outlineLevel="1" x14ac:dyDescent="0.25">
      <c r="A98" s="51"/>
      <c r="B98" s="11" t="str">
        <f>CONCATENATE("          ", "9151", " - ", "MISC. INCOME")</f>
        <v xml:space="preserve">          9151 - MISC. INCOME</v>
      </c>
      <c r="C98" s="11"/>
      <c r="D98" s="2">
        <f>0</f>
        <v>0</v>
      </c>
      <c r="E98" s="2"/>
      <c r="F98" s="22">
        <f t="shared" si="72"/>
        <v>0</v>
      </c>
      <c r="G98" s="2"/>
      <c r="H98" s="2">
        <v>15175</v>
      </c>
      <c r="I98" s="2"/>
      <c r="J98" s="22">
        <f t="shared" si="73"/>
        <v>0</v>
      </c>
      <c r="K98" s="2"/>
      <c r="L98" s="2">
        <f t="shared" si="74"/>
        <v>-15175</v>
      </c>
      <c r="M98" s="2"/>
      <c r="N98" s="22">
        <f t="shared" si="75"/>
        <v>-1</v>
      </c>
      <c r="O98" s="11"/>
      <c r="P98" s="2">
        <f>0</f>
        <v>0</v>
      </c>
      <c r="Q98" s="2"/>
      <c r="R98" s="22">
        <f t="shared" si="76"/>
        <v>0</v>
      </c>
      <c r="S98" s="2"/>
      <c r="T98" s="2">
        <v>91050</v>
      </c>
      <c r="U98" s="2"/>
      <c r="V98" s="22">
        <f t="shared" si="77"/>
        <v>0</v>
      </c>
      <c r="W98" s="2"/>
      <c r="X98" s="2">
        <f t="shared" si="78"/>
        <v>-91050</v>
      </c>
      <c r="Y98" s="2"/>
      <c r="Z98" s="22">
        <f t="shared" si="79"/>
        <v>-1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10"/>
      <c r="B100" s="25" t="s">
        <v>3</v>
      </c>
      <c r="C100" s="25"/>
      <c r="D100" s="21">
        <f>+D16-D18+D96</f>
        <v>-98482.379999999976</v>
      </c>
      <c r="E100" s="13"/>
      <c r="F100" s="19">
        <f>IF(D$12=0,0,D100/D$12)</f>
        <v>0</v>
      </c>
      <c r="G100" s="13"/>
      <c r="H100" s="21">
        <f>+H16-H18+H96</f>
        <v>-122410.12364033848</v>
      </c>
      <c r="I100" s="13"/>
      <c r="J100" s="19">
        <f>IF(H$12=0,0,H100/H$12)</f>
        <v>0</v>
      </c>
      <c r="K100" s="16"/>
      <c r="L100" s="21">
        <f>+D100-H100</f>
        <v>23927.743640338507</v>
      </c>
      <c r="M100" s="16"/>
      <c r="N100" s="19">
        <f>IF(H100=0,0,L100/H100)</f>
        <v>-0.1954719342547373</v>
      </c>
      <c r="O100" s="26"/>
      <c r="P100" s="21">
        <f>+P16-P18+P96</f>
        <v>-609364.26000000013</v>
      </c>
      <c r="Q100" s="13"/>
      <c r="R100" s="19">
        <f>IF(P$12=0,0,P100/P$12)</f>
        <v>0</v>
      </c>
      <c r="S100" s="13"/>
      <c r="T100" s="21">
        <f>+T16-T18+T96</f>
        <v>-815064.98301720002</v>
      </c>
      <c r="U100" s="13"/>
      <c r="V100" s="19">
        <f>IF(T$12=0,0,T100/T$12)</f>
        <v>0</v>
      </c>
      <c r="W100" s="16"/>
      <c r="X100" s="21">
        <f>+P100-T100</f>
        <v>205700.7230171999</v>
      </c>
      <c r="Y100" s="16"/>
      <c r="Z100" s="19">
        <f>IF(T100=0,0,X100/T100)</f>
        <v>-0.25237340249330659</v>
      </c>
    </row>
    <row r="101" spans="1:26" x14ac:dyDescent="0.25">
      <c r="A101" s="9"/>
      <c r="B101" s="10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52"/>
      <c r="B102" s="10" t="s">
        <v>14</v>
      </c>
      <c r="C102" s="10"/>
      <c r="D102" s="4"/>
      <c r="E102" s="4"/>
      <c r="F102" s="12">
        <f>IF(D$12=0,0,D102/D$12)</f>
        <v>0</v>
      </c>
      <c r="G102" s="4"/>
      <c r="H102" s="4"/>
      <c r="I102" s="4"/>
      <c r="J102" s="12">
        <f>IF(H$12=0,0,H102/H$12)</f>
        <v>0</v>
      </c>
      <c r="K102" s="4"/>
      <c r="L102" s="4">
        <f>+D102-H102</f>
        <v>0</v>
      </c>
      <c r="M102" s="4"/>
      <c r="N102" s="12">
        <f>IF(H102=0,0,L102/H102)</f>
        <v>0</v>
      </c>
      <c r="O102" s="10"/>
      <c r="P102" s="4"/>
      <c r="Q102" s="4"/>
      <c r="R102" s="12">
        <f>IF(P$12=0,0,P102/P$12)</f>
        <v>0</v>
      </c>
      <c r="S102" s="4"/>
      <c r="T102" s="4"/>
      <c r="U102" s="4"/>
      <c r="V102" s="12">
        <f>IF(T$12=0,0,T102/T$12)</f>
        <v>0</v>
      </c>
      <c r="W102" s="4"/>
      <c r="X102" s="4">
        <f>+P102-T102</f>
        <v>0</v>
      </c>
      <c r="Y102" s="4"/>
      <c r="Z102" s="12">
        <f>IF(T102=0,0,X102/T102)</f>
        <v>0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5" t="s">
        <v>4</v>
      </c>
      <c r="C104" s="25"/>
      <c r="D104" s="34">
        <f>+D100-D102</f>
        <v>-98482.379999999976</v>
      </c>
      <c r="E104" s="13"/>
      <c r="F104" s="31">
        <f>IF(D$12=0,0,D104/D$12)</f>
        <v>0</v>
      </c>
      <c r="G104" s="13"/>
      <c r="H104" s="34">
        <f>+H100-H102</f>
        <v>-122410.12364033848</v>
      </c>
      <c r="I104" s="13"/>
      <c r="J104" s="31">
        <f>IF(H$12=0,0,H104/H$12)</f>
        <v>0</v>
      </c>
      <c r="K104" s="16"/>
      <c r="L104" s="34">
        <f>D104-H104</f>
        <v>23927.743640338507</v>
      </c>
      <c r="M104" s="16"/>
      <c r="N104" s="31">
        <f>IF(H104=0,0,L104/H104)</f>
        <v>-0.1954719342547373</v>
      </c>
      <c r="O104" s="26"/>
      <c r="P104" s="34">
        <f>+P100-P102</f>
        <v>-609364.26000000013</v>
      </c>
      <c r="Q104" s="13"/>
      <c r="R104" s="31">
        <f>IF(P$12=0,0,P104/P$12)</f>
        <v>0</v>
      </c>
      <c r="S104" s="13"/>
      <c r="T104" s="34">
        <f>+T100-T102</f>
        <v>-815064.98301720002</v>
      </c>
      <c r="U104" s="13"/>
      <c r="V104" s="31">
        <f>IF(T$12=0,0,T104/T$12)</f>
        <v>0</v>
      </c>
      <c r="W104" s="16"/>
      <c r="X104" s="34">
        <f>P104-T104</f>
        <v>205700.7230171999</v>
      </c>
      <c r="Y104" s="16"/>
      <c r="Z104" s="31">
        <f>IF(T104=0,0,X104/T104)</f>
        <v>-0.25237340249330659</v>
      </c>
    </row>
    <row r="105" spans="1:26" ht="15.75" thickTop="1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5" t="s">
        <v>5</v>
      </c>
      <c r="C107" s="25"/>
      <c r="D107" s="33">
        <f>SUM(D104:D106)</f>
        <v>-98482.379999999976</v>
      </c>
      <c r="E107" s="13"/>
      <c r="F107" s="32">
        <f>IF(D$12=0,0,D107/D$12)</f>
        <v>0</v>
      </c>
      <c r="G107" s="13"/>
      <c r="H107" s="33">
        <f>SUM(H104:H106)</f>
        <v>-122410.12364033848</v>
      </c>
      <c r="I107" s="13"/>
      <c r="J107" s="32">
        <f>IF(H$12=0,0,H107/H$12)</f>
        <v>0</v>
      </c>
      <c r="K107" s="16"/>
      <c r="L107" s="33">
        <f>+D107-H107</f>
        <v>23927.743640338507</v>
      </c>
      <c r="M107" s="16"/>
      <c r="N107" s="32">
        <f>IF(H107=0,0,L107/H107)</f>
        <v>-0.1954719342547373</v>
      </c>
      <c r="O107" s="26"/>
      <c r="P107" s="33">
        <f>SUM(P104:P106)</f>
        <v>-609364.26000000013</v>
      </c>
      <c r="Q107" s="13"/>
      <c r="R107" s="32">
        <f>IF(P$12=0,0,P107/P$12)</f>
        <v>0</v>
      </c>
      <c r="S107" s="13"/>
      <c r="T107" s="33">
        <f>SUM(T104:T106)</f>
        <v>-815064.98301720002</v>
      </c>
      <c r="U107" s="13"/>
      <c r="V107" s="32">
        <f>IF(T$12=0,0,T107/T$12)</f>
        <v>0</v>
      </c>
      <c r="W107" s="16"/>
      <c r="X107" s="33">
        <f>+P107-T107</f>
        <v>205700.7230171999</v>
      </c>
      <c r="Y107" s="16"/>
      <c r="Z107" s="32">
        <f>IF(T107=0,0,X107/T107)</f>
        <v>-0.25237340249330659</v>
      </c>
    </row>
    <row r="108" spans="1:26" ht="15.75" thickTop="1" x14ac:dyDescent="0.25">
      <c r="A108" s="9"/>
      <c r="C108" s="9"/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A109" s="9"/>
      <c r="B109" s="63">
        <v>44209.518376770837</v>
      </c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60" t="s">
        <v>314</v>
      </c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58"/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306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4345</v>
      </c>
      <c r="I12" s="4"/>
      <c r="J12" s="12"/>
      <c r="K12" s="4"/>
      <c r="L12" s="4">
        <f t="shared" ref="L12:L23" si="0">+D12-H12</f>
        <v>-4345</v>
      </c>
      <c r="M12" s="4"/>
      <c r="N12" s="12">
        <f t="shared" ref="N12:N23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47959</v>
      </c>
      <c r="U12" s="4"/>
      <c r="V12" s="12"/>
      <c r="W12" s="4"/>
      <c r="X12" s="4">
        <f t="shared" ref="X12:X23" si="2">+P12-T12</f>
        <v>-26647.08</v>
      </c>
      <c r="Y12" s="4"/>
      <c r="Z12" s="12">
        <f t="shared" ref="Z12:Z23" si="3">IF(T12=0,0,X12/T12)</f>
        <v>-0.55562209387184891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23" si="4"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-1096.44</f>
        <v>-1096.44</v>
      </c>
      <c r="Q13" s="2"/>
      <c r="R13" s="22"/>
      <c r="S13" s="2"/>
      <c r="T13" s="2"/>
      <c r="U13" s="2"/>
      <c r="V13" s="22"/>
      <c r="W13" s="2"/>
      <c r="X13" s="2">
        <f t="shared" si="2"/>
        <v>-1096.44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--17.51</f>
        <v>17.510000000000002</v>
      </c>
      <c r="Q14" s="2"/>
      <c r="R14" s="22"/>
      <c r="S14" s="2"/>
      <c r="T14" s="2"/>
      <c r="U14" s="2"/>
      <c r="V14" s="22"/>
      <c r="W14" s="2"/>
      <c r="X14" s="2">
        <f t="shared" si="2"/>
        <v>17.510000000000002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22"/>
      <c r="G15" s="2"/>
      <c r="H15" s="2"/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--7990.32</f>
        <v>7990.32</v>
      </c>
      <c r="Q15" s="2"/>
      <c r="R15" s="22"/>
      <c r="S15" s="2"/>
      <c r="T15" s="2"/>
      <c r="U15" s="2"/>
      <c r="V15" s="22"/>
      <c r="W15" s="2"/>
      <c r="X15" s="2">
        <f t="shared" si="2"/>
        <v>7990.32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--12479.05</f>
        <v>12479.05</v>
      </c>
      <c r="Q16" s="2"/>
      <c r="R16" s="22"/>
      <c r="S16" s="2"/>
      <c r="T16" s="2"/>
      <c r="U16" s="2"/>
      <c r="V16" s="22"/>
      <c r="W16" s="2"/>
      <c r="X16" s="2">
        <f t="shared" si="2"/>
        <v>12479.05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--374.55</f>
        <v>374.55</v>
      </c>
      <c r="Q17" s="2"/>
      <c r="R17" s="22"/>
      <c r="S17" s="2"/>
      <c r="T17" s="2"/>
      <c r="U17" s="2"/>
      <c r="V17" s="22"/>
      <c r="W17" s="2"/>
      <c r="X17" s="2">
        <f t="shared" si="2"/>
        <v>374.55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4"/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--71.95</f>
        <v>71.95</v>
      </c>
      <c r="Q18" s="2"/>
      <c r="R18" s="22"/>
      <c r="S18" s="2"/>
      <c r="T18" s="2"/>
      <c r="U18" s="2"/>
      <c r="V18" s="22"/>
      <c r="W18" s="2"/>
      <c r="X18" s="2">
        <f t="shared" si="2"/>
        <v>71.95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4"/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--9.99</f>
        <v>9.99</v>
      </c>
      <c r="Q19" s="2"/>
      <c r="R19" s="22"/>
      <c r="S19" s="2"/>
      <c r="T19" s="2"/>
      <c r="U19" s="2"/>
      <c r="V19" s="22"/>
      <c r="W19" s="2"/>
      <c r="X19" s="2">
        <f t="shared" si="2"/>
        <v>9.99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"4100", " - ", "NON-TAXABLE SALES")</f>
        <v xml:space="preserve">          4100 - NON-TAXABLE SALES</v>
      </c>
      <c r="C20" s="11"/>
      <c r="D20" s="2">
        <f t="shared" si="4"/>
        <v>0</v>
      </c>
      <c r="E20" s="2"/>
      <c r="F20" s="22"/>
      <c r="G20" s="2"/>
      <c r="H20" s="2">
        <v>4345</v>
      </c>
      <c r="I20" s="2"/>
      <c r="J20" s="22"/>
      <c r="K20" s="2"/>
      <c r="L20" s="2">
        <f t="shared" si="0"/>
        <v>-4345</v>
      </c>
      <c r="M20" s="2"/>
      <c r="N20" s="22">
        <f t="shared" si="1"/>
        <v>-1</v>
      </c>
      <c r="O20" s="11"/>
      <c r="P20" s="2">
        <f>0</f>
        <v>0</v>
      </c>
      <c r="Q20" s="2"/>
      <c r="R20" s="22"/>
      <c r="S20" s="2"/>
      <c r="T20" s="2">
        <v>47959</v>
      </c>
      <c r="U20" s="2"/>
      <c r="V20" s="22"/>
      <c r="W20" s="2"/>
      <c r="X20" s="2">
        <f t="shared" si="2"/>
        <v>-47959</v>
      </c>
      <c r="Y20" s="2"/>
      <c r="Z20" s="22">
        <f t="shared" si="3"/>
        <v>-1</v>
      </c>
    </row>
    <row r="21" spans="1:26" s="24" customFormat="1" hidden="1" outlineLevel="1" x14ac:dyDescent="0.25">
      <c r="A21" s="51"/>
      <c r="B21" s="11" t="str">
        <f>CONCATENATE("          ", "4131", " - ", "NON-TAXABLE SALES-FOOD")</f>
        <v xml:space="preserve">          4131 - NON-TAXABLE SALES-FOOD</v>
      </c>
      <c r="C21" s="11"/>
      <c r="D21" s="2">
        <f t="shared" si="4"/>
        <v>0</v>
      </c>
      <c r="E21" s="2"/>
      <c r="F21" s="22"/>
      <c r="G21" s="2"/>
      <c r="H21" s="2"/>
      <c r="I21" s="2"/>
      <c r="J21" s="22"/>
      <c r="K21" s="2"/>
      <c r="L21" s="2">
        <f t="shared" si="0"/>
        <v>0</v>
      </c>
      <c r="M21" s="2"/>
      <c r="N21" s="22">
        <f t="shared" si="1"/>
        <v>0</v>
      </c>
      <c r="O21" s="11"/>
      <c r="P21" s="2">
        <f>--1847.16</f>
        <v>1847.16</v>
      </c>
      <c r="Q21" s="2"/>
      <c r="R21" s="22"/>
      <c r="S21" s="2"/>
      <c r="T21" s="2"/>
      <c r="U21" s="2"/>
      <c r="V21" s="22"/>
      <c r="W21" s="2"/>
      <c r="X21" s="2">
        <f t="shared" si="2"/>
        <v>1847.16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"4227", " - ", "SALES RETURN TAXABLE-SCHOOL SU")</f>
        <v xml:space="preserve">          4227 - SALES RETURN TAXABLE-SCHOOL SU</v>
      </c>
      <c r="C22" s="11"/>
      <c r="D22" s="2">
        <f t="shared" si="4"/>
        <v>0</v>
      </c>
      <c r="E22" s="2"/>
      <c r="F22" s="22"/>
      <c r="G22" s="2"/>
      <c r="H22" s="2"/>
      <c r="I22" s="2"/>
      <c r="J22" s="22"/>
      <c r="K22" s="2"/>
      <c r="L22" s="2">
        <f t="shared" si="0"/>
        <v>0</v>
      </c>
      <c r="M22" s="2"/>
      <c r="N22" s="22">
        <f t="shared" si="1"/>
        <v>0</v>
      </c>
      <c r="O22" s="11"/>
      <c r="P22" s="2">
        <f>-159.97</f>
        <v>-159.97</v>
      </c>
      <c r="Q22" s="2"/>
      <c r="R22" s="22"/>
      <c r="S22" s="2"/>
      <c r="T22" s="2"/>
      <c r="U22" s="2"/>
      <c r="V22" s="22"/>
      <c r="W22" s="2"/>
      <c r="X22" s="2">
        <f t="shared" si="2"/>
        <v>-159.97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"4228", " - ", "SALES RETURN TAXABLE-ART/TECH")</f>
        <v xml:space="preserve">          4228 - SALES RETURN TAXABLE-ART/TECH</v>
      </c>
      <c r="C23" s="11"/>
      <c r="D23" s="2">
        <f t="shared" si="4"/>
        <v>0</v>
      </c>
      <c r="E23" s="2"/>
      <c r="F23" s="22"/>
      <c r="G23" s="2"/>
      <c r="H23" s="2"/>
      <c r="I23" s="2"/>
      <c r="J23" s="22"/>
      <c r="K23" s="2"/>
      <c r="L23" s="2">
        <f t="shared" si="0"/>
        <v>0</v>
      </c>
      <c r="M23" s="2"/>
      <c r="N23" s="22">
        <f t="shared" si="1"/>
        <v>0</v>
      </c>
      <c r="O23" s="11"/>
      <c r="P23" s="2">
        <f>-222.2</f>
        <v>-222.2</v>
      </c>
      <c r="Q23" s="2"/>
      <c r="R23" s="22"/>
      <c r="S23" s="2"/>
      <c r="T23" s="2"/>
      <c r="U23" s="2"/>
      <c r="V23" s="22"/>
      <c r="W23" s="2"/>
      <c r="X23" s="2">
        <f t="shared" si="2"/>
        <v>-222.2</v>
      </c>
      <c r="Y23" s="2"/>
      <c r="Z23" s="22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6" t="s">
        <v>8</v>
      </c>
      <c r="C25" s="10"/>
      <c r="D25" s="4">
        <f>SUM(OSRRefD16x_0)</f>
        <v>-488.92</v>
      </c>
      <c r="E25" s="4"/>
      <c r="F25" s="12">
        <f t="shared" ref="F25:F33" si="5">IF(D$12=0,0,D25/D$12)</f>
        <v>0</v>
      </c>
      <c r="G25" s="4"/>
      <c r="H25" s="4">
        <f>SUM(OSRRefH16x_0)</f>
        <v>2387</v>
      </c>
      <c r="I25" s="4"/>
      <c r="J25" s="12">
        <f t="shared" ref="J25:J33" si="6">IF(H$12=0,0,H25/H$12)</f>
        <v>0.54936708860759498</v>
      </c>
      <c r="K25" s="4"/>
      <c r="L25" s="4">
        <f t="shared" ref="L25:L33" si="7">+D25-H25</f>
        <v>-2875.92</v>
      </c>
      <c r="M25" s="4"/>
      <c r="N25" s="12">
        <f t="shared" ref="N25:N33" si="8">IF(H25=0,0,L25/H25)</f>
        <v>-1.2048261416003352</v>
      </c>
      <c r="O25" s="10"/>
      <c r="P25" s="4">
        <f>SUM(OSRRefP16x_0)</f>
        <v>13711.739999999994</v>
      </c>
      <c r="Q25" s="4"/>
      <c r="R25" s="12">
        <f t="shared" ref="R25:R33" si="9">IF(P$12=0,0,P25/P$12)</f>
        <v>0.64338360879733014</v>
      </c>
      <c r="S25" s="4"/>
      <c r="T25" s="4">
        <f>SUM(OSRRefT16x_0)</f>
        <v>24645</v>
      </c>
      <c r="U25" s="4"/>
      <c r="V25" s="12">
        <f t="shared" ref="V25:V33" si="10">IF(T$12=0,0,T25/T$12)</f>
        <v>0.51387643612252132</v>
      </c>
      <c r="W25" s="4"/>
      <c r="X25" s="4">
        <f t="shared" ref="X25:X33" si="11">+P25-T25</f>
        <v>-10933.260000000006</v>
      </c>
      <c r="Y25" s="4"/>
      <c r="Z25" s="12">
        <f t="shared" ref="Z25:Z33" si="12">IF(T25=0,0,X25/T25)</f>
        <v>-0.44362994522215482</v>
      </c>
    </row>
    <row r="26" spans="1:26" s="24" customFormat="1" hidden="1" outlineLevel="1" x14ac:dyDescent="0.25">
      <c r="A26" s="51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22">
        <f t="shared" si="5"/>
        <v>0</v>
      </c>
      <c r="G26" s="2"/>
      <c r="H26" s="2">
        <v>2387</v>
      </c>
      <c r="I26" s="2"/>
      <c r="J26" s="22">
        <f t="shared" si="6"/>
        <v>0.54936708860759498</v>
      </c>
      <c r="K26" s="2"/>
      <c r="L26" s="2">
        <f t="shared" si="7"/>
        <v>-2387</v>
      </c>
      <c r="M26" s="2"/>
      <c r="N26" s="22">
        <f t="shared" si="8"/>
        <v>-1</v>
      </c>
      <c r="O26" s="11"/>
      <c r="P26" s="2"/>
      <c r="Q26" s="2"/>
      <c r="R26" s="22">
        <f t="shared" si="9"/>
        <v>0</v>
      </c>
      <c r="S26" s="2"/>
      <c r="T26" s="2">
        <v>24645</v>
      </c>
      <c r="U26" s="2"/>
      <c r="V26" s="22">
        <f t="shared" si="10"/>
        <v>0.51387643612252132</v>
      </c>
      <c r="W26" s="2"/>
      <c r="X26" s="2">
        <f t="shared" si="11"/>
        <v>-24645</v>
      </c>
      <c r="Y26" s="2"/>
      <c r="Z26" s="22">
        <f t="shared" si="12"/>
        <v>-1</v>
      </c>
    </row>
    <row r="27" spans="1:26" s="24" customFormat="1" hidden="1" outlineLevel="1" x14ac:dyDescent="0.25">
      <c r="A27" s="51"/>
      <c r="B27" s="11" t="str">
        <f>CONCATENATE("          ", "5026", " - ", "PURCHASES @ COST-WRITING INSTR")</f>
        <v xml:space="preserve">          5026 - PURCHASES @ COST-WRITING INSTR</v>
      </c>
      <c r="C27" s="11"/>
      <c r="D27" s="2">
        <v>-5.1100000000000003</v>
      </c>
      <c r="E27" s="2"/>
      <c r="F27" s="22">
        <f t="shared" si="5"/>
        <v>0</v>
      </c>
      <c r="G27" s="2"/>
      <c r="H27" s="2"/>
      <c r="I27" s="2"/>
      <c r="J27" s="22">
        <f t="shared" si="6"/>
        <v>0</v>
      </c>
      <c r="K27" s="2"/>
      <c r="L27" s="2">
        <f t="shared" si="7"/>
        <v>-5.1100000000000003</v>
      </c>
      <c r="M27" s="2"/>
      <c r="N27" s="22">
        <f t="shared" si="8"/>
        <v>0</v>
      </c>
      <c r="O27" s="11"/>
      <c r="P27" s="2">
        <v>364.91</v>
      </c>
      <c r="Q27" s="2"/>
      <c r="R27" s="22">
        <f t="shared" si="9"/>
        <v>1.7122342801587094E-2</v>
      </c>
      <c r="S27" s="2"/>
      <c r="T27" s="2"/>
      <c r="U27" s="2"/>
      <c r="V27" s="22">
        <f t="shared" si="10"/>
        <v>0</v>
      </c>
      <c r="W27" s="2"/>
      <c r="X27" s="2">
        <f t="shared" si="11"/>
        <v>364.91</v>
      </c>
      <c r="Y27" s="2"/>
      <c r="Z27" s="22">
        <f t="shared" si="12"/>
        <v>0</v>
      </c>
    </row>
    <row r="28" spans="1:26" s="24" customFormat="1" hidden="1" outlineLevel="1" x14ac:dyDescent="0.25">
      <c r="A28" s="51"/>
      <c r="B28" s="11" t="str">
        <f>CONCATENATE("          ", "5027", " - ", "PURCHASES @ COST-SCHOOL SUPPLI")</f>
        <v xml:space="preserve">          5027 - PURCHASES @ COST-SCHOOL SUPPLI</v>
      </c>
      <c r="C28" s="11"/>
      <c r="D28" s="2"/>
      <c r="E28" s="2"/>
      <c r="F28" s="22">
        <f t="shared" si="5"/>
        <v>0</v>
      </c>
      <c r="G28" s="2"/>
      <c r="H28" s="2"/>
      <c r="I28" s="2"/>
      <c r="J28" s="22">
        <f t="shared" si="6"/>
        <v>0</v>
      </c>
      <c r="K28" s="2"/>
      <c r="L28" s="2">
        <f t="shared" si="7"/>
        <v>0</v>
      </c>
      <c r="M28" s="2"/>
      <c r="N28" s="22">
        <f t="shared" si="8"/>
        <v>0</v>
      </c>
      <c r="O28" s="11"/>
      <c r="P28" s="2">
        <v>895.47</v>
      </c>
      <c r="Q28" s="2"/>
      <c r="R28" s="22">
        <f t="shared" si="9"/>
        <v>4.201733114613794E-2</v>
      </c>
      <c r="S28" s="2"/>
      <c r="T28" s="2"/>
      <c r="U28" s="2"/>
      <c r="V28" s="22">
        <f t="shared" si="10"/>
        <v>0</v>
      </c>
      <c r="W28" s="2"/>
      <c r="X28" s="2">
        <f t="shared" si="11"/>
        <v>895.47</v>
      </c>
      <c r="Y28" s="2"/>
      <c r="Z28" s="22">
        <f t="shared" si="12"/>
        <v>0</v>
      </c>
    </row>
    <row r="29" spans="1:26" s="24" customFormat="1" hidden="1" outlineLevel="1" x14ac:dyDescent="0.25">
      <c r="A29" s="51"/>
      <c r="B29" s="11" t="str">
        <f>CONCATENATE("          ", "5028", " - ", "PURCHASES @ COST-ART/TECH")</f>
        <v xml:space="preserve">          5028 - PURCHASES @ COST-ART/TECH</v>
      </c>
      <c r="C29" s="11"/>
      <c r="D29" s="2"/>
      <c r="E29" s="2"/>
      <c r="F29" s="22">
        <f t="shared" si="5"/>
        <v>0</v>
      </c>
      <c r="G29" s="2"/>
      <c r="H29" s="2"/>
      <c r="I29" s="2"/>
      <c r="J29" s="22">
        <f t="shared" si="6"/>
        <v>0</v>
      </c>
      <c r="K29" s="2"/>
      <c r="L29" s="2">
        <f t="shared" si="7"/>
        <v>0</v>
      </c>
      <c r="M29" s="2"/>
      <c r="N29" s="22">
        <f t="shared" si="8"/>
        <v>0</v>
      </c>
      <c r="O29" s="11"/>
      <c r="P29" s="2">
        <v>41441.85</v>
      </c>
      <c r="Q29" s="2"/>
      <c r="R29" s="22">
        <f t="shared" si="9"/>
        <v>1.9445385493188789</v>
      </c>
      <c r="S29" s="2"/>
      <c r="T29" s="2"/>
      <c r="U29" s="2"/>
      <c r="V29" s="22">
        <f t="shared" si="10"/>
        <v>0</v>
      </c>
      <c r="W29" s="2"/>
      <c r="X29" s="2">
        <f t="shared" si="11"/>
        <v>41441.85</v>
      </c>
      <c r="Y29" s="2"/>
      <c r="Z29" s="22">
        <f t="shared" si="12"/>
        <v>0</v>
      </c>
    </row>
    <row r="30" spans="1:26" s="24" customFormat="1" hidden="1" outlineLevel="1" x14ac:dyDescent="0.25">
      <c r="A30" s="51"/>
      <c r="B30" s="11" t="str">
        <f>CONCATENATE("          ", "5031", " - ", "PURCHASES @ COST-FOOD")</f>
        <v xml:space="preserve">          5031 - PURCHASES @ COST-FOOD</v>
      </c>
      <c r="C30" s="11"/>
      <c r="D30" s="2">
        <v>-488.1</v>
      </c>
      <c r="E30" s="2"/>
      <c r="F30" s="22">
        <f t="shared" si="5"/>
        <v>0</v>
      </c>
      <c r="G30" s="2"/>
      <c r="H30" s="2"/>
      <c r="I30" s="2"/>
      <c r="J30" s="22">
        <f t="shared" si="6"/>
        <v>0</v>
      </c>
      <c r="K30" s="2"/>
      <c r="L30" s="2">
        <f t="shared" si="7"/>
        <v>-488.1</v>
      </c>
      <c r="M30" s="2"/>
      <c r="N30" s="22">
        <f t="shared" si="8"/>
        <v>0</v>
      </c>
      <c r="O30" s="11"/>
      <c r="P30" s="2">
        <v>2441.5700000000002</v>
      </c>
      <c r="Q30" s="2"/>
      <c r="R30" s="22">
        <f t="shared" si="9"/>
        <v>0.11456358695040149</v>
      </c>
      <c r="S30" s="2"/>
      <c r="T30" s="2"/>
      <c r="U30" s="2"/>
      <c r="V30" s="22">
        <f t="shared" si="10"/>
        <v>0</v>
      </c>
      <c r="W30" s="2"/>
      <c r="X30" s="2">
        <f t="shared" si="11"/>
        <v>2441.5700000000002</v>
      </c>
      <c r="Y30" s="2"/>
      <c r="Z30" s="22">
        <f t="shared" si="12"/>
        <v>0</v>
      </c>
    </row>
    <row r="31" spans="1:26" s="24" customFormat="1" hidden="1" outlineLevel="1" x14ac:dyDescent="0.25">
      <c r="A31" s="51"/>
      <c r="B31" s="11" t="str">
        <f>CONCATENATE("          ", "5200", " - ", "PURCHASES OFFSET")</f>
        <v xml:space="preserve">          5200 - PURCHASES OFFSET</v>
      </c>
      <c r="C31" s="11"/>
      <c r="D31" s="2"/>
      <c r="E31" s="2"/>
      <c r="F31" s="22">
        <f t="shared" si="5"/>
        <v>0</v>
      </c>
      <c r="G31" s="2"/>
      <c r="H31" s="2"/>
      <c r="I31" s="2"/>
      <c r="J31" s="22">
        <f t="shared" si="6"/>
        <v>0</v>
      </c>
      <c r="K31" s="2"/>
      <c r="L31" s="2">
        <f t="shared" si="7"/>
        <v>0</v>
      </c>
      <c r="M31" s="2"/>
      <c r="N31" s="22">
        <f t="shared" si="8"/>
        <v>0</v>
      </c>
      <c r="O31" s="11"/>
      <c r="P31" s="2">
        <v>-45863.33</v>
      </c>
      <c r="Q31" s="2"/>
      <c r="R31" s="22">
        <f t="shared" si="9"/>
        <v>-2.1520036674311842</v>
      </c>
      <c r="S31" s="2"/>
      <c r="T31" s="2"/>
      <c r="U31" s="2"/>
      <c r="V31" s="22">
        <f t="shared" si="10"/>
        <v>0</v>
      </c>
      <c r="W31" s="2"/>
      <c r="X31" s="2">
        <f t="shared" si="11"/>
        <v>-45863.33</v>
      </c>
      <c r="Y31" s="2"/>
      <c r="Z31" s="22">
        <f t="shared" si="12"/>
        <v>0</v>
      </c>
    </row>
    <row r="32" spans="1:26" s="24" customFormat="1" hidden="1" outlineLevel="1" x14ac:dyDescent="0.25">
      <c r="A32" s="51"/>
      <c r="B32" s="11" t="str">
        <f>CONCATENATE("          ", "5300", " - ", "COG$ OFFSET")</f>
        <v xml:space="preserve">          5300 - COG$ OFFSET</v>
      </c>
      <c r="C32" s="11"/>
      <c r="D32" s="2"/>
      <c r="E32" s="2"/>
      <c r="F32" s="22">
        <f t="shared" si="5"/>
        <v>0</v>
      </c>
      <c r="G32" s="2"/>
      <c r="H32" s="2"/>
      <c r="I32" s="2"/>
      <c r="J32" s="22">
        <f t="shared" si="6"/>
        <v>0</v>
      </c>
      <c r="K32" s="2"/>
      <c r="L32" s="2">
        <f t="shared" si="7"/>
        <v>0</v>
      </c>
      <c r="M32" s="2"/>
      <c r="N32" s="22">
        <f t="shared" si="8"/>
        <v>0</v>
      </c>
      <c r="O32" s="11"/>
      <c r="P32" s="2">
        <v>14145</v>
      </c>
      <c r="Q32" s="2"/>
      <c r="R32" s="22">
        <f t="shared" si="9"/>
        <v>0.66371307700103988</v>
      </c>
      <c r="S32" s="2"/>
      <c r="T32" s="2"/>
      <c r="U32" s="2"/>
      <c r="V32" s="22">
        <f t="shared" si="10"/>
        <v>0</v>
      </c>
      <c r="W32" s="2"/>
      <c r="X32" s="2">
        <f t="shared" si="11"/>
        <v>14145</v>
      </c>
      <c r="Y32" s="2"/>
      <c r="Z32" s="22">
        <f t="shared" si="12"/>
        <v>0</v>
      </c>
    </row>
    <row r="33" spans="1:26" s="24" customFormat="1" hidden="1" outlineLevel="1" x14ac:dyDescent="0.25">
      <c r="A33" s="51"/>
      <c r="B33" s="11" t="str">
        <f>CONCATENATE("          ", "5528", " - ", "FREIGHT-IN-ART/TECH")</f>
        <v xml:space="preserve">          5528 - FREIGHT-IN-ART/TECH</v>
      </c>
      <c r="C33" s="11"/>
      <c r="D33" s="2">
        <v>4.29</v>
      </c>
      <c r="E33" s="2"/>
      <c r="F33" s="22">
        <f t="shared" si="5"/>
        <v>0</v>
      </c>
      <c r="G33" s="2"/>
      <c r="H33" s="2"/>
      <c r="I33" s="2"/>
      <c r="J33" s="22">
        <f t="shared" si="6"/>
        <v>0</v>
      </c>
      <c r="K33" s="2"/>
      <c r="L33" s="2">
        <f t="shared" si="7"/>
        <v>4.29</v>
      </c>
      <c r="M33" s="2"/>
      <c r="N33" s="22">
        <f t="shared" si="8"/>
        <v>0</v>
      </c>
      <c r="O33" s="11"/>
      <c r="P33" s="2">
        <v>286.27</v>
      </c>
      <c r="Q33" s="2"/>
      <c r="R33" s="22">
        <f t="shared" si="9"/>
        <v>1.3432389010469259E-2</v>
      </c>
      <c r="S33" s="2"/>
      <c r="T33" s="2"/>
      <c r="U33" s="2"/>
      <c r="V33" s="22">
        <f t="shared" si="10"/>
        <v>0</v>
      </c>
      <c r="W33" s="2"/>
      <c r="X33" s="2">
        <f t="shared" si="11"/>
        <v>286.27</v>
      </c>
      <c r="Y33" s="2"/>
      <c r="Z33" s="22">
        <f t="shared" si="12"/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5" t="s">
        <v>6</v>
      </c>
      <c r="C35" s="25"/>
      <c r="D35" s="21">
        <f>D12-D25</f>
        <v>488.92</v>
      </c>
      <c r="E35" s="13"/>
      <c r="F35" s="19">
        <f>IF(D$12=0,0,D35/D$12)</f>
        <v>0</v>
      </c>
      <c r="G35" s="13"/>
      <c r="H35" s="21">
        <f>H12-H25</f>
        <v>1958</v>
      </c>
      <c r="I35" s="13"/>
      <c r="J35" s="19">
        <f>IF(H$12=0,0,H35/H$12)</f>
        <v>0.45063291139240508</v>
      </c>
      <c r="K35" s="16"/>
      <c r="L35" s="21">
        <f>+D35-H35</f>
        <v>-1469.08</v>
      </c>
      <c r="M35" s="16"/>
      <c r="N35" s="19">
        <f>IF(H35=0,0,L35/H35)</f>
        <v>-0.75029622063329926</v>
      </c>
      <c r="O35" s="26"/>
      <c r="P35" s="21">
        <f>P12-P25</f>
        <v>7600.1800000000039</v>
      </c>
      <c r="Q35" s="13"/>
      <c r="R35" s="19">
        <f>IF(P$12=0,0,P35/P$12)</f>
        <v>0.35661639120266991</v>
      </c>
      <c r="S35" s="13"/>
      <c r="T35" s="21">
        <f>T12-T25</f>
        <v>23314</v>
      </c>
      <c r="U35" s="13"/>
      <c r="V35" s="19">
        <f>IF(T$12=0,0,T35/T$12)</f>
        <v>0.48612356387747868</v>
      </c>
      <c r="W35" s="16"/>
      <c r="X35" s="21">
        <f>+P35-T35</f>
        <v>-15713.819999999996</v>
      </c>
      <c r="Y35" s="16"/>
      <c r="Z35" s="19">
        <f>IF(T35=0,0,X35/T35)</f>
        <v>-0.67400789225358138</v>
      </c>
    </row>
    <row r="36" spans="1:26" x14ac:dyDescent="0.25">
      <c r="A36" s="9"/>
      <c r="B36" s="10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6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25">
      <c r="A37" s="10"/>
      <c r="B37" s="26" t="s">
        <v>9</v>
      </c>
      <c r="C37" s="10"/>
      <c r="D37" s="20">
        <f>SUM(OSRRefD22x_0)</f>
        <v>274.11</v>
      </c>
      <c r="E37" s="20"/>
      <c r="F37" s="30">
        <f t="shared" ref="F37:F46" si="13">IF(D$12=0,0,D37/D$12)</f>
        <v>0</v>
      </c>
      <c r="G37" s="20"/>
      <c r="H37" s="20">
        <f>SUM(OSRRefH22x_0)</f>
        <v>8783.5607170000003</v>
      </c>
      <c r="I37" s="20"/>
      <c r="J37" s="30">
        <f t="shared" ref="J37:J46" si="14">IF(H$12=0,0,H37/H$12)</f>
        <v>2.0215329613348678</v>
      </c>
      <c r="K37" s="4"/>
      <c r="L37" s="20">
        <f t="shared" ref="L37:L46" si="15">+D37-H37</f>
        <v>-8509.4507169999997</v>
      </c>
      <c r="M37" s="4"/>
      <c r="N37" s="30">
        <f t="shared" ref="N37:N46" si="16">IF(H37=0,0,L37/H37)</f>
        <v>-0.96879283825414009</v>
      </c>
      <c r="O37" s="10"/>
      <c r="P37" s="20">
        <f>SUM(OSRRefP22x_0)</f>
        <v>12427.749999999996</v>
      </c>
      <c r="Q37" s="20"/>
      <c r="R37" s="30">
        <f t="shared" ref="R37:R46" si="17">IF(P$12=0,0,P37/P$12)</f>
        <v>0.58313610411450478</v>
      </c>
      <c r="S37" s="20"/>
      <c r="T37" s="20">
        <f>SUM(OSRRefT22x_0)</f>
        <v>59810.381143999999</v>
      </c>
      <c r="U37" s="20"/>
      <c r="V37" s="30">
        <f t="shared" ref="V37:V46" si="18">IF(T$12=0,0,T37/T$12)</f>
        <v>1.2471148511019829</v>
      </c>
      <c r="W37" s="4"/>
      <c r="X37" s="20">
        <f t="shared" ref="X37:X46" si="19">+P37-T37</f>
        <v>-47382.631143999999</v>
      </c>
      <c r="Y37" s="4"/>
      <c r="Z37" s="30">
        <f t="shared" ref="Z37:Z46" si="20">IF(T37=0,0,X37/T37)</f>
        <v>-0.79221416479392026</v>
      </c>
    </row>
    <row r="38" spans="1:26" s="28" customFormat="1" outlineLevel="1" collapsed="1" x14ac:dyDescent="0.25">
      <c r="A38" s="27"/>
      <c r="B38" s="14" t="str">
        <f>CONCATENATE("     ","*Benefits                                         ")</f>
        <v xml:space="preserve">     *Benefits                                         </v>
      </c>
      <c r="C38" s="14"/>
      <c r="D38" s="1">
        <f>SUM(OSRRefD22_0x_0)</f>
        <v>0</v>
      </c>
      <c r="E38" s="1"/>
      <c r="F38" s="5">
        <f t="shared" si="13"/>
        <v>0</v>
      </c>
      <c r="G38" s="1"/>
      <c r="H38" s="1">
        <f>SUM(OSRRefH22_0x_0)</f>
        <v>1782.6407170000002</v>
      </c>
      <c r="I38" s="1"/>
      <c r="J38" s="5">
        <f t="shared" si="14"/>
        <v>0.41027404303797471</v>
      </c>
      <c r="K38" s="1"/>
      <c r="L38" s="1">
        <f t="shared" si="15"/>
        <v>-1782.6407170000002</v>
      </c>
      <c r="M38" s="1"/>
      <c r="N38" s="5">
        <f t="shared" si="16"/>
        <v>-1</v>
      </c>
      <c r="O38" s="14"/>
      <c r="P38" s="1">
        <f>SUM(OSRRefP22_0x_0)</f>
        <v>778.2</v>
      </c>
      <c r="Q38" s="1"/>
      <c r="R38" s="5">
        <f t="shared" si="17"/>
        <v>3.6514776707119778E-2</v>
      </c>
      <c r="S38" s="1"/>
      <c r="T38" s="1">
        <f>SUM(OSRRefT22_0x_0)</f>
        <v>11187.411144</v>
      </c>
      <c r="U38" s="1"/>
      <c r="V38" s="5">
        <f t="shared" si="18"/>
        <v>0.23327031722930003</v>
      </c>
      <c r="W38" s="1"/>
      <c r="X38" s="1">
        <f t="shared" si="19"/>
        <v>-10409.211143999999</v>
      </c>
      <c r="Y38" s="1"/>
      <c r="Z38" s="5">
        <f t="shared" si="20"/>
        <v>-0.93043967098524283</v>
      </c>
    </row>
    <row r="39" spans="1:26" s="24" customFormat="1" hidden="1" outlineLevel="2" x14ac:dyDescent="0.25">
      <c r="A39" s="29"/>
      <c r="B39" s="11" t="str">
        <f>CONCATENATE("          ", "6111", " - ", "F.I.C.A.")</f>
        <v xml:space="preserve">          6111 - F.I.C.A.</v>
      </c>
      <c r="C39" s="11"/>
      <c r="D39" s="7"/>
      <c r="E39" s="2"/>
      <c r="F39" s="6">
        <f t="shared" si="13"/>
        <v>0</v>
      </c>
      <c r="G39" s="2"/>
      <c r="H39" s="7">
        <v>371.05570499999999</v>
      </c>
      <c r="I39" s="2"/>
      <c r="J39" s="6">
        <f t="shared" si="14"/>
        <v>8.5398321058688151E-2</v>
      </c>
      <c r="K39" s="2"/>
      <c r="L39" s="7">
        <f t="shared" si="15"/>
        <v>-371.05570499999999</v>
      </c>
      <c r="M39" s="2"/>
      <c r="N39" s="6">
        <f t="shared" si="16"/>
        <v>-1</v>
      </c>
      <c r="O39" s="11"/>
      <c r="P39" s="7">
        <v>484.61</v>
      </c>
      <c r="Q39" s="2"/>
      <c r="R39" s="6">
        <f t="shared" si="17"/>
        <v>2.2738917938881154E-2</v>
      </c>
      <c r="S39" s="2"/>
      <c r="T39" s="7">
        <v>2365.6111769999998</v>
      </c>
      <c r="U39" s="2"/>
      <c r="V39" s="6">
        <f t="shared" si="18"/>
        <v>4.9325698555015736E-2</v>
      </c>
      <c r="W39" s="2"/>
      <c r="X39" s="7">
        <f t="shared" si="19"/>
        <v>-1881.0011769999996</v>
      </c>
      <c r="Y39" s="2"/>
      <c r="Z39" s="6">
        <f t="shared" si="20"/>
        <v>-0.79514384920409087</v>
      </c>
    </row>
    <row r="40" spans="1:26" s="24" customFormat="1" hidden="1" outlineLevel="2" x14ac:dyDescent="0.25">
      <c r="A40" s="29"/>
      <c r="B40" s="11" t="str">
        <f>CONCATENATE("          ", "6112", " - ", "COMPENSATION INSURANCE")</f>
        <v xml:space="preserve">          6112 - COMPENSATION INSURANCE</v>
      </c>
      <c r="C40" s="11"/>
      <c r="D40" s="7"/>
      <c r="E40" s="2"/>
      <c r="F40" s="6">
        <f t="shared" si="13"/>
        <v>0</v>
      </c>
      <c r="G40" s="2"/>
      <c r="H40" s="7">
        <v>110.64702</v>
      </c>
      <c r="I40" s="2"/>
      <c r="J40" s="6">
        <f t="shared" si="14"/>
        <v>2.5465367088607596E-2</v>
      </c>
      <c r="K40" s="2"/>
      <c r="L40" s="7">
        <f t="shared" si="15"/>
        <v>-110.64702</v>
      </c>
      <c r="M40" s="2"/>
      <c r="N40" s="6">
        <f t="shared" si="16"/>
        <v>-1</v>
      </c>
      <c r="O40" s="11"/>
      <c r="P40" s="7">
        <v>255.57</v>
      </c>
      <c r="Q40" s="2"/>
      <c r="R40" s="6">
        <f t="shared" si="17"/>
        <v>1.1991880600152403E-2</v>
      </c>
      <c r="S40" s="2"/>
      <c r="T40" s="7">
        <v>711.601945</v>
      </c>
      <c r="U40" s="2"/>
      <c r="V40" s="6">
        <f t="shared" si="18"/>
        <v>1.4837714401884944E-2</v>
      </c>
      <c r="W40" s="2"/>
      <c r="X40" s="7">
        <f t="shared" si="19"/>
        <v>-456.03194500000001</v>
      </c>
      <c r="Y40" s="2"/>
      <c r="Z40" s="6">
        <f t="shared" si="20"/>
        <v>-0.64085258367302522</v>
      </c>
    </row>
    <row r="41" spans="1:26" s="24" customFormat="1" hidden="1" outlineLevel="2" x14ac:dyDescent="0.25">
      <c r="A41" s="29"/>
      <c r="B41" s="11" t="str">
        <f>CONCATENATE("          ", "6113", " - ", "GROUP INSURANCE")</f>
        <v xml:space="preserve">          6113 - GROUP INSURANCE</v>
      </c>
      <c r="C41" s="11"/>
      <c r="D41" s="7"/>
      <c r="E41" s="2"/>
      <c r="F41" s="6">
        <f t="shared" si="13"/>
        <v>0</v>
      </c>
      <c r="G41" s="2"/>
      <c r="H41" s="7">
        <v>665</v>
      </c>
      <c r="I41" s="2"/>
      <c r="J41" s="6">
        <f t="shared" si="14"/>
        <v>0.15304948216340622</v>
      </c>
      <c r="K41" s="2"/>
      <c r="L41" s="7">
        <f t="shared" si="15"/>
        <v>-665</v>
      </c>
      <c r="M41" s="2"/>
      <c r="N41" s="6">
        <f t="shared" si="16"/>
        <v>-1</v>
      </c>
      <c r="O41" s="11"/>
      <c r="P41" s="7"/>
      <c r="Q41" s="2"/>
      <c r="R41" s="6">
        <f t="shared" si="17"/>
        <v>0</v>
      </c>
      <c r="S41" s="2"/>
      <c r="T41" s="7">
        <v>3990</v>
      </c>
      <c r="U41" s="2"/>
      <c r="V41" s="6">
        <f t="shared" si="18"/>
        <v>8.3196063304072226E-2</v>
      </c>
      <c r="W41" s="2"/>
      <c r="X41" s="7">
        <f t="shared" si="19"/>
        <v>-3990</v>
      </c>
      <c r="Y41" s="2"/>
      <c r="Z41" s="6">
        <f t="shared" si="20"/>
        <v>-1</v>
      </c>
    </row>
    <row r="42" spans="1:26" s="24" customFormat="1" hidden="1" outlineLevel="2" x14ac:dyDescent="0.25">
      <c r="A42" s="29"/>
      <c r="B42" s="11" t="str">
        <f>CONCATENATE("          ", "6114", " - ", "STATE UNEMPLOYMENT INSURANCE")</f>
        <v xml:space="preserve">          6114 - STATE UNEMPLOYMENT INSURANCE</v>
      </c>
      <c r="C42" s="11"/>
      <c r="D42" s="7"/>
      <c r="E42" s="2"/>
      <c r="F42" s="6">
        <f t="shared" si="13"/>
        <v>0</v>
      </c>
      <c r="G42" s="2"/>
      <c r="H42" s="7">
        <v>15.550392</v>
      </c>
      <c r="I42" s="2"/>
      <c r="J42" s="6">
        <f t="shared" si="14"/>
        <v>3.5789164556962027E-3</v>
      </c>
      <c r="K42" s="2"/>
      <c r="L42" s="7">
        <f t="shared" si="15"/>
        <v>-15.550392</v>
      </c>
      <c r="M42" s="2"/>
      <c r="N42" s="6">
        <f t="shared" si="16"/>
        <v>-1</v>
      </c>
      <c r="O42" s="11"/>
      <c r="P42" s="7">
        <v>38.020000000000003</v>
      </c>
      <c r="Q42" s="2"/>
      <c r="R42" s="6">
        <f t="shared" si="17"/>
        <v>1.7839781680862169E-3</v>
      </c>
      <c r="S42" s="2"/>
      <c r="T42" s="7">
        <v>100.008922</v>
      </c>
      <c r="U42" s="2"/>
      <c r="V42" s="6">
        <f t="shared" si="18"/>
        <v>2.085300402427073E-3</v>
      </c>
      <c r="W42" s="2"/>
      <c r="X42" s="7">
        <f t="shared" si="19"/>
        <v>-61.988921999999995</v>
      </c>
      <c r="Y42" s="2"/>
      <c r="Z42" s="6">
        <f t="shared" si="20"/>
        <v>-0.61983391841779878</v>
      </c>
    </row>
    <row r="43" spans="1:26" s="24" customFormat="1" hidden="1" outlineLevel="2" x14ac:dyDescent="0.25">
      <c r="A43" s="29"/>
      <c r="B43" s="11" t="str">
        <f>CONCATENATE("          ", "6115", " - ", "P.E.R.S.")</f>
        <v xml:space="preserve">          6115 - P.E.R.S.</v>
      </c>
      <c r="C43" s="11"/>
      <c r="D43" s="7"/>
      <c r="E43" s="2"/>
      <c r="F43" s="6">
        <f t="shared" si="13"/>
        <v>0</v>
      </c>
      <c r="G43" s="2"/>
      <c r="H43" s="7">
        <v>357.76</v>
      </c>
      <c r="I43" s="2"/>
      <c r="J43" s="6">
        <f t="shared" si="14"/>
        <v>8.2338319907940161E-2</v>
      </c>
      <c r="K43" s="2"/>
      <c r="L43" s="7">
        <f t="shared" si="15"/>
        <v>-357.76</v>
      </c>
      <c r="M43" s="2"/>
      <c r="N43" s="6">
        <f t="shared" si="16"/>
        <v>-1</v>
      </c>
      <c r="O43" s="11"/>
      <c r="P43" s="7"/>
      <c r="Q43" s="2"/>
      <c r="R43" s="6">
        <f t="shared" si="17"/>
        <v>0</v>
      </c>
      <c r="S43" s="2"/>
      <c r="T43" s="7">
        <v>2325.44</v>
      </c>
      <c r="U43" s="2"/>
      <c r="V43" s="6">
        <f t="shared" si="18"/>
        <v>4.8488083571383893E-2</v>
      </c>
      <c r="W43" s="2"/>
      <c r="X43" s="7">
        <f t="shared" si="19"/>
        <v>-2325.44</v>
      </c>
      <c r="Y43" s="2"/>
      <c r="Z43" s="6">
        <f t="shared" si="20"/>
        <v>-1</v>
      </c>
    </row>
    <row r="44" spans="1:26" s="24" customFormat="1" hidden="1" outlineLevel="2" x14ac:dyDescent="0.25">
      <c r="A44" s="29"/>
      <c r="B44" s="11" t="str">
        <f>CONCATENATE("          ", "6116", " - ", "EDUCATIONAL BENEFITS")</f>
        <v xml:space="preserve">          6116 - EDUCATIONAL BENEFITS</v>
      </c>
      <c r="C44" s="11"/>
      <c r="D44" s="7"/>
      <c r="E44" s="2"/>
      <c r="F44" s="6">
        <f t="shared" si="13"/>
        <v>0</v>
      </c>
      <c r="G44" s="2"/>
      <c r="H44" s="7">
        <v>0</v>
      </c>
      <c r="I44" s="2"/>
      <c r="J44" s="6">
        <f t="shared" si="14"/>
        <v>0</v>
      </c>
      <c r="K44" s="2"/>
      <c r="L44" s="7">
        <f t="shared" si="15"/>
        <v>0</v>
      </c>
      <c r="M44" s="2"/>
      <c r="N44" s="6">
        <f t="shared" si="16"/>
        <v>0</v>
      </c>
      <c r="O44" s="11"/>
      <c r="P44" s="7"/>
      <c r="Q44" s="2"/>
      <c r="R44" s="6">
        <f t="shared" si="17"/>
        <v>0</v>
      </c>
      <c r="S44" s="2"/>
      <c r="T44" s="7">
        <v>0</v>
      </c>
      <c r="U44" s="2"/>
      <c r="V44" s="6">
        <f t="shared" si="18"/>
        <v>0</v>
      </c>
      <c r="W44" s="2"/>
      <c r="X44" s="7">
        <f t="shared" si="19"/>
        <v>0</v>
      </c>
      <c r="Y44" s="2"/>
      <c r="Z44" s="6">
        <f t="shared" si="20"/>
        <v>0</v>
      </c>
    </row>
    <row r="45" spans="1:26" s="24" customFormat="1" hidden="1" outlineLevel="2" x14ac:dyDescent="0.25">
      <c r="A45" s="29"/>
      <c r="B45" s="11" t="str">
        <f>CONCATENATE("          ", "6118", " - ", "VACATION")</f>
        <v xml:space="preserve">          6118 - VACATION</v>
      </c>
      <c r="C45" s="11"/>
      <c r="D45" s="7"/>
      <c r="E45" s="2"/>
      <c r="F45" s="6">
        <f t="shared" si="13"/>
        <v>0</v>
      </c>
      <c r="G45" s="2"/>
      <c r="H45" s="7">
        <v>124.8</v>
      </c>
      <c r="I45" s="2"/>
      <c r="J45" s="6">
        <f t="shared" si="14"/>
        <v>2.8722669735327961E-2</v>
      </c>
      <c r="K45" s="2"/>
      <c r="L45" s="7">
        <f t="shared" si="15"/>
        <v>-124.8</v>
      </c>
      <c r="M45" s="2"/>
      <c r="N45" s="6">
        <f t="shared" si="16"/>
        <v>-1</v>
      </c>
      <c r="O45" s="11"/>
      <c r="P45" s="7"/>
      <c r="Q45" s="2"/>
      <c r="R45" s="6">
        <f t="shared" si="17"/>
        <v>0</v>
      </c>
      <c r="S45" s="2"/>
      <c r="T45" s="7">
        <v>811.2</v>
      </c>
      <c r="U45" s="2"/>
      <c r="V45" s="6">
        <f t="shared" si="18"/>
        <v>1.6914447757459497E-2</v>
      </c>
      <c r="W45" s="2"/>
      <c r="X45" s="7">
        <f t="shared" si="19"/>
        <v>-811.2</v>
      </c>
      <c r="Y45" s="2"/>
      <c r="Z45" s="6">
        <f t="shared" si="20"/>
        <v>-1</v>
      </c>
    </row>
    <row r="46" spans="1:26" s="24" customFormat="1" hidden="1" outlineLevel="2" x14ac:dyDescent="0.25">
      <c r="A46" s="29"/>
      <c r="B46" s="11" t="str">
        <f>CONCATENATE("          ", "6119", " - ", "SICK LEAVE")</f>
        <v xml:space="preserve">          6119 - SICK LEAVE</v>
      </c>
      <c r="C46" s="11"/>
      <c r="D46" s="7"/>
      <c r="E46" s="2"/>
      <c r="F46" s="6">
        <f t="shared" si="13"/>
        <v>0</v>
      </c>
      <c r="G46" s="2"/>
      <c r="H46" s="7">
        <v>137.82759999999999</v>
      </c>
      <c r="I46" s="2"/>
      <c r="J46" s="6">
        <f t="shared" si="14"/>
        <v>3.1720966628308395E-2</v>
      </c>
      <c r="K46" s="2"/>
      <c r="L46" s="7">
        <f t="shared" si="15"/>
        <v>-137.82759999999999</v>
      </c>
      <c r="M46" s="2"/>
      <c r="N46" s="6">
        <f t="shared" si="16"/>
        <v>-1</v>
      </c>
      <c r="O46" s="11"/>
      <c r="P46" s="7"/>
      <c r="Q46" s="2"/>
      <c r="R46" s="6">
        <f t="shared" si="17"/>
        <v>0</v>
      </c>
      <c r="S46" s="2"/>
      <c r="T46" s="7">
        <v>883.54909999999995</v>
      </c>
      <c r="U46" s="2"/>
      <c r="V46" s="6">
        <f t="shared" si="18"/>
        <v>1.8423009237056653E-2</v>
      </c>
      <c r="W46" s="2"/>
      <c r="X46" s="7">
        <f t="shared" si="19"/>
        <v>-883.54909999999995</v>
      </c>
      <c r="Y46" s="2"/>
      <c r="Z46" s="6">
        <f t="shared" si="20"/>
        <v>-1</v>
      </c>
    </row>
    <row r="47" spans="1:26" s="28" customFormat="1" outlineLevel="1" collapsed="1" x14ac:dyDescent="0.25">
      <c r="A47" s="27"/>
      <c r="B47" s="14" t="str">
        <f>CONCATENATE("     ","*Payroll                                          ")</f>
        <v xml:space="preserve">     *Payroll                                          </v>
      </c>
      <c r="C47" s="14"/>
      <c r="D47" s="1">
        <f>SUM(OSRRefD22_1x_0)</f>
        <v>0</v>
      </c>
      <c r="E47" s="1"/>
      <c r="F47" s="5">
        <f t="shared" ref="F47:F57" si="21">IF(D$12=0,0,D47/D$12)</f>
        <v>0</v>
      </c>
      <c r="G47" s="1"/>
      <c r="H47" s="1">
        <f>SUM(OSRRefH22_1x_0)</f>
        <v>5772.92</v>
      </c>
      <c r="I47" s="1"/>
      <c r="J47" s="5">
        <f t="shared" ref="J47:J57" si="22">IF(H$12=0,0,H47/H$12)</f>
        <v>1.3286352128883774</v>
      </c>
      <c r="K47" s="1"/>
      <c r="L47" s="1">
        <f t="shared" ref="L47:L57" si="23">+D47-H47</f>
        <v>-5772.92</v>
      </c>
      <c r="M47" s="1"/>
      <c r="N47" s="5">
        <f t="shared" ref="N47:N57" si="24">IF(H47=0,0,L47/H47)</f>
        <v>-1</v>
      </c>
      <c r="O47" s="14"/>
      <c r="P47" s="1">
        <f>SUM(OSRRefP22_1x_0)</f>
        <v>8152.5399999999991</v>
      </c>
      <c r="Q47" s="1"/>
      <c r="R47" s="5">
        <f t="shared" ref="R47:R57" si="25">IF(P$12=0,0,P47/P$12)</f>
        <v>0.38253428128483963</v>
      </c>
      <c r="S47" s="1"/>
      <c r="T47" s="1">
        <f>SUM(OSRRefT22_1x_0)</f>
        <v>37112.97</v>
      </c>
      <c r="U47" s="1"/>
      <c r="V47" s="5">
        <f t="shared" ref="V47:V57" si="26">IF(T$12=0,0,T47/T$12)</f>
        <v>0.77384787005567257</v>
      </c>
      <c r="W47" s="1"/>
      <c r="X47" s="1">
        <f t="shared" ref="X47:X57" si="27">+P47-T47</f>
        <v>-28960.43</v>
      </c>
      <c r="Y47" s="1"/>
      <c r="Z47" s="5">
        <f t="shared" ref="Z47:Z57" si="28">IF(T47=0,0,X47/T47)</f>
        <v>-0.78033178158471284</v>
      </c>
    </row>
    <row r="48" spans="1:26" s="24" customFormat="1" hidden="1" outlineLevel="2" x14ac:dyDescent="0.25">
      <c r="A48" s="29"/>
      <c r="B48" s="11" t="str">
        <f>CONCATENATE("          ", "6001", " - ", "ADMINISTRATIVE SALARIES")</f>
        <v xml:space="preserve">          6001 - ADMINISTRATIVE SALARIES</v>
      </c>
      <c r="C48" s="11"/>
      <c r="D48" s="7"/>
      <c r="E48" s="2"/>
      <c r="F48" s="6">
        <f t="shared" si="21"/>
        <v>0</v>
      </c>
      <c r="G48" s="2"/>
      <c r="H48" s="7">
        <v>3952</v>
      </c>
      <c r="I48" s="2"/>
      <c r="J48" s="6">
        <f t="shared" si="22"/>
        <v>0.90955120828538549</v>
      </c>
      <c r="K48" s="2"/>
      <c r="L48" s="7">
        <f t="shared" si="23"/>
        <v>-3952</v>
      </c>
      <c r="M48" s="2"/>
      <c r="N48" s="6">
        <f t="shared" si="24"/>
        <v>-1</v>
      </c>
      <c r="O48" s="11"/>
      <c r="P48" s="7"/>
      <c r="Q48" s="2"/>
      <c r="R48" s="6">
        <f t="shared" si="25"/>
        <v>0</v>
      </c>
      <c r="S48" s="2"/>
      <c r="T48" s="7">
        <v>25688</v>
      </c>
      <c r="U48" s="2"/>
      <c r="V48" s="6">
        <f t="shared" si="26"/>
        <v>0.53562417898621739</v>
      </c>
      <c r="W48" s="2"/>
      <c r="X48" s="7">
        <f t="shared" si="27"/>
        <v>-25688</v>
      </c>
      <c r="Y48" s="2"/>
      <c r="Z48" s="6">
        <f t="shared" si="28"/>
        <v>-1</v>
      </c>
    </row>
    <row r="49" spans="1:26" s="24" customFormat="1" hidden="1" outlineLevel="2" x14ac:dyDescent="0.25">
      <c r="A49" s="29"/>
      <c r="B49" s="11" t="str">
        <f>CONCATENATE("          ", "6002", " - ", "STAFF SALARIES")</f>
        <v xml:space="preserve">          6002 - STAFF SALARIES</v>
      </c>
      <c r="C49" s="11"/>
      <c r="D49" s="7"/>
      <c r="E49" s="2"/>
      <c r="F49" s="6">
        <f t="shared" si="21"/>
        <v>0</v>
      </c>
      <c r="G49" s="2"/>
      <c r="H49" s="7">
        <v>0</v>
      </c>
      <c r="I49" s="2"/>
      <c r="J49" s="6">
        <f t="shared" si="22"/>
        <v>0</v>
      </c>
      <c r="K49" s="2"/>
      <c r="L49" s="7">
        <f t="shared" si="23"/>
        <v>0</v>
      </c>
      <c r="M49" s="2"/>
      <c r="N49" s="6">
        <f t="shared" si="24"/>
        <v>0</v>
      </c>
      <c r="O49" s="11"/>
      <c r="P49" s="7"/>
      <c r="Q49" s="2"/>
      <c r="R49" s="6">
        <f t="shared" si="25"/>
        <v>0</v>
      </c>
      <c r="S49" s="2"/>
      <c r="T49" s="7">
        <v>0</v>
      </c>
      <c r="U49" s="2"/>
      <c r="V49" s="6">
        <f t="shared" si="26"/>
        <v>0</v>
      </c>
      <c r="W49" s="2"/>
      <c r="X49" s="7">
        <f t="shared" si="27"/>
        <v>0</v>
      </c>
      <c r="Y49" s="2"/>
      <c r="Z49" s="6">
        <f t="shared" si="28"/>
        <v>0</v>
      </c>
    </row>
    <row r="50" spans="1:26" s="24" customFormat="1" hidden="1" outlineLevel="2" x14ac:dyDescent="0.25">
      <c r="A50" s="29"/>
      <c r="B50" s="11" t="str">
        <f>CONCATENATE("          ", "6003", " - ", "STAFF HOURLY-9 MONTH")</f>
        <v xml:space="preserve">          6003 - STAFF HOURLY-9 MONTH</v>
      </c>
      <c r="C50" s="11"/>
      <c r="D50" s="7"/>
      <c r="E50" s="2"/>
      <c r="F50" s="6">
        <f t="shared" si="21"/>
        <v>0</v>
      </c>
      <c r="G50" s="2"/>
      <c r="H50" s="7">
        <v>0</v>
      </c>
      <c r="I50" s="2"/>
      <c r="J50" s="6">
        <f t="shared" si="22"/>
        <v>0</v>
      </c>
      <c r="K50" s="2"/>
      <c r="L50" s="7">
        <f t="shared" si="23"/>
        <v>0</v>
      </c>
      <c r="M50" s="2"/>
      <c r="N50" s="6">
        <f t="shared" si="24"/>
        <v>0</v>
      </c>
      <c r="O50" s="11"/>
      <c r="P50" s="7"/>
      <c r="Q50" s="2"/>
      <c r="R50" s="6">
        <f t="shared" si="25"/>
        <v>0</v>
      </c>
      <c r="S50" s="2"/>
      <c r="T50" s="7">
        <v>0</v>
      </c>
      <c r="U50" s="2"/>
      <c r="V50" s="6">
        <f t="shared" si="26"/>
        <v>0</v>
      </c>
      <c r="W50" s="2"/>
      <c r="X50" s="7">
        <f t="shared" si="27"/>
        <v>0</v>
      </c>
      <c r="Y50" s="2"/>
      <c r="Z50" s="6">
        <f t="shared" si="28"/>
        <v>0</v>
      </c>
    </row>
    <row r="51" spans="1:26" s="24" customFormat="1" hidden="1" outlineLevel="2" x14ac:dyDescent="0.25">
      <c r="A51" s="29"/>
      <c r="B51" s="11" t="str">
        <f>CONCATENATE("          ", "6004", " - ", "STAFF HOURLY")</f>
        <v xml:space="preserve">          6004 - STAFF HOURLY</v>
      </c>
      <c r="C51" s="11"/>
      <c r="D51" s="7"/>
      <c r="E51" s="2"/>
      <c r="F51" s="6">
        <f t="shared" si="21"/>
        <v>0</v>
      </c>
      <c r="G51" s="2"/>
      <c r="H51" s="7">
        <v>688.5</v>
      </c>
      <c r="I51" s="2"/>
      <c r="J51" s="6">
        <f t="shared" si="22"/>
        <v>0.15845799769850402</v>
      </c>
      <c r="K51" s="2"/>
      <c r="L51" s="7">
        <f t="shared" si="23"/>
        <v>-688.5</v>
      </c>
      <c r="M51" s="2"/>
      <c r="N51" s="6">
        <f t="shared" si="24"/>
        <v>-1</v>
      </c>
      <c r="O51" s="11"/>
      <c r="P51" s="7"/>
      <c r="Q51" s="2"/>
      <c r="R51" s="6">
        <f t="shared" si="25"/>
        <v>0</v>
      </c>
      <c r="S51" s="2"/>
      <c r="T51" s="7">
        <v>3870.9</v>
      </c>
      <c r="U51" s="2"/>
      <c r="V51" s="6">
        <f t="shared" si="26"/>
        <v>8.0712692091161206E-2</v>
      </c>
      <c r="W51" s="2"/>
      <c r="X51" s="7">
        <f t="shared" si="27"/>
        <v>-3870.9</v>
      </c>
      <c r="Y51" s="2"/>
      <c r="Z51" s="6">
        <f t="shared" si="28"/>
        <v>-1</v>
      </c>
    </row>
    <row r="52" spans="1:26" s="24" customFormat="1" hidden="1" outlineLevel="2" x14ac:dyDescent="0.25">
      <c r="A52" s="29"/>
      <c r="B52" s="11" t="str">
        <f>CONCATENATE("          ", "6005", " - ", "TEMPORARY WAGES-HOURLY")</f>
        <v xml:space="preserve">          6005 - TEMPORARY WAGES-HOURLY</v>
      </c>
      <c r="C52" s="11"/>
      <c r="D52" s="7"/>
      <c r="E52" s="2"/>
      <c r="F52" s="6">
        <f t="shared" si="21"/>
        <v>0</v>
      </c>
      <c r="G52" s="2"/>
      <c r="H52" s="7">
        <v>0</v>
      </c>
      <c r="I52" s="2"/>
      <c r="J52" s="6">
        <f t="shared" si="22"/>
        <v>0</v>
      </c>
      <c r="K52" s="2"/>
      <c r="L52" s="7">
        <f t="shared" si="23"/>
        <v>0</v>
      </c>
      <c r="M52" s="2"/>
      <c r="N52" s="6">
        <f t="shared" si="24"/>
        <v>0</v>
      </c>
      <c r="O52" s="11"/>
      <c r="P52" s="7">
        <v>5379.19</v>
      </c>
      <c r="Q52" s="2"/>
      <c r="R52" s="6">
        <f t="shared" si="25"/>
        <v>0.25240288064144384</v>
      </c>
      <c r="S52" s="2"/>
      <c r="T52" s="7">
        <v>0</v>
      </c>
      <c r="U52" s="2"/>
      <c r="V52" s="6">
        <f t="shared" si="26"/>
        <v>0</v>
      </c>
      <c r="W52" s="2"/>
      <c r="X52" s="7">
        <f t="shared" si="27"/>
        <v>5379.19</v>
      </c>
      <c r="Y52" s="2"/>
      <c r="Z52" s="6">
        <f t="shared" si="28"/>
        <v>0</v>
      </c>
    </row>
    <row r="53" spans="1:26" s="24" customFormat="1" hidden="1" outlineLevel="2" x14ac:dyDescent="0.25">
      <c r="A53" s="29"/>
      <c r="B53" s="11" t="str">
        <f>CONCATENATE("          ", "6006", " - ", "TEMPORARY PART TIME")</f>
        <v xml:space="preserve">          6006 - TEMPORARY PART TIME</v>
      </c>
      <c r="C53" s="11"/>
      <c r="D53" s="7"/>
      <c r="E53" s="2"/>
      <c r="F53" s="6">
        <f t="shared" si="21"/>
        <v>0</v>
      </c>
      <c r="G53" s="2"/>
      <c r="H53" s="7">
        <v>0</v>
      </c>
      <c r="I53" s="2"/>
      <c r="J53" s="6">
        <f t="shared" si="22"/>
        <v>0</v>
      </c>
      <c r="K53" s="2"/>
      <c r="L53" s="7">
        <f t="shared" si="23"/>
        <v>0</v>
      </c>
      <c r="M53" s="2"/>
      <c r="N53" s="6">
        <f t="shared" si="24"/>
        <v>0</v>
      </c>
      <c r="O53" s="11"/>
      <c r="P53" s="7"/>
      <c r="Q53" s="2"/>
      <c r="R53" s="6">
        <f t="shared" si="25"/>
        <v>0</v>
      </c>
      <c r="S53" s="2"/>
      <c r="T53" s="7">
        <v>0</v>
      </c>
      <c r="U53" s="2"/>
      <c r="V53" s="6">
        <f t="shared" si="26"/>
        <v>0</v>
      </c>
      <c r="W53" s="2"/>
      <c r="X53" s="7">
        <f t="shared" si="27"/>
        <v>0</v>
      </c>
      <c r="Y53" s="2"/>
      <c r="Z53" s="6">
        <f t="shared" si="28"/>
        <v>0</v>
      </c>
    </row>
    <row r="54" spans="1:26" s="24" customFormat="1" hidden="1" outlineLevel="2" x14ac:dyDescent="0.25">
      <c r="A54" s="29"/>
      <c r="B54" s="11" t="str">
        <f>CONCATENATE("          ", "6007", " - ", "STUDENT HOURLY")</f>
        <v xml:space="preserve">          6007 - STUDENT HOURLY</v>
      </c>
      <c r="C54" s="11"/>
      <c r="D54" s="7"/>
      <c r="E54" s="2"/>
      <c r="F54" s="6">
        <f t="shared" si="21"/>
        <v>0</v>
      </c>
      <c r="G54" s="2"/>
      <c r="H54" s="7">
        <v>0</v>
      </c>
      <c r="I54" s="2"/>
      <c r="J54" s="6">
        <f t="shared" si="22"/>
        <v>0</v>
      </c>
      <c r="K54" s="2"/>
      <c r="L54" s="7">
        <f t="shared" si="23"/>
        <v>0</v>
      </c>
      <c r="M54" s="2"/>
      <c r="N54" s="6">
        <f t="shared" si="24"/>
        <v>0</v>
      </c>
      <c r="O54" s="11"/>
      <c r="P54" s="7">
        <v>2773.35</v>
      </c>
      <c r="Q54" s="2"/>
      <c r="R54" s="6">
        <f t="shared" si="25"/>
        <v>0.13013140064339582</v>
      </c>
      <c r="S54" s="2"/>
      <c r="T54" s="7">
        <v>0</v>
      </c>
      <c r="U54" s="2"/>
      <c r="V54" s="6">
        <f t="shared" si="26"/>
        <v>0</v>
      </c>
      <c r="W54" s="2"/>
      <c r="X54" s="7">
        <f t="shared" si="27"/>
        <v>2773.35</v>
      </c>
      <c r="Y54" s="2"/>
      <c r="Z54" s="6">
        <f t="shared" si="28"/>
        <v>0</v>
      </c>
    </row>
    <row r="55" spans="1:26" s="24" customFormat="1" hidden="1" outlineLevel="2" x14ac:dyDescent="0.25">
      <c r="A55" s="29"/>
      <c r="B55" s="11" t="str">
        <f>CONCATENATE("          ", "6008", " - ", "STUDENT HOURLY-FICA EXEMPT")</f>
        <v xml:space="preserve">          6008 - STUDENT HOURLY-FICA EXEMPT</v>
      </c>
      <c r="C55" s="11"/>
      <c r="D55" s="7"/>
      <c r="E55" s="2"/>
      <c r="F55" s="6">
        <f t="shared" si="21"/>
        <v>0</v>
      </c>
      <c r="G55" s="2"/>
      <c r="H55" s="7">
        <v>1132.42</v>
      </c>
      <c r="I55" s="2"/>
      <c r="J55" s="6">
        <f t="shared" si="22"/>
        <v>0.26062600690448795</v>
      </c>
      <c r="K55" s="2"/>
      <c r="L55" s="7">
        <f t="shared" si="23"/>
        <v>-1132.42</v>
      </c>
      <c r="M55" s="2"/>
      <c r="N55" s="6">
        <f t="shared" si="24"/>
        <v>-1</v>
      </c>
      <c r="O55" s="11"/>
      <c r="P55" s="7"/>
      <c r="Q55" s="2"/>
      <c r="R55" s="6">
        <f t="shared" si="25"/>
        <v>0</v>
      </c>
      <c r="S55" s="2"/>
      <c r="T55" s="7">
        <v>7554.07</v>
      </c>
      <c r="U55" s="2"/>
      <c r="V55" s="6">
        <f t="shared" si="26"/>
        <v>0.15751099897829396</v>
      </c>
      <c r="W55" s="2"/>
      <c r="X55" s="7">
        <f t="shared" si="27"/>
        <v>-7554.07</v>
      </c>
      <c r="Y55" s="2"/>
      <c r="Z55" s="6">
        <f t="shared" si="28"/>
        <v>-1</v>
      </c>
    </row>
    <row r="56" spans="1:26" s="24" customFormat="1" hidden="1" outlineLevel="2" x14ac:dyDescent="0.25">
      <c r="A56" s="29"/>
      <c r="B56" s="11" t="str">
        <f>CONCATENATE("          ", "6009", " - ", "TEMPORARY-SEASONAL")</f>
        <v xml:space="preserve">          6009 - TEMPORARY-SEASONAL</v>
      </c>
      <c r="C56" s="11"/>
      <c r="D56" s="7"/>
      <c r="E56" s="2"/>
      <c r="F56" s="6">
        <f t="shared" si="21"/>
        <v>0</v>
      </c>
      <c r="G56" s="2"/>
      <c r="H56" s="7">
        <v>0</v>
      </c>
      <c r="I56" s="2"/>
      <c r="J56" s="6">
        <f t="shared" si="22"/>
        <v>0</v>
      </c>
      <c r="K56" s="2"/>
      <c r="L56" s="7">
        <f t="shared" si="23"/>
        <v>0</v>
      </c>
      <c r="M56" s="2"/>
      <c r="N56" s="6">
        <f t="shared" si="24"/>
        <v>0</v>
      </c>
      <c r="O56" s="11"/>
      <c r="P56" s="7"/>
      <c r="Q56" s="2"/>
      <c r="R56" s="6">
        <f t="shared" si="25"/>
        <v>0</v>
      </c>
      <c r="S56" s="2"/>
      <c r="T56" s="7">
        <v>0</v>
      </c>
      <c r="U56" s="2"/>
      <c r="V56" s="6">
        <f t="shared" si="26"/>
        <v>0</v>
      </c>
      <c r="W56" s="2"/>
      <c r="X56" s="7">
        <f t="shared" si="27"/>
        <v>0</v>
      </c>
      <c r="Y56" s="2"/>
      <c r="Z56" s="6">
        <f t="shared" si="28"/>
        <v>0</v>
      </c>
    </row>
    <row r="57" spans="1:26" s="24" customFormat="1" hidden="1" outlineLevel="2" x14ac:dyDescent="0.25">
      <c r="A57" s="29"/>
      <c r="B57" s="11" t="str">
        <f>CONCATENATE("          ", "6010", " - ", "GRATUITY")</f>
        <v xml:space="preserve">          6010 - GRATUITY</v>
      </c>
      <c r="C57" s="11"/>
      <c r="D57" s="7"/>
      <c r="E57" s="2"/>
      <c r="F57" s="6">
        <f t="shared" si="21"/>
        <v>0</v>
      </c>
      <c r="G57" s="2"/>
      <c r="H57" s="7">
        <v>0</v>
      </c>
      <c r="I57" s="2"/>
      <c r="J57" s="6">
        <f t="shared" si="22"/>
        <v>0</v>
      </c>
      <c r="K57" s="2"/>
      <c r="L57" s="7">
        <f t="shared" si="23"/>
        <v>0</v>
      </c>
      <c r="M57" s="2"/>
      <c r="N57" s="6">
        <f t="shared" si="24"/>
        <v>0</v>
      </c>
      <c r="O57" s="11"/>
      <c r="P57" s="7"/>
      <c r="Q57" s="2"/>
      <c r="R57" s="6">
        <f t="shared" si="25"/>
        <v>0</v>
      </c>
      <c r="S57" s="2"/>
      <c r="T57" s="7">
        <v>0</v>
      </c>
      <c r="U57" s="2"/>
      <c r="V57" s="6">
        <f t="shared" si="26"/>
        <v>0</v>
      </c>
      <c r="W57" s="2"/>
      <c r="X57" s="7">
        <f t="shared" si="27"/>
        <v>0</v>
      </c>
      <c r="Y57" s="2"/>
      <c r="Z57" s="6">
        <f t="shared" si="28"/>
        <v>0</v>
      </c>
    </row>
    <row r="58" spans="1:26" s="28" customFormat="1" outlineLevel="1" collapsed="1" x14ac:dyDescent="0.25">
      <c r="A58" s="27"/>
      <c r="B58" s="14" t="str">
        <f>CONCATENATE("     ","Advertising/Promo                                 ")</f>
        <v xml:space="preserve">     Advertising/Promo                                 </v>
      </c>
      <c r="C58" s="14"/>
      <c r="D58" s="1">
        <f>SUM(OSRRefD22_2x_0)</f>
        <v>0</v>
      </c>
      <c r="E58" s="1"/>
      <c r="F58" s="5">
        <f t="shared" ref="F58:F66" si="29">IF(D$12=0,0,D58/D$12)</f>
        <v>0</v>
      </c>
      <c r="G58" s="1"/>
      <c r="H58" s="1">
        <f>SUM(OSRRefH22_2x_0)</f>
        <v>100</v>
      </c>
      <c r="I58" s="1"/>
      <c r="J58" s="5">
        <f t="shared" ref="J58:J66" si="30">IF(H$12=0,0,H58/H$12)</f>
        <v>2.3014959723820484E-2</v>
      </c>
      <c r="K58" s="1"/>
      <c r="L58" s="1">
        <f t="shared" ref="L58:L66" si="31">+D58-H58</f>
        <v>-100</v>
      </c>
      <c r="M58" s="1"/>
      <c r="N58" s="5">
        <f t="shared" ref="N58:N66" si="32">IF(H58=0,0,L58/H58)</f>
        <v>-1</v>
      </c>
      <c r="O58" s="14"/>
      <c r="P58" s="1">
        <f>SUM(OSRRefP22_2x_0)</f>
        <v>124.72</v>
      </c>
      <c r="Q58" s="1"/>
      <c r="R58" s="5">
        <f t="shared" ref="R58:R66" si="33">IF(P$12=0,0,P58/P$12)</f>
        <v>5.8521240695347957E-3</v>
      </c>
      <c r="S58" s="1"/>
      <c r="T58" s="1">
        <f>SUM(OSRRefT22_2x_0)</f>
        <v>500</v>
      </c>
      <c r="U58" s="1"/>
      <c r="V58" s="5">
        <f t="shared" ref="V58:V66" si="34">IF(T$12=0,0,T58/T$12)</f>
        <v>1.0425571842615567E-2</v>
      </c>
      <c r="W58" s="1"/>
      <c r="X58" s="1">
        <f t="shared" ref="X58:X66" si="35">+P58-T58</f>
        <v>-375.28</v>
      </c>
      <c r="Y58" s="1"/>
      <c r="Z58" s="5">
        <f t="shared" ref="Z58:Z66" si="36">IF(T58=0,0,X58/T58)</f>
        <v>-0.75055999999999989</v>
      </c>
    </row>
    <row r="59" spans="1:26" s="24" customFormat="1" hidden="1" outlineLevel="2" x14ac:dyDescent="0.25">
      <c r="A59" s="29"/>
      <c r="B59" s="11" t="str">
        <f>CONCATENATE("          ", "6362", " - ", "ADVERTISING EXPENSE")</f>
        <v xml:space="preserve">          6362 - ADVERTISING EXPENSE</v>
      </c>
      <c r="C59" s="11"/>
      <c r="D59" s="7"/>
      <c r="E59" s="2"/>
      <c r="F59" s="6">
        <f t="shared" si="29"/>
        <v>0</v>
      </c>
      <c r="G59" s="2"/>
      <c r="H59" s="7">
        <v>100</v>
      </c>
      <c r="I59" s="2"/>
      <c r="J59" s="6">
        <f t="shared" si="30"/>
        <v>2.3014959723820484E-2</v>
      </c>
      <c r="K59" s="2"/>
      <c r="L59" s="7">
        <f t="shared" si="31"/>
        <v>-100</v>
      </c>
      <c r="M59" s="2"/>
      <c r="N59" s="6">
        <f t="shared" si="32"/>
        <v>-1</v>
      </c>
      <c r="O59" s="11"/>
      <c r="P59" s="7">
        <v>124.72</v>
      </c>
      <c r="Q59" s="2"/>
      <c r="R59" s="6">
        <f t="shared" si="33"/>
        <v>5.8521240695347957E-3</v>
      </c>
      <c r="S59" s="2"/>
      <c r="T59" s="7">
        <v>500</v>
      </c>
      <c r="U59" s="2"/>
      <c r="V59" s="6">
        <f t="shared" si="34"/>
        <v>1.0425571842615567E-2</v>
      </c>
      <c r="W59" s="2"/>
      <c r="X59" s="7">
        <f t="shared" si="35"/>
        <v>-375.28</v>
      </c>
      <c r="Y59" s="2"/>
      <c r="Z59" s="6">
        <f t="shared" si="36"/>
        <v>-0.75055999999999989</v>
      </c>
    </row>
    <row r="60" spans="1:26" s="28" customFormat="1" outlineLevel="1" collapsed="1" x14ac:dyDescent="0.25">
      <c r="A60" s="27"/>
      <c r="B60" s="14" t="str">
        <f>CONCATENATE("     ","Bad Debts/Over/Short                              ")</f>
        <v xml:space="preserve">     Bad Debts/Over/Short                              </v>
      </c>
      <c r="C60" s="14"/>
      <c r="D60" s="1">
        <f>SUM(OSRRefD22_3x_0)</f>
        <v>0</v>
      </c>
      <c r="E60" s="1"/>
      <c r="F60" s="5">
        <f t="shared" si="29"/>
        <v>0</v>
      </c>
      <c r="G60" s="1"/>
      <c r="H60" s="1">
        <f>SUM(OSRRefH22_3x_0)</f>
        <v>0</v>
      </c>
      <c r="I60" s="1"/>
      <c r="J60" s="5">
        <f t="shared" si="30"/>
        <v>0</v>
      </c>
      <c r="K60" s="1"/>
      <c r="L60" s="1">
        <f t="shared" si="31"/>
        <v>0</v>
      </c>
      <c r="M60" s="1"/>
      <c r="N60" s="5">
        <f t="shared" si="32"/>
        <v>0</v>
      </c>
      <c r="O60" s="14"/>
      <c r="P60" s="1">
        <f>SUM(OSRRefP22_3x_0)</f>
        <v>1.1000000000000001</v>
      </c>
      <c r="Q60" s="1"/>
      <c r="R60" s="5">
        <f t="shared" si="33"/>
        <v>5.1614307861516002E-5</v>
      </c>
      <c r="S60" s="1"/>
      <c r="T60" s="1">
        <f>SUM(OSRRefT22_3x_0)</f>
        <v>0</v>
      </c>
      <c r="U60" s="1"/>
      <c r="V60" s="5">
        <f t="shared" si="34"/>
        <v>0</v>
      </c>
      <c r="W60" s="1"/>
      <c r="X60" s="1">
        <f t="shared" si="35"/>
        <v>1.1000000000000001</v>
      </c>
      <c r="Y60" s="1"/>
      <c r="Z60" s="5">
        <f t="shared" si="36"/>
        <v>0</v>
      </c>
    </row>
    <row r="61" spans="1:26" s="24" customFormat="1" hidden="1" outlineLevel="2" x14ac:dyDescent="0.25">
      <c r="A61" s="29"/>
      <c r="B61" s="11" t="str">
        <f>CONCATENATE("          ", "6272", " - ", "CASH (OVER/SHORT)")</f>
        <v xml:space="preserve">          6272 - CASH (OVER/SHORT)</v>
      </c>
      <c r="C61" s="11"/>
      <c r="D61" s="7"/>
      <c r="E61" s="2"/>
      <c r="F61" s="6">
        <f t="shared" si="29"/>
        <v>0</v>
      </c>
      <c r="G61" s="2"/>
      <c r="H61" s="7"/>
      <c r="I61" s="2"/>
      <c r="J61" s="6">
        <f t="shared" si="30"/>
        <v>0</v>
      </c>
      <c r="K61" s="2"/>
      <c r="L61" s="7">
        <f t="shared" si="31"/>
        <v>0</v>
      </c>
      <c r="M61" s="2"/>
      <c r="N61" s="6">
        <f t="shared" si="32"/>
        <v>0</v>
      </c>
      <c r="O61" s="11"/>
      <c r="P61" s="7">
        <v>1.1000000000000001</v>
      </c>
      <c r="Q61" s="2"/>
      <c r="R61" s="6">
        <f t="shared" si="33"/>
        <v>5.1614307861516002E-5</v>
      </c>
      <c r="S61" s="2"/>
      <c r="T61" s="7"/>
      <c r="U61" s="2"/>
      <c r="V61" s="6">
        <f t="shared" si="34"/>
        <v>0</v>
      </c>
      <c r="W61" s="2"/>
      <c r="X61" s="7">
        <f t="shared" si="35"/>
        <v>1.1000000000000001</v>
      </c>
      <c r="Y61" s="2"/>
      <c r="Z61" s="6">
        <f t="shared" si="36"/>
        <v>0</v>
      </c>
    </row>
    <row r="62" spans="1:26" s="28" customFormat="1" outlineLevel="1" collapsed="1" x14ac:dyDescent="0.25">
      <c r="A62" s="27"/>
      <c r="B62" s="14" t="str">
        <f>CONCATENATE("     ","Bank/card Fees                                    ")</f>
        <v xml:space="preserve">     Bank/card Fees                                    </v>
      </c>
      <c r="C62" s="14"/>
      <c r="D62" s="1">
        <f>SUM(OSRRefD22_4x_0)</f>
        <v>0</v>
      </c>
      <c r="E62" s="1"/>
      <c r="F62" s="5">
        <f t="shared" si="29"/>
        <v>0</v>
      </c>
      <c r="G62" s="1"/>
      <c r="H62" s="1">
        <f>SUM(OSRRefH22_4x_0)</f>
        <v>0</v>
      </c>
      <c r="I62" s="1"/>
      <c r="J62" s="5">
        <f t="shared" si="30"/>
        <v>0</v>
      </c>
      <c r="K62" s="1"/>
      <c r="L62" s="1">
        <f t="shared" si="31"/>
        <v>0</v>
      </c>
      <c r="M62" s="1"/>
      <c r="N62" s="5">
        <f t="shared" si="32"/>
        <v>0</v>
      </c>
      <c r="O62" s="14"/>
      <c r="P62" s="1">
        <f>SUM(OSRRefP22_4x_0)</f>
        <v>0</v>
      </c>
      <c r="Q62" s="1"/>
      <c r="R62" s="5">
        <f t="shared" si="33"/>
        <v>0</v>
      </c>
      <c r="S62" s="1"/>
      <c r="T62" s="1">
        <f>SUM(OSRRefT22_4x_0)</f>
        <v>2797</v>
      </c>
      <c r="U62" s="1"/>
      <c r="V62" s="5">
        <f t="shared" si="34"/>
        <v>5.8320648887591482E-2</v>
      </c>
      <c r="W62" s="1"/>
      <c r="X62" s="1">
        <f t="shared" si="35"/>
        <v>-2797</v>
      </c>
      <c r="Y62" s="1"/>
      <c r="Z62" s="5">
        <f t="shared" si="36"/>
        <v>-1</v>
      </c>
    </row>
    <row r="63" spans="1:26" s="24" customFormat="1" hidden="1" outlineLevel="2" x14ac:dyDescent="0.25">
      <c r="A63" s="29"/>
      <c r="B63" s="11" t="str">
        <f>CONCATENATE("          ", "6381", " - ", "BANK/CREDIT CARD FEES")</f>
        <v xml:space="preserve">          6381 - BANK/CREDIT CARD FEES</v>
      </c>
      <c r="C63" s="11"/>
      <c r="D63" s="7"/>
      <c r="E63" s="2"/>
      <c r="F63" s="6">
        <f t="shared" si="29"/>
        <v>0</v>
      </c>
      <c r="G63" s="2"/>
      <c r="H63" s="7"/>
      <c r="I63" s="2"/>
      <c r="J63" s="6">
        <f t="shared" si="30"/>
        <v>0</v>
      </c>
      <c r="K63" s="2"/>
      <c r="L63" s="7">
        <f t="shared" si="31"/>
        <v>0</v>
      </c>
      <c r="M63" s="2"/>
      <c r="N63" s="6">
        <f t="shared" si="32"/>
        <v>0</v>
      </c>
      <c r="O63" s="11"/>
      <c r="P63" s="7"/>
      <c r="Q63" s="2"/>
      <c r="R63" s="6">
        <f t="shared" si="33"/>
        <v>0</v>
      </c>
      <c r="S63" s="2"/>
      <c r="T63" s="7">
        <v>2797</v>
      </c>
      <c r="U63" s="2"/>
      <c r="V63" s="6">
        <f t="shared" si="34"/>
        <v>5.8320648887591482E-2</v>
      </c>
      <c r="W63" s="2"/>
      <c r="X63" s="7">
        <f t="shared" si="35"/>
        <v>-2797</v>
      </c>
      <c r="Y63" s="2"/>
      <c r="Z63" s="6">
        <f t="shared" si="36"/>
        <v>-1</v>
      </c>
    </row>
    <row r="64" spans="1:26" s="28" customFormat="1" outlineLevel="1" collapsed="1" x14ac:dyDescent="0.25">
      <c r="A64" s="27"/>
      <c r="B64" s="14" t="str">
        <f>CONCATENATE("     ","Discounts and Markdowns                           ")</f>
        <v xml:space="preserve">     Discounts and Markdowns                           </v>
      </c>
      <c r="C64" s="14"/>
      <c r="D64" s="1">
        <f>SUM(OSRRefD22_5x_0)</f>
        <v>0</v>
      </c>
      <c r="E64" s="1"/>
      <c r="F64" s="5">
        <f t="shared" si="29"/>
        <v>0</v>
      </c>
      <c r="G64" s="1"/>
      <c r="H64" s="1">
        <f>SUM(OSRRefH22_5x_0)</f>
        <v>96</v>
      </c>
      <c r="I64" s="1"/>
      <c r="J64" s="5">
        <f t="shared" si="30"/>
        <v>2.2094361334867665E-2</v>
      </c>
      <c r="K64" s="1"/>
      <c r="L64" s="1">
        <f t="shared" si="31"/>
        <v>-96</v>
      </c>
      <c r="M64" s="1"/>
      <c r="N64" s="5">
        <f t="shared" si="32"/>
        <v>-1</v>
      </c>
      <c r="O64" s="14"/>
      <c r="P64" s="1">
        <f>SUM(OSRRefP22_5x_0)</f>
        <v>0</v>
      </c>
      <c r="Q64" s="1"/>
      <c r="R64" s="5">
        <f t="shared" si="33"/>
        <v>0</v>
      </c>
      <c r="S64" s="1"/>
      <c r="T64" s="1">
        <f>SUM(OSRRefT22_5x_0)</f>
        <v>1038</v>
      </c>
      <c r="U64" s="1"/>
      <c r="V64" s="5">
        <f t="shared" si="34"/>
        <v>2.1643487145269917E-2</v>
      </c>
      <c r="W64" s="1"/>
      <c r="X64" s="1">
        <f t="shared" si="35"/>
        <v>-1038</v>
      </c>
      <c r="Y64" s="1"/>
      <c r="Z64" s="5">
        <f t="shared" si="36"/>
        <v>-1</v>
      </c>
    </row>
    <row r="65" spans="1:26" s="24" customFormat="1" hidden="1" outlineLevel="2" x14ac:dyDescent="0.25">
      <c r="A65" s="29"/>
      <c r="B65" s="11" t="str">
        <f>CONCATENATE("          ", "6382", " - ", "DISCOUNTS/MARK DOWNS")</f>
        <v xml:space="preserve">          6382 - DISCOUNTS/MARK DOWNS</v>
      </c>
      <c r="C65" s="11"/>
      <c r="D65" s="7"/>
      <c r="E65" s="2"/>
      <c r="F65" s="6">
        <f t="shared" si="29"/>
        <v>0</v>
      </c>
      <c r="G65" s="2"/>
      <c r="H65" s="7">
        <v>96</v>
      </c>
      <c r="I65" s="2"/>
      <c r="J65" s="6">
        <f t="shared" si="30"/>
        <v>2.2094361334867665E-2</v>
      </c>
      <c r="K65" s="2"/>
      <c r="L65" s="7">
        <f t="shared" si="31"/>
        <v>-96</v>
      </c>
      <c r="M65" s="2"/>
      <c r="N65" s="6">
        <f t="shared" si="32"/>
        <v>-1</v>
      </c>
      <c r="O65" s="11"/>
      <c r="P65" s="7"/>
      <c r="Q65" s="2"/>
      <c r="R65" s="6">
        <f t="shared" si="33"/>
        <v>0</v>
      </c>
      <c r="S65" s="2"/>
      <c r="T65" s="7">
        <v>1038</v>
      </c>
      <c r="U65" s="2"/>
      <c r="V65" s="6">
        <f t="shared" si="34"/>
        <v>2.1643487145269917E-2</v>
      </c>
      <c r="W65" s="2"/>
      <c r="X65" s="7">
        <f t="shared" si="35"/>
        <v>-1038</v>
      </c>
      <c r="Y65" s="2"/>
      <c r="Z65" s="6">
        <f t="shared" si="36"/>
        <v>-1</v>
      </c>
    </row>
    <row r="66" spans="1:26" s="24" customFormat="1" hidden="1" outlineLevel="2" x14ac:dyDescent="0.25">
      <c r="A66" s="29"/>
      <c r="B66" s="11" t="str">
        <f>CONCATENATE("          ", "9175", " - ", "EARNED DISCOUNTS")</f>
        <v xml:space="preserve">          9175 - EARNED DISCOUNTS</v>
      </c>
      <c r="C66" s="11"/>
      <c r="D66" s="7"/>
      <c r="E66" s="2"/>
      <c r="F66" s="6">
        <f t="shared" si="29"/>
        <v>0</v>
      </c>
      <c r="G66" s="2"/>
      <c r="H66" s="7"/>
      <c r="I66" s="2"/>
      <c r="J66" s="6">
        <f t="shared" si="30"/>
        <v>0</v>
      </c>
      <c r="K66" s="2"/>
      <c r="L66" s="7">
        <f t="shared" si="31"/>
        <v>0</v>
      </c>
      <c r="M66" s="2"/>
      <c r="N66" s="6">
        <f t="shared" si="32"/>
        <v>0</v>
      </c>
      <c r="O66" s="11"/>
      <c r="P66" s="7">
        <v>0</v>
      </c>
      <c r="Q66" s="2"/>
      <c r="R66" s="6">
        <f t="shared" si="33"/>
        <v>0</v>
      </c>
      <c r="S66" s="2"/>
      <c r="T66" s="7"/>
      <c r="U66" s="2"/>
      <c r="V66" s="6">
        <f t="shared" si="34"/>
        <v>0</v>
      </c>
      <c r="W66" s="2"/>
      <c r="X66" s="7">
        <f t="shared" si="35"/>
        <v>0</v>
      </c>
      <c r="Y66" s="2"/>
      <c r="Z66" s="6">
        <f t="shared" si="36"/>
        <v>0</v>
      </c>
    </row>
    <row r="67" spans="1:26" s="28" customFormat="1" outlineLevel="1" collapsed="1" x14ac:dyDescent="0.25">
      <c r="A67" s="27"/>
      <c r="B67" s="14" t="str">
        <f>CONCATENATE("     ","Freight out/Postage                               ")</f>
        <v xml:space="preserve">     Freight out/Postage                               </v>
      </c>
      <c r="C67" s="14"/>
      <c r="D67" s="1">
        <f>SUM(OSRRefD22_6x_0)</f>
        <v>0</v>
      </c>
      <c r="E67" s="1"/>
      <c r="F67" s="5">
        <f t="shared" ref="F67:F75" si="37">IF(D$12=0,0,D67/D$12)</f>
        <v>0</v>
      </c>
      <c r="G67" s="1"/>
      <c r="H67" s="1">
        <f>SUM(OSRRefH22_6x_0)</f>
        <v>258</v>
      </c>
      <c r="I67" s="1"/>
      <c r="J67" s="5">
        <f t="shared" ref="J67:J75" si="38">IF(H$12=0,0,H67/H$12)</f>
        <v>5.9378596087456846E-2</v>
      </c>
      <c r="K67" s="1"/>
      <c r="L67" s="1">
        <f t="shared" ref="L67:L75" si="39">+D67-H67</f>
        <v>-258</v>
      </c>
      <c r="M67" s="1"/>
      <c r="N67" s="5">
        <f t="shared" ref="N67:N75" si="40">IF(H67=0,0,L67/H67)</f>
        <v>-1</v>
      </c>
      <c r="O67" s="14"/>
      <c r="P67" s="1">
        <f>SUM(OSRRefP22_6x_0)</f>
        <v>0</v>
      </c>
      <c r="Q67" s="1"/>
      <c r="R67" s="5">
        <f t="shared" ref="R67:R75" si="41">IF(P$12=0,0,P67/P$12)</f>
        <v>0</v>
      </c>
      <c r="S67" s="1"/>
      <c r="T67" s="1">
        <f>SUM(OSRRefT22_6x_0)</f>
        <v>1145</v>
      </c>
      <c r="U67" s="1"/>
      <c r="V67" s="5">
        <f t="shared" ref="V67:V75" si="42">IF(T$12=0,0,T67/T$12)</f>
        <v>2.3874559519589649E-2</v>
      </c>
      <c r="W67" s="1"/>
      <c r="X67" s="1">
        <f t="shared" ref="X67:X75" si="43">+P67-T67</f>
        <v>-1145</v>
      </c>
      <c r="Y67" s="1"/>
      <c r="Z67" s="5">
        <f t="shared" ref="Z67:Z75" si="44">IF(T67=0,0,X67/T67)</f>
        <v>-1</v>
      </c>
    </row>
    <row r="68" spans="1:26" s="24" customFormat="1" hidden="1" outlineLevel="2" x14ac:dyDescent="0.25">
      <c r="A68" s="29"/>
      <c r="B68" s="11" t="str">
        <f>CONCATENATE("          ", "6305", " - ", "FREIGHT OUT")</f>
        <v xml:space="preserve">          6305 - FREIGHT OUT</v>
      </c>
      <c r="C68" s="11"/>
      <c r="D68" s="7"/>
      <c r="E68" s="2"/>
      <c r="F68" s="6">
        <f t="shared" si="37"/>
        <v>0</v>
      </c>
      <c r="G68" s="2"/>
      <c r="H68" s="7">
        <v>258</v>
      </c>
      <c r="I68" s="2"/>
      <c r="J68" s="6">
        <f t="shared" si="38"/>
        <v>5.9378596087456846E-2</v>
      </c>
      <c r="K68" s="2"/>
      <c r="L68" s="7">
        <f t="shared" si="39"/>
        <v>-258</v>
      </c>
      <c r="M68" s="2"/>
      <c r="N68" s="6">
        <f t="shared" si="40"/>
        <v>-1</v>
      </c>
      <c r="O68" s="11"/>
      <c r="P68" s="7"/>
      <c r="Q68" s="2"/>
      <c r="R68" s="6">
        <f t="shared" si="41"/>
        <v>0</v>
      </c>
      <c r="S68" s="2"/>
      <c r="T68" s="7">
        <v>1145</v>
      </c>
      <c r="U68" s="2"/>
      <c r="V68" s="6">
        <f t="shared" si="42"/>
        <v>2.3874559519589649E-2</v>
      </c>
      <c r="W68" s="2"/>
      <c r="X68" s="7">
        <f t="shared" si="43"/>
        <v>-1145</v>
      </c>
      <c r="Y68" s="2"/>
      <c r="Z68" s="6">
        <f t="shared" si="44"/>
        <v>-1</v>
      </c>
    </row>
    <row r="69" spans="1:26" s="28" customFormat="1" outlineLevel="1" collapsed="1" x14ac:dyDescent="0.25">
      <c r="A69" s="27"/>
      <c r="B69" s="14" t="str">
        <f>CONCATENATE("     ","General                                           ")</f>
        <v xml:space="preserve">     General                                           </v>
      </c>
      <c r="C69" s="14"/>
      <c r="D69" s="1">
        <f>SUM(OSRRefD22_7x_0)</f>
        <v>160</v>
      </c>
      <c r="E69" s="1"/>
      <c r="F69" s="5">
        <f t="shared" si="37"/>
        <v>0</v>
      </c>
      <c r="G69" s="1"/>
      <c r="H69" s="1">
        <f>SUM(OSRRefH22_7x_0)</f>
        <v>0</v>
      </c>
      <c r="I69" s="1"/>
      <c r="J69" s="5">
        <f t="shared" si="38"/>
        <v>0</v>
      </c>
      <c r="K69" s="1"/>
      <c r="L69" s="1">
        <f t="shared" si="39"/>
        <v>160</v>
      </c>
      <c r="M69" s="1"/>
      <c r="N69" s="5">
        <f t="shared" si="40"/>
        <v>0</v>
      </c>
      <c r="O69" s="14"/>
      <c r="P69" s="1">
        <f>SUM(OSRRefP22_7x_0)</f>
        <v>879.55</v>
      </c>
      <c r="Q69" s="1"/>
      <c r="R69" s="5">
        <f t="shared" si="41"/>
        <v>4.1270331345087632E-2</v>
      </c>
      <c r="S69" s="1"/>
      <c r="T69" s="1">
        <f>SUM(OSRRefT22_7x_0)</f>
        <v>1000</v>
      </c>
      <c r="U69" s="1"/>
      <c r="V69" s="5">
        <f t="shared" si="42"/>
        <v>2.0851143685231135E-2</v>
      </c>
      <c r="W69" s="1"/>
      <c r="X69" s="1">
        <f t="shared" si="43"/>
        <v>-120.45000000000005</v>
      </c>
      <c r="Y69" s="1"/>
      <c r="Z69" s="5">
        <f t="shared" si="44"/>
        <v>-0.12045000000000004</v>
      </c>
    </row>
    <row r="70" spans="1:26" s="24" customFormat="1" hidden="1" outlineLevel="2" x14ac:dyDescent="0.25">
      <c r="A70" s="29"/>
      <c r="B70" s="11" t="str">
        <f>CONCATENATE("          ", "6279", " - ", "GENERAL EXPENSE")</f>
        <v xml:space="preserve">          6279 - GENERAL EXPENSE</v>
      </c>
      <c r="C70" s="11"/>
      <c r="D70" s="7">
        <v>160</v>
      </c>
      <c r="E70" s="2"/>
      <c r="F70" s="6">
        <f t="shared" si="37"/>
        <v>0</v>
      </c>
      <c r="G70" s="2"/>
      <c r="H70" s="7"/>
      <c r="I70" s="2"/>
      <c r="J70" s="6">
        <f t="shared" si="38"/>
        <v>0</v>
      </c>
      <c r="K70" s="2"/>
      <c r="L70" s="7">
        <f t="shared" si="39"/>
        <v>160</v>
      </c>
      <c r="M70" s="2"/>
      <c r="N70" s="6">
        <f t="shared" si="40"/>
        <v>0</v>
      </c>
      <c r="O70" s="11"/>
      <c r="P70" s="7">
        <v>879.55</v>
      </c>
      <c r="Q70" s="2"/>
      <c r="R70" s="6">
        <f t="shared" si="41"/>
        <v>4.1270331345087632E-2</v>
      </c>
      <c r="S70" s="2"/>
      <c r="T70" s="7">
        <v>1000</v>
      </c>
      <c r="U70" s="2"/>
      <c r="V70" s="6">
        <f t="shared" si="42"/>
        <v>2.0851143685231135E-2</v>
      </c>
      <c r="W70" s="2"/>
      <c r="X70" s="7">
        <f t="shared" si="43"/>
        <v>-120.45000000000005</v>
      </c>
      <c r="Y70" s="2"/>
      <c r="Z70" s="6">
        <f t="shared" si="44"/>
        <v>-0.12045000000000004</v>
      </c>
    </row>
    <row r="71" spans="1:26" s="28" customFormat="1" outlineLevel="1" collapsed="1" x14ac:dyDescent="0.25">
      <c r="A71" s="27"/>
      <c r="B71" s="14" t="str">
        <f>CONCATENATE("     ","Professional Services                             ")</f>
        <v xml:space="preserve">     Professional Services                             </v>
      </c>
      <c r="C71" s="14"/>
      <c r="D71" s="1">
        <f>SUM(OSRRefD22_8x_0)</f>
        <v>0</v>
      </c>
      <c r="E71" s="1"/>
      <c r="F71" s="5">
        <f t="shared" si="37"/>
        <v>0</v>
      </c>
      <c r="G71" s="1"/>
      <c r="H71" s="1">
        <f>SUM(OSRRefH22_8x_0)</f>
        <v>0</v>
      </c>
      <c r="I71" s="1"/>
      <c r="J71" s="5">
        <f t="shared" si="38"/>
        <v>0</v>
      </c>
      <c r="K71" s="1"/>
      <c r="L71" s="1">
        <f t="shared" si="39"/>
        <v>0</v>
      </c>
      <c r="M71" s="1"/>
      <c r="N71" s="5">
        <f t="shared" si="40"/>
        <v>0</v>
      </c>
      <c r="O71" s="14"/>
      <c r="P71" s="1">
        <f>SUM(OSRRefP22_8x_0)</f>
        <v>0</v>
      </c>
      <c r="Q71" s="1"/>
      <c r="R71" s="5">
        <f t="shared" si="41"/>
        <v>0</v>
      </c>
      <c r="S71" s="1"/>
      <c r="T71" s="1">
        <f>SUM(OSRRefT22_8x_0)</f>
        <v>800</v>
      </c>
      <c r="U71" s="1"/>
      <c r="V71" s="5">
        <f t="shared" si="42"/>
        <v>1.6680914948184907E-2</v>
      </c>
      <c r="W71" s="1"/>
      <c r="X71" s="1">
        <f t="shared" si="43"/>
        <v>-800</v>
      </c>
      <c r="Y71" s="1"/>
      <c r="Z71" s="5">
        <f t="shared" si="44"/>
        <v>-1</v>
      </c>
    </row>
    <row r="72" spans="1:26" s="24" customFormat="1" hidden="1" outlineLevel="2" x14ac:dyDescent="0.25">
      <c r="A72" s="29"/>
      <c r="B72" s="11" t="str">
        <f>CONCATENATE("          ", "6336", " - ", "PROFESSIONAL SERVICES")</f>
        <v xml:space="preserve">          6336 - PROFESSIONAL SERVICES</v>
      </c>
      <c r="C72" s="11"/>
      <c r="D72" s="7"/>
      <c r="E72" s="2"/>
      <c r="F72" s="6">
        <f t="shared" si="37"/>
        <v>0</v>
      </c>
      <c r="G72" s="2"/>
      <c r="H72" s="7"/>
      <c r="I72" s="2"/>
      <c r="J72" s="6">
        <f t="shared" si="38"/>
        <v>0</v>
      </c>
      <c r="K72" s="2"/>
      <c r="L72" s="7">
        <f t="shared" si="39"/>
        <v>0</v>
      </c>
      <c r="M72" s="2"/>
      <c r="N72" s="6">
        <f t="shared" si="40"/>
        <v>0</v>
      </c>
      <c r="O72" s="11"/>
      <c r="P72" s="7"/>
      <c r="Q72" s="2"/>
      <c r="R72" s="6">
        <f t="shared" si="41"/>
        <v>0</v>
      </c>
      <c r="S72" s="2"/>
      <c r="T72" s="7">
        <v>800</v>
      </c>
      <c r="U72" s="2"/>
      <c r="V72" s="6">
        <f t="shared" si="42"/>
        <v>1.6680914948184907E-2</v>
      </c>
      <c r="W72" s="2"/>
      <c r="X72" s="7">
        <f t="shared" si="43"/>
        <v>-800</v>
      </c>
      <c r="Y72" s="2"/>
      <c r="Z72" s="6">
        <f t="shared" si="44"/>
        <v>-1</v>
      </c>
    </row>
    <row r="73" spans="1:26" s="28" customFormat="1" outlineLevel="1" collapsed="1" x14ac:dyDescent="0.25">
      <c r="A73" s="27"/>
      <c r="B73" s="14" t="str">
        <f>CONCATENATE("     ","Repair and Maintenance                            ")</f>
        <v xml:space="preserve">     Repair and Maintenance                            </v>
      </c>
      <c r="C73" s="14"/>
      <c r="D73" s="1">
        <f>SUM(OSRRefD22_9x_0)</f>
        <v>61.11</v>
      </c>
      <c r="E73" s="1"/>
      <c r="F73" s="5">
        <f t="shared" si="37"/>
        <v>0</v>
      </c>
      <c r="G73" s="1"/>
      <c r="H73" s="1">
        <f>SUM(OSRRefH22_9x_0)</f>
        <v>100</v>
      </c>
      <c r="I73" s="1"/>
      <c r="J73" s="5">
        <f t="shared" si="38"/>
        <v>2.3014959723820484E-2</v>
      </c>
      <c r="K73" s="1"/>
      <c r="L73" s="1">
        <f t="shared" si="39"/>
        <v>-38.89</v>
      </c>
      <c r="M73" s="1"/>
      <c r="N73" s="5">
        <f t="shared" si="40"/>
        <v>-0.38890000000000002</v>
      </c>
      <c r="O73" s="14"/>
      <c r="P73" s="1">
        <f>SUM(OSRRefP22_9x_0)</f>
        <v>200.82</v>
      </c>
      <c r="Q73" s="1"/>
      <c r="R73" s="5">
        <f t="shared" si="41"/>
        <v>9.4228957315905838E-3</v>
      </c>
      <c r="S73" s="1"/>
      <c r="T73" s="1">
        <f>SUM(OSRRefT22_9x_0)</f>
        <v>600</v>
      </c>
      <c r="U73" s="1"/>
      <c r="V73" s="5">
        <f t="shared" si="42"/>
        <v>1.2510686211138681E-2</v>
      </c>
      <c r="W73" s="1"/>
      <c r="X73" s="1">
        <f t="shared" si="43"/>
        <v>-399.18</v>
      </c>
      <c r="Y73" s="1"/>
      <c r="Z73" s="5">
        <f t="shared" si="44"/>
        <v>-0.6653</v>
      </c>
    </row>
    <row r="74" spans="1:26" s="24" customFormat="1" hidden="1" outlineLevel="2" x14ac:dyDescent="0.25">
      <c r="A74" s="29"/>
      <c r="B74" s="11" t="str">
        <f>CONCATENATE("          ", "6373", " - ", "MAINTENANCE CONTRACTS")</f>
        <v xml:space="preserve">          6373 - MAINTENANCE CONTRACTS</v>
      </c>
      <c r="C74" s="11"/>
      <c r="D74" s="7">
        <v>61.11</v>
      </c>
      <c r="E74" s="2"/>
      <c r="F74" s="6">
        <f t="shared" si="37"/>
        <v>0</v>
      </c>
      <c r="G74" s="2"/>
      <c r="H74" s="7"/>
      <c r="I74" s="2"/>
      <c r="J74" s="6">
        <f t="shared" si="38"/>
        <v>0</v>
      </c>
      <c r="K74" s="2"/>
      <c r="L74" s="7">
        <f t="shared" si="39"/>
        <v>61.11</v>
      </c>
      <c r="M74" s="2"/>
      <c r="N74" s="6">
        <f t="shared" si="40"/>
        <v>0</v>
      </c>
      <c r="O74" s="11"/>
      <c r="P74" s="7">
        <v>200.82</v>
      </c>
      <c r="Q74" s="2"/>
      <c r="R74" s="6">
        <f t="shared" si="41"/>
        <v>9.4228957315905838E-3</v>
      </c>
      <c r="S74" s="2"/>
      <c r="T74" s="7"/>
      <c r="U74" s="2"/>
      <c r="V74" s="6">
        <f t="shared" si="42"/>
        <v>0</v>
      </c>
      <c r="W74" s="2"/>
      <c r="X74" s="7">
        <f t="shared" si="43"/>
        <v>200.82</v>
      </c>
      <c r="Y74" s="2"/>
      <c r="Z74" s="6">
        <f t="shared" si="44"/>
        <v>0</v>
      </c>
    </row>
    <row r="75" spans="1:26" s="24" customFormat="1" hidden="1" outlineLevel="2" x14ac:dyDescent="0.25">
      <c r="A75" s="29"/>
      <c r="B75" s="11" t="str">
        <f>CONCATENATE("          ", "6375", " - ", "OUTSIDE REPAIRS &amp; MAINTENANCE")</f>
        <v xml:space="preserve">          6375 - OUTSIDE REPAIRS &amp; MAINTENANCE</v>
      </c>
      <c r="C75" s="11"/>
      <c r="D75" s="7"/>
      <c r="E75" s="2"/>
      <c r="F75" s="6">
        <f t="shared" si="37"/>
        <v>0</v>
      </c>
      <c r="G75" s="2"/>
      <c r="H75" s="7">
        <v>100</v>
      </c>
      <c r="I75" s="2"/>
      <c r="J75" s="6">
        <f t="shared" si="38"/>
        <v>2.3014959723820484E-2</v>
      </c>
      <c r="K75" s="2"/>
      <c r="L75" s="7">
        <f t="shared" si="39"/>
        <v>-100</v>
      </c>
      <c r="M75" s="2"/>
      <c r="N75" s="6">
        <f t="shared" si="40"/>
        <v>-1</v>
      </c>
      <c r="O75" s="11"/>
      <c r="P75" s="7"/>
      <c r="Q75" s="2"/>
      <c r="R75" s="6">
        <f t="shared" si="41"/>
        <v>0</v>
      </c>
      <c r="S75" s="2"/>
      <c r="T75" s="7">
        <v>600</v>
      </c>
      <c r="U75" s="2"/>
      <c r="V75" s="6">
        <f t="shared" si="42"/>
        <v>1.2510686211138681E-2</v>
      </c>
      <c r="W75" s="2"/>
      <c r="X75" s="7">
        <f t="shared" si="43"/>
        <v>-600</v>
      </c>
      <c r="Y75" s="2"/>
      <c r="Z75" s="6">
        <f t="shared" si="44"/>
        <v>-1</v>
      </c>
    </row>
    <row r="76" spans="1:26" s="28" customFormat="1" outlineLevel="1" collapsed="1" x14ac:dyDescent="0.25">
      <c r="A76" s="27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SUM(OSRRefD22_10x_0)</f>
        <v>0</v>
      </c>
      <c r="E76" s="1"/>
      <c r="F76" s="5">
        <f t="shared" ref="F76:F78" si="45">IF(D$12=0,0,D76/D$12)</f>
        <v>0</v>
      </c>
      <c r="G76" s="1"/>
      <c r="H76" s="1">
        <f>SUM(OSRRefH22_10x_0)</f>
        <v>274</v>
      </c>
      <c r="I76" s="1"/>
      <c r="J76" s="5">
        <f t="shared" ref="J76:J78" si="46">IF(H$12=0,0,H76/H$12)</f>
        <v>6.3060989643268131E-2</v>
      </c>
      <c r="K76" s="1"/>
      <c r="L76" s="1">
        <f t="shared" ref="L76:L78" si="47">+D76-H76</f>
        <v>-274</v>
      </c>
      <c r="M76" s="1"/>
      <c r="N76" s="5">
        <f t="shared" ref="N76:N78" si="48">IF(H76=0,0,L76/H76)</f>
        <v>-1</v>
      </c>
      <c r="O76" s="14"/>
      <c r="P76" s="1">
        <f>SUM(OSRRefP22_10x_0)</f>
        <v>18.5</v>
      </c>
      <c r="Q76" s="1"/>
      <c r="R76" s="5">
        <f t="shared" ref="R76:R78" si="49">IF(P$12=0,0,P76/P$12)</f>
        <v>8.6805881403458724E-4</v>
      </c>
      <c r="S76" s="1"/>
      <c r="T76" s="1">
        <f>SUM(OSRRefT22_10x_0)</f>
        <v>1370</v>
      </c>
      <c r="U76" s="1"/>
      <c r="V76" s="5">
        <f t="shared" ref="V76:V78" si="50">IF(T$12=0,0,T76/T$12)</f>
        <v>2.8566066848766655E-2</v>
      </c>
      <c r="W76" s="1"/>
      <c r="X76" s="1">
        <f t="shared" ref="X76:X78" si="51">+P76-T76</f>
        <v>-1351.5</v>
      </c>
      <c r="Y76" s="1"/>
      <c r="Z76" s="5">
        <f t="shared" ref="Z76:Z78" si="52">IF(T76=0,0,X76/T76)</f>
        <v>-0.98649635036496353</v>
      </c>
    </row>
    <row r="77" spans="1:26" s="24" customFormat="1" hidden="1" outlineLevel="2" x14ac:dyDescent="0.25">
      <c r="A77" s="29"/>
      <c r="B77" s="11" t="str">
        <f>CONCATENATE("          ", "6282", " - ", "JANITORIAL/EXTERMINATOR EXPENS")</f>
        <v xml:space="preserve">          6282 - JANITORIAL/EXTERMINATOR EXPENS</v>
      </c>
      <c r="C77" s="11"/>
      <c r="D77" s="7"/>
      <c r="E77" s="2"/>
      <c r="F77" s="6">
        <f t="shared" si="45"/>
        <v>0</v>
      </c>
      <c r="G77" s="2"/>
      <c r="H77" s="7"/>
      <c r="I77" s="2"/>
      <c r="J77" s="6">
        <f t="shared" si="46"/>
        <v>0</v>
      </c>
      <c r="K77" s="2"/>
      <c r="L77" s="7">
        <f t="shared" si="47"/>
        <v>0</v>
      </c>
      <c r="M77" s="2"/>
      <c r="N77" s="6">
        <f t="shared" si="48"/>
        <v>0</v>
      </c>
      <c r="O77" s="11"/>
      <c r="P77" s="7">
        <v>176</v>
      </c>
      <c r="Q77" s="2"/>
      <c r="R77" s="6">
        <f t="shared" si="49"/>
        <v>8.2582892578425601E-3</v>
      </c>
      <c r="S77" s="2"/>
      <c r="T77" s="7"/>
      <c r="U77" s="2"/>
      <c r="V77" s="6">
        <f t="shared" si="50"/>
        <v>0</v>
      </c>
      <c r="W77" s="2"/>
      <c r="X77" s="7">
        <f t="shared" si="51"/>
        <v>176</v>
      </c>
      <c r="Y77" s="2"/>
      <c r="Z77" s="6">
        <f t="shared" si="52"/>
        <v>0</v>
      </c>
    </row>
    <row r="78" spans="1:26" s="24" customFormat="1" hidden="1" outlineLevel="2" x14ac:dyDescent="0.25">
      <c r="A78" s="29"/>
      <c r="B78" s="11" t="str">
        <f>CONCATENATE("          ", "6285", " - ", "JANITORIAL SERVICES")</f>
        <v xml:space="preserve">          6285 - JANITORIAL SERVICES</v>
      </c>
      <c r="C78" s="11"/>
      <c r="D78" s="7"/>
      <c r="E78" s="2"/>
      <c r="F78" s="6">
        <f t="shared" si="45"/>
        <v>0</v>
      </c>
      <c r="G78" s="2"/>
      <c r="H78" s="7">
        <v>274</v>
      </c>
      <c r="I78" s="2"/>
      <c r="J78" s="6">
        <f t="shared" si="46"/>
        <v>6.3060989643268131E-2</v>
      </c>
      <c r="K78" s="2"/>
      <c r="L78" s="7">
        <f t="shared" si="47"/>
        <v>-274</v>
      </c>
      <c r="M78" s="2"/>
      <c r="N78" s="6">
        <f t="shared" si="48"/>
        <v>-1</v>
      </c>
      <c r="O78" s="11"/>
      <c r="P78" s="7">
        <v>-157.5</v>
      </c>
      <c r="Q78" s="2"/>
      <c r="R78" s="6">
        <f t="shared" si="49"/>
        <v>-7.3902304438079732E-3</v>
      </c>
      <c r="S78" s="2"/>
      <c r="T78" s="7">
        <v>1370</v>
      </c>
      <c r="U78" s="2"/>
      <c r="V78" s="6">
        <f t="shared" si="50"/>
        <v>2.8566066848766655E-2</v>
      </c>
      <c r="W78" s="2"/>
      <c r="X78" s="7">
        <f t="shared" si="51"/>
        <v>-1527.5</v>
      </c>
      <c r="Y78" s="2"/>
      <c r="Z78" s="6">
        <f t="shared" si="52"/>
        <v>-1.114963503649635</v>
      </c>
    </row>
    <row r="79" spans="1:26" s="28" customFormat="1" outlineLevel="1" collapsed="1" x14ac:dyDescent="0.25">
      <c r="A79" s="27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SUM(OSRRefD22_11x_0)</f>
        <v>0</v>
      </c>
      <c r="E79" s="1"/>
      <c r="F79" s="5">
        <f t="shared" ref="F79:F83" si="53">IF(D$12=0,0,D79/D$12)</f>
        <v>0</v>
      </c>
      <c r="G79" s="1"/>
      <c r="H79" s="1">
        <f>SUM(OSRRefH22_11x_0)</f>
        <v>300</v>
      </c>
      <c r="I79" s="1"/>
      <c r="J79" s="5">
        <f t="shared" ref="J79:J83" si="54">IF(H$12=0,0,H79/H$12)</f>
        <v>6.9044879171461446E-2</v>
      </c>
      <c r="K79" s="1"/>
      <c r="L79" s="1">
        <f t="shared" ref="L79:L83" si="55">+D79-H79</f>
        <v>-300</v>
      </c>
      <c r="M79" s="1"/>
      <c r="N79" s="5">
        <f t="shared" ref="N79:N83" si="56">IF(H79=0,0,L79/H79)</f>
        <v>-1</v>
      </c>
      <c r="O79" s="14"/>
      <c r="P79" s="1">
        <f>SUM(OSRRefP22_11x_0)</f>
        <v>1892.27</v>
      </c>
      <c r="Q79" s="1"/>
      <c r="R79" s="5">
        <f t="shared" ref="R79:R83" si="57">IF(P$12=0,0,P79/P$12)</f>
        <v>8.8789278488282622E-2</v>
      </c>
      <c r="S79" s="1"/>
      <c r="T79" s="1">
        <f>SUM(OSRRefT22_11x_0)</f>
        <v>1600</v>
      </c>
      <c r="U79" s="1"/>
      <c r="V79" s="5">
        <f t="shared" ref="V79:V83" si="58">IF(T$12=0,0,T79/T$12)</f>
        <v>3.3361829896369814E-2</v>
      </c>
      <c r="W79" s="1"/>
      <c r="X79" s="1">
        <f t="shared" ref="X79:X83" si="59">+P79-T79</f>
        <v>292.27</v>
      </c>
      <c r="Y79" s="1"/>
      <c r="Z79" s="5">
        <f t="shared" ref="Z79:Z83" si="60">IF(T79=0,0,X79/T79)</f>
        <v>0.18266874999999999</v>
      </c>
    </row>
    <row r="80" spans="1:26" s="24" customFormat="1" hidden="1" outlineLevel="2" x14ac:dyDescent="0.25">
      <c r="A80" s="29"/>
      <c r="B80" s="11" t="str">
        <f>CONCATENATE("          ", "6235", " - ", "COVID-19 EXPENSES")</f>
        <v xml:space="preserve">          6235 - COVID-19 EXPENSES</v>
      </c>
      <c r="C80" s="11"/>
      <c r="D80" s="7"/>
      <c r="E80" s="2"/>
      <c r="F80" s="6">
        <f t="shared" si="53"/>
        <v>0</v>
      </c>
      <c r="G80" s="2"/>
      <c r="H80" s="7">
        <v>200</v>
      </c>
      <c r="I80" s="2"/>
      <c r="J80" s="6">
        <f t="shared" si="54"/>
        <v>4.6029919447640968E-2</v>
      </c>
      <c r="K80" s="2"/>
      <c r="L80" s="7">
        <f t="shared" si="55"/>
        <v>-200</v>
      </c>
      <c r="M80" s="2"/>
      <c r="N80" s="6">
        <f t="shared" si="56"/>
        <v>-1</v>
      </c>
      <c r="O80" s="11"/>
      <c r="P80" s="7">
        <v>444.3</v>
      </c>
      <c r="Q80" s="2"/>
      <c r="R80" s="6">
        <f t="shared" si="57"/>
        <v>2.0847488166246871E-2</v>
      </c>
      <c r="S80" s="2"/>
      <c r="T80" s="7">
        <v>1000</v>
      </c>
      <c r="U80" s="2"/>
      <c r="V80" s="6">
        <f t="shared" si="58"/>
        <v>2.0851143685231135E-2</v>
      </c>
      <c r="W80" s="2"/>
      <c r="X80" s="7">
        <f t="shared" si="59"/>
        <v>-555.70000000000005</v>
      </c>
      <c r="Y80" s="2"/>
      <c r="Z80" s="6">
        <f t="shared" si="60"/>
        <v>-0.55570000000000008</v>
      </c>
    </row>
    <row r="81" spans="1:26" s="24" customFormat="1" hidden="1" outlineLevel="2" x14ac:dyDescent="0.25">
      <c r="A81" s="29"/>
      <c r="B81" s="11" t="str">
        <f>CONCATENATE("          ", "6241", " - ", "OFFICE EXPENSE")</f>
        <v xml:space="preserve">          6241 - OFFICE EXPENSE</v>
      </c>
      <c r="C81" s="11"/>
      <c r="D81" s="7"/>
      <c r="E81" s="2"/>
      <c r="F81" s="6">
        <f t="shared" si="53"/>
        <v>0</v>
      </c>
      <c r="G81" s="2"/>
      <c r="H81" s="7"/>
      <c r="I81" s="2"/>
      <c r="J81" s="6">
        <f t="shared" si="54"/>
        <v>0</v>
      </c>
      <c r="K81" s="2"/>
      <c r="L81" s="7">
        <f t="shared" si="55"/>
        <v>0</v>
      </c>
      <c r="M81" s="2"/>
      <c r="N81" s="6">
        <f t="shared" si="56"/>
        <v>0</v>
      </c>
      <c r="O81" s="11"/>
      <c r="P81" s="7">
        <v>225.24</v>
      </c>
      <c r="Q81" s="2"/>
      <c r="R81" s="6">
        <f t="shared" si="57"/>
        <v>1.056873336611624E-2</v>
      </c>
      <c r="S81" s="2"/>
      <c r="T81" s="7"/>
      <c r="U81" s="2"/>
      <c r="V81" s="6">
        <f t="shared" si="58"/>
        <v>0</v>
      </c>
      <c r="W81" s="2"/>
      <c r="X81" s="7">
        <f t="shared" si="59"/>
        <v>225.24</v>
      </c>
      <c r="Y81" s="2"/>
      <c r="Z81" s="6">
        <f t="shared" si="60"/>
        <v>0</v>
      </c>
    </row>
    <row r="82" spans="1:26" s="24" customFormat="1" hidden="1" outlineLevel="2" x14ac:dyDescent="0.25">
      <c r="A82" s="29"/>
      <c r="B82" s="11" t="str">
        <f>CONCATENATE("          ", "6247", " - ", "STORE SUPPLIES")</f>
        <v xml:space="preserve">          6247 - STORE SUPPLIES</v>
      </c>
      <c r="C82" s="11"/>
      <c r="D82" s="7"/>
      <c r="E82" s="2"/>
      <c r="F82" s="6">
        <f t="shared" si="53"/>
        <v>0</v>
      </c>
      <c r="G82" s="2"/>
      <c r="H82" s="7">
        <v>100</v>
      </c>
      <c r="I82" s="2"/>
      <c r="J82" s="6">
        <f t="shared" si="54"/>
        <v>2.3014959723820484E-2</v>
      </c>
      <c r="K82" s="2"/>
      <c r="L82" s="7">
        <f t="shared" si="55"/>
        <v>-100</v>
      </c>
      <c r="M82" s="2"/>
      <c r="N82" s="6">
        <f t="shared" si="56"/>
        <v>-1</v>
      </c>
      <c r="O82" s="11"/>
      <c r="P82" s="7">
        <v>1222.73</v>
      </c>
      <c r="Q82" s="2"/>
      <c r="R82" s="6">
        <f t="shared" si="57"/>
        <v>5.7373056955919509E-2</v>
      </c>
      <c r="S82" s="2"/>
      <c r="T82" s="7">
        <v>500</v>
      </c>
      <c r="U82" s="2"/>
      <c r="V82" s="6">
        <f t="shared" si="58"/>
        <v>1.0425571842615567E-2</v>
      </c>
      <c r="W82" s="2"/>
      <c r="X82" s="7">
        <f t="shared" si="59"/>
        <v>722.73</v>
      </c>
      <c r="Y82" s="2"/>
      <c r="Z82" s="6">
        <f t="shared" si="60"/>
        <v>1.44546</v>
      </c>
    </row>
    <row r="83" spans="1:26" s="24" customFormat="1" hidden="1" outlineLevel="2" x14ac:dyDescent="0.25">
      <c r="A83" s="29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53"/>
        <v>0</v>
      </c>
      <c r="G83" s="2"/>
      <c r="H83" s="7"/>
      <c r="I83" s="2"/>
      <c r="J83" s="6">
        <f t="shared" si="54"/>
        <v>0</v>
      </c>
      <c r="K83" s="2"/>
      <c r="L83" s="7">
        <f t="shared" si="55"/>
        <v>0</v>
      </c>
      <c r="M83" s="2"/>
      <c r="N83" s="6">
        <f t="shared" si="56"/>
        <v>0</v>
      </c>
      <c r="O83" s="11"/>
      <c r="P83" s="7"/>
      <c r="Q83" s="2"/>
      <c r="R83" s="6">
        <f t="shared" si="57"/>
        <v>0</v>
      </c>
      <c r="S83" s="2"/>
      <c r="T83" s="7">
        <v>100</v>
      </c>
      <c r="U83" s="2"/>
      <c r="V83" s="6">
        <f t="shared" si="58"/>
        <v>2.0851143685231134E-3</v>
      </c>
      <c r="W83" s="2"/>
      <c r="X83" s="7">
        <f t="shared" si="59"/>
        <v>-100</v>
      </c>
      <c r="Y83" s="2"/>
      <c r="Z83" s="6">
        <f t="shared" si="60"/>
        <v>-1</v>
      </c>
    </row>
    <row r="84" spans="1:26" s="28" customFormat="1" outlineLevel="1" collapsed="1" x14ac:dyDescent="0.25">
      <c r="A84" s="27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SUM(OSRRefD22_12x_0)</f>
        <v>53</v>
      </c>
      <c r="E84" s="1"/>
      <c r="F84" s="5">
        <f t="shared" ref="F84:F86" si="61">IF(D$12=0,0,D84/D$12)</f>
        <v>0</v>
      </c>
      <c r="G84" s="1"/>
      <c r="H84" s="1">
        <f>SUM(OSRRefH22_12x_0)</f>
        <v>100</v>
      </c>
      <c r="I84" s="1"/>
      <c r="J84" s="5">
        <f t="shared" ref="J84:J86" si="62">IF(H$12=0,0,H84/H$12)</f>
        <v>2.3014959723820484E-2</v>
      </c>
      <c r="K84" s="1"/>
      <c r="L84" s="1">
        <f t="shared" ref="L84:L86" si="63">+D84-H84</f>
        <v>-47</v>
      </c>
      <c r="M84" s="1"/>
      <c r="N84" s="5">
        <f t="shared" ref="N84:N86" si="64">IF(H84=0,0,L84/H84)</f>
        <v>-0.47</v>
      </c>
      <c r="O84" s="14"/>
      <c r="P84" s="1">
        <f>SUM(OSRRefP22_12x_0)</f>
        <v>366.05</v>
      </c>
      <c r="Q84" s="1"/>
      <c r="R84" s="5">
        <f t="shared" ref="R84:R86" si="65">IF(P$12=0,0,P84/P$12)</f>
        <v>1.7175833993370849E-2</v>
      </c>
      <c r="S84" s="1"/>
      <c r="T84" s="1">
        <f>SUM(OSRRefT22_12x_0)</f>
        <v>600</v>
      </c>
      <c r="U84" s="1"/>
      <c r="V84" s="5">
        <f t="shared" ref="V84:V86" si="66">IF(T$12=0,0,T84/T$12)</f>
        <v>1.2510686211138681E-2</v>
      </c>
      <c r="W84" s="1"/>
      <c r="X84" s="1">
        <f t="shared" ref="X84:X86" si="67">+P84-T84</f>
        <v>-233.95</v>
      </c>
      <c r="Y84" s="1"/>
      <c r="Z84" s="5">
        <f t="shared" ref="Z84:Z86" si="68">IF(T84=0,0,X84/T84)</f>
        <v>-0.38991666666666663</v>
      </c>
    </row>
    <row r="85" spans="1:26" s="24" customFormat="1" hidden="1" outlineLevel="2" x14ac:dyDescent="0.25">
      <c r="A85" s="29"/>
      <c r="B85" s="11" t="str">
        <f>CONCATENATE("          ", "6303", " - ", "DATA PHONE LINES")</f>
        <v xml:space="preserve">          6303 - DATA PHONE LINES</v>
      </c>
      <c r="C85" s="11"/>
      <c r="D85" s="7"/>
      <c r="E85" s="2"/>
      <c r="F85" s="6">
        <f t="shared" si="61"/>
        <v>0</v>
      </c>
      <c r="G85" s="2"/>
      <c r="H85" s="7">
        <v>100</v>
      </c>
      <c r="I85" s="2"/>
      <c r="J85" s="6">
        <f t="shared" si="62"/>
        <v>2.3014959723820484E-2</v>
      </c>
      <c r="K85" s="2"/>
      <c r="L85" s="7">
        <f t="shared" si="63"/>
        <v>-100</v>
      </c>
      <c r="M85" s="2"/>
      <c r="N85" s="6">
        <f t="shared" si="64"/>
        <v>-1</v>
      </c>
      <c r="O85" s="11"/>
      <c r="P85" s="7"/>
      <c r="Q85" s="2"/>
      <c r="R85" s="6">
        <f t="shared" si="65"/>
        <v>0</v>
      </c>
      <c r="S85" s="2"/>
      <c r="T85" s="7">
        <v>600</v>
      </c>
      <c r="U85" s="2"/>
      <c r="V85" s="6">
        <f t="shared" si="66"/>
        <v>1.2510686211138681E-2</v>
      </c>
      <c r="W85" s="2"/>
      <c r="X85" s="7">
        <f t="shared" si="67"/>
        <v>-600</v>
      </c>
      <c r="Y85" s="2"/>
      <c r="Z85" s="6">
        <f t="shared" si="68"/>
        <v>-1</v>
      </c>
    </row>
    <row r="86" spans="1:26" s="24" customFormat="1" hidden="1" outlineLevel="2" x14ac:dyDescent="0.25">
      <c r="A86" s="29"/>
      <c r="B86" s="11" t="str">
        <f>CONCATENATE("          ", "6309", " - ", "TELEPHONE")</f>
        <v xml:space="preserve">          6309 - TELEPHONE</v>
      </c>
      <c r="C86" s="11"/>
      <c r="D86" s="7">
        <v>53</v>
      </c>
      <c r="E86" s="2"/>
      <c r="F86" s="6">
        <f t="shared" si="61"/>
        <v>0</v>
      </c>
      <c r="G86" s="2"/>
      <c r="H86" s="7"/>
      <c r="I86" s="2"/>
      <c r="J86" s="6">
        <f t="shared" si="62"/>
        <v>0</v>
      </c>
      <c r="K86" s="2"/>
      <c r="L86" s="7">
        <f t="shared" si="63"/>
        <v>53</v>
      </c>
      <c r="M86" s="2"/>
      <c r="N86" s="6">
        <f t="shared" si="64"/>
        <v>0</v>
      </c>
      <c r="O86" s="11"/>
      <c r="P86" s="7">
        <v>366.05</v>
      </c>
      <c r="Q86" s="2"/>
      <c r="R86" s="6">
        <f t="shared" si="65"/>
        <v>1.7175833993370849E-2</v>
      </c>
      <c r="S86" s="2"/>
      <c r="T86" s="7"/>
      <c r="U86" s="2"/>
      <c r="V86" s="6">
        <f t="shared" si="66"/>
        <v>0</v>
      </c>
      <c r="W86" s="2"/>
      <c r="X86" s="7">
        <f t="shared" si="67"/>
        <v>366.05</v>
      </c>
      <c r="Y86" s="2"/>
      <c r="Z86" s="6">
        <f t="shared" si="68"/>
        <v>0</v>
      </c>
    </row>
    <row r="87" spans="1:26" s="28" customFormat="1" outlineLevel="1" collapsed="1" x14ac:dyDescent="0.25">
      <c r="A87" s="27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SUM(OSRRefD22_13x_0)</f>
        <v>0</v>
      </c>
      <c r="E87" s="1"/>
      <c r="F87" s="5">
        <f t="shared" ref="F87:F88" si="69">IF(D$12=0,0,D87/D$12)</f>
        <v>0</v>
      </c>
      <c r="G87" s="1"/>
      <c r="H87" s="1">
        <f>SUM(OSRRefH22_13x_0)</f>
        <v>0</v>
      </c>
      <c r="I87" s="1"/>
      <c r="J87" s="5">
        <f t="shared" ref="J87:J88" si="70">IF(H$12=0,0,H87/H$12)</f>
        <v>0</v>
      </c>
      <c r="K87" s="1"/>
      <c r="L87" s="1">
        <f t="shared" ref="L87:L88" si="71">+D87-H87</f>
        <v>0</v>
      </c>
      <c r="M87" s="1"/>
      <c r="N87" s="5">
        <f t="shared" ref="N87:N88" si="72">IF(H87=0,0,L87/H87)</f>
        <v>0</v>
      </c>
      <c r="O87" s="14"/>
      <c r="P87" s="1">
        <f>SUM(OSRRefP22_13x_0)</f>
        <v>14</v>
      </c>
      <c r="Q87" s="1"/>
      <c r="R87" s="5">
        <f t="shared" ref="R87:R88" si="73">IF(P$12=0,0,P87/P$12)</f>
        <v>6.5690937278293094E-4</v>
      </c>
      <c r="S87" s="1"/>
      <c r="T87" s="1">
        <f>SUM(OSRRefT22_13x_0)</f>
        <v>60</v>
      </c>
      <c r="U87" s="1"/>
      <c r="V87" s="5">
        <f t="shared" ref="V87:V88" si="74">IF(T$12=0,0,T87/T$12)</f>
        <v>1.2510686211138682E-3</v>
      </c>
      <c r="W87" s="1"/>
      <c r="X87" s="1">
        <f t="shared" ref="X87:X88" si="75">+P87-T87</f>
        <v>-46</v>
      </c>
      <c r="Y87" s="1"/>
      <c r="Z87" s="5">
        <f t="shared" ref="Z87:Z88" si="76">IF(T87=0,0,X87/T87)</f>
        <v>-0.76666666666666672</v>
      </c>
    </row>
    <row r="88" spans="1:26" s="24" customFormat="1" hidden="1" outlineLevel="2" x14ac:dyDescent="0.25">
      <c r="A88" s="29"/>
      <c r="B88" s="11" t="str">
        <f>CONCATENATE("          ", "6376", " - ", "TRAINING")</f>
        <v xml:space="preserve">          6376 - TRAINING</v>
      </c>
      <c r="C88" s="11"/>
      <c r="D88" s="7"/>
      <c r="E88" s="2"/>
      <c r="F88" s="6">
        <f t="shared" si="69"/>
        <v>0</v>
      </c>
      <c r="G88" s="2"/>
      <c r="H88" s="7"/>
      <c r="I88" s="2"/>
      <c r="J88" s="6">
        <f t="shared" si="70"/>
        <v>0</v>
      </c>
      <c r="K88" s="2"/>
      <c r="L88" s="7">
        <f t="shared" si="71"/>
        <v>0</v>
      </c>
      <c r="M88" s="2"/>
      <c r="N88" s="6">
        <f t="shared" si="72"/>
        <v>0</v>
      </c>
      <c r="O88" s="11"/>
      <c r="P88" s="7">
        <v>14</v>
      </c>
      <c r="Q88" s="2"/>
      <c r="R88" s="6">
        <f t="shared" si="73"/>
        <v>6.5690937278293094E-4</v>
      </c>
      <c r="S88" s="2"/>
      <c r="T88" s="7">
        <v>60</v>
      </c>
      <c r="U88" s="2"/>
      <c r="V88" s="6">
        <f t="shared" si="74"/>
        <v>1.2510686211138682E-3</v>
      </c>
      <c r="W88" s="2"/>
      <c r="X88" s="7">
        <f t="shared" si="75"/>
        <v>-46</v>
      </c>
      <c r="Y88" s="2"/>
      <c r="Z88" s="6">
        <f t="shared" si="76"/>
        <v>-0.76666666666666672</v>
      </c>
    </row>
    <row r="89" spans="1:26" s="53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6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5" t="s">
        <v>3</v>
      </c>
      <c r="C92" s="25"/>
      <c r="D92" s="21">
        <f>+D35-D37+D90</f>
        <v>214.81</v>
      </c>
      <c r="E92" s="13"/>
      <c r="F92" s="19">
        <f>IF(D$12=0,0,D92/D$12)</f>
        <v>0</v>
      </c>
      <c r="G92" s="13"/>
      <c r="H92" s="21">
        <f>+H35-H37+H90</f>
        <v>-6825.5607170000003</v>
      </c>
      <c r="I92" s="13"/>
      <c r="J92" s="19">
        <f>IF(H$12=0,0,H92/H$12)</f>
        <v>-1.5709000499424626</v>
      </c>
      <c r="K92" s="16"/>
      <c r="L92" s="21">
        <f>+D92-H92</f>
        <v>7040.3707170000007</v>
      </c>
      <c r="M92" s="16"/>
      <c r="N92" s="19">
        <f>IF(H92=0,0,L92/H92)</f>
        <v>-1.0314714070984654</v>
      </c>
      <c r="O92" s="26"/>
      <c r="P92" s="21">
        <f>+P35-P37+P90</f>
        <v>-4827.5699999999924</v>
      </c>
      <c r="Q92" s="13"/>
      <c r="R92" s="19">
        <f>IF(P$12=0,0,P92/P$12)</f>
        <v>-0.22651971291183493</v>
      </c>
      <c r="S92" s="13"/>
      <c r="T92" s="21">
        <f>+T35-T37+T90</f>
        <v>-36496.381143999999</v>
      </c>
      <c r="U92" s="13"/>
      <c r="V92" s="19">
        <f>IF(T$12=0,0,T92/T$12)</f>
        <v>-0.76099128722450426</v>
      </c>
      <c r="W92" s="16"/>
      <c r="X92" s="21">
        <f>+P92-T92</f>
        <v>31668.811144000007</v>
      </c>
      <c r="Y92" s="16"/>
      <c r="Z92" s="19">
        <f>IF(T92=0,0,X92/T92)</f>
        <v>-0.86772469355379789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556.70000000000005</v>
      </c>
      <c r="E94" s="4"/>
      <c r="F94" s="12">
        <f>IF(D$12=0,0,D94/D$12)</f>
        <v>0</v>
      </c>
      <c r="G94" s="4"/>
      <c r="H94" s="4">
        <v>5490</v>
      </c>
      <c r="I94" s="4"/>
      <c r="J94" s="12">
        <f>IF(H$12=0,0,H94/H$12)</f>
        <v>1.2635212888377445</v>
      </c>
      <c r="K94" s="4"/>
      <c r="L94" s="4">
        <f>+D94-H94</f>
        <v>-4933.3</v>
      </c>
      <c r="M94" s="4"/>
      <c r="N94" s="12">
        <f>IF(H94=0,0,L94/H94)</f>
        <v>-0.89859744990892532</v>
      </c>
      <c r="O94" s="10"/>
      <c r="P94" s="4">
        <v>3943.16</v>
      </c>
      <c r="Q94" s="4"/>
      <c r="R94" s="12">
        <f>IF(P$12=0,0,P94/P$12)</f>
        <v>0.18502134017019584</v>
      </c>
      <c r="S94" s="4"/>
      <c r="T94" s="4">
        <v>14043</v>
      </c>
      <c r="U94" s="4"/>
      <c r="V94" s="12">
        <f>IF(T$12=0,0,T94/T$12)</f>
        <v>0.29281261077170084</v>
      </c>
      <c r="W94" s="4"/>
      <c r="X94" s="4">
        <f>+P94-T94</f>
        <v>-10099.84</v>
      </c>
      <c r="Y94" s="4"/>
      <c r="Z94" s="12">
        <f>IF(T94=0,0,X94/T94)</f>
        <v>-0.71920814640746278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5" t="s">
        <v>4</v>
      </c>
      <c r="C96" s="25"/>
      <c r="D96" s="34">
        <f>+D92-D94</f>
        <v>-341.89000000000004</v>
      </c>
      <c r="E96" s="13"/>
      <c r="F96" s="31">
        <f>IF(D$12=0,0,D96/D$12)</f>
        <v>0</v>
      </c>
      <c r="G96" s="13"/>
      <c r="H96" s="34">
        <f>+H92-H94</f>
        <v>-12315.560717</v>
      </c>
      <c r="I96" s="13"/>
      <c r="J96" s="31">
        <f>IF(H$12=0,0,H96/H$12)</f>
        <v>-2.8344213387802073</v>
      </c>
      <c r="K96" s="16"/>
      <c r="L96" s="34">
        <f>D96-H96</f>
        <v>11973.670717000001</v>
      </c>
      <c r="M96" s="16"/>
      <c r="N96" s="31">
        <f>IF(H96=0,0,L96/H96)</f>
        <v>-0.97223918521809038</v>
      </c>
      <c r="O96" s="26"/>
      <c r="P96" s="34">
        <f>+P92-P94</f>
        <v>-8770.7299999999923</v>
      </c>
      <c r="Q96" s="13"/>
      <c r="R96" s="31">
        <f>IF(P$12=0,0,P96/P$12)</f>
        <v>-0.41154105308203076</v>
      </c>
      <c r="S96" s="13"/>
      <c r="T96" s="34">
        <f>+T92-T94</f>
        <v>-50539.381143999999</v>
      </c>
      <c r="U96" s="13"/>
      <c r="V96" s="31">
        <f>IF(T$12=0,0,T96/T$12)</f>
        <v>-1.053803897996205</v>
      </c>
      <c r="W96" s="16"/>
      <c r="X96" s="34">
        <f>P96-T96</f>
        <v>41768.651144000003</v>
      </c>
      <c r="Y96" s="16"/>
      <c r="Z96" s="31">
        <f>IF(T96=0,0,X96/T96)</f>
        <v>-0.82645751092578923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5" t="s">
        <v>5</v>
      </c>
      <c r="C99" s="25"/>
      <c r="D99" s="33">
        <f>SUM(D96:D98)</f>
        <v>-341.89000000000004</v>
      </c>
      <c r="E99" s="13"/>
      <c r="F99" s="32">
        <f>IF(D$12=0,0,D99/D$12)</f>
        <v>0</v>
      </c>
      <c r="G99" s="13"/>
      <c r="H99" s="33">
        <f>SUM(H96:H98)</f>
        <v>-12315.560717</v>
      </c>
      <c r="I99" s="13"/>
      <c r="J99" s="32">
        <f>IF(H$12=0,0,H99/H$12)</f>
        <v>-2.8344213387802073</v>
      </c>
      <c r="K99" s="16"/>
      <c r="L99" s="33">
        <f>+D99-H99</f>
        <v>11973.670717000001</v>
      </c>
      <c r="M99" s="16"/>
      <c r="N99" s="32">
        <f>IF(H99=0,0,L99/H99)</f>
        <v>-0.97223918521809038</v>
      </c>
      <c r="O99" s="26"/>
      <c r="P99" s="33">
        <f>SUM(P96:P98)</f>
        <v>-8770.7299999999923</v>
      </c>
      <c r="Q99" s="13"/>
      <c r="R99" s="32">
        <f>IF(P$12=0,0,P99/P$12)</f>
        <v>-0.41154105308203076</v>
      </c>
      <c r="S99" s="13"/>
      <c r="T99" s="33">
        <f>SUM(T96:T98)</f>
        <v>-50539.381143999999</v>
      </c>
      <c r="U99" s="13"/>
      <c r="V99" s="32">
        <f>IF(T$12=0,0,T99/T$12)</f>
        <v>-1.053803897996205</v>
      </c>
      <c r="W99" s="16"/>
      <c r="X99" s="33">
        <f>+P99-T99</f>
        <v>41768.651144000003</v>
      </c>
      <c r="Y99" s="16"/>
      <c r="Z99" s="32">
        <f>IF(T99=0,0,X99/T99)</f>
        <v>-0.82645751092578923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63">
        <v>44209.518118900465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60" t="s">
        <v>314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58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","307", " - ", "Art Store")</f>
        <v>Department 307 - Art Store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4345</v>
      </c>
      <c r="I12" s="4"/>
      <c r="J12" s="12"/>
      <c r="K12" s="4"/>
      <c r="L12" s="4">
        <f t="shared" ref="L12:L23" si="0">+D12-H12</f>
        <v>-4345</v>
      </c>
      <c r="M12" s="4"/>
      <c r="N12" s="12">
        <f t="shared" ref="N12:N23" si="1">IF(H12=0,0,L12/H12)</f>
        <v>-1</v>
      </c>
      <c r="O12" s="10"/>
      <c r="P12" s="4">
        <f>SUM(OSRRefP13x_0)</f>
        <v>21311.919999999998</v>
      </c>
      <c r="Q12" s="4"/>
      <c r="R12" s="12"/>
      <c r="S12" s="4"/>
      <c r="T12" s="4">
        <f>SUM(OSRRefT13x_0)</f>
        <v>47959</v>
      </c>
      <c r="U12" s="4"/>
      <c r="V12" s="12"/>
      <c r="W12" s="4"/>
      <c r="X12" s="4">
        <f t="shared" ref="X12:X23" si="2">+P12-T12</f>
        <v>-26647.08</v>
      </c>
      <c r="Y12" s="4"/>
      <c r="Z12" s="12">
        <f t="shared" ref="Z12:Z23" si="3">IF(T12=0,0,X12/T12)</f>
        <v>-0.55562209387184891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23" si="4"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-1096.44</f>
        <v>-1096.44</v>
      </c>
      <c r="Q13" s="2"/>
      <c r="R13" s="22"/>
      <c r="S13" s="2"/>
      <c r="T13" s="2"/>
      <c r="U13" s="2"/>
      <c r="V13" s="22"/>
      <c r="W13" s="2"/>
      <c r="X13" s="2">
        <f t="shared" si="2"/>
        <v>-1096.44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--17.51</f>
        <v>17.510000000000002</v>
      </c>
      <c r="Q14" s="2"/>
      <c r="R14" s="22"/>
      <c r="S14" s="2"/>
      <c r="T14" s="2"/>
      <c r="U14" s="2"/>
      <c r="V14" s="22"/>
      <c r="W14" s="2"/>
      <c r="X14" s="2">
        <f t="shared" si="2"/>
        <v>17.510000000000002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22"/>
      <c r="G15" s="2"/>
      <c r="H15" s="2"/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--7990.32</f>
        <v>7990.32</v>
      </c>
      <c r="Q15" s="2"/>
      <c r="R15" s="22"/>
      <c r="S15" s="2"/>
      <c r="T15" s="2"/>
      <c r="U15" s="2"/>
      <c r="V15" s="22"/>
      <c r="W15" s="2"/>
      <c r="X15" s="2">
        <f t="shared" si="2"/>
        <v>7990.32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--12479.05</f>
        <v>12479.05</v>
      </c>
      <c r="Q16" s="2"/>
      <c r="R16" s="22"/>
      <c r="S16" s="2"/>
      <c r="T16" s="2"/>
      <c r="U16" s="2"/>
      <c r="V16" s="22"/>
      <c r="W16" s="2"/>
      <c r="X16" s="2">
        <f t="shared" si="2"/>
        <v>12479.05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--374.55</f>
        <v>374.55</v>
      </c>
      <c r="Q17" s="2"/>
      <c r="R17" s="22"/>
      <c r="S17" s="2"/>
      <c r="T17" s="2"/>
      <c r="U17" s="2"/>
      <c r="V17" s="22"/>
      <c r="W17" s="2"/>
      <c r="X17" s="2">
        <f t="shared" si="2"/>
        <v>374.55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4"/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--71.95</f>
        <v>71.95</v>
      </c>
      <c r="Q18" s="2"/>
      <c r="R18" s="22"/>
      <c r="S18" s="2"/>
      <c r="T18" s="2"/>
      <c r="U18" s="2"/>
      <c r="V18" s="22"/>
      <c r="W18" s="2"/>
      <c r="X18" s="2">
        <f t="shared" si="2"/>
        <v>71.95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4"/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--9.99</f>
        <v>9.99</v>
      </c>
      <c r="Q19" s="2"/>
      <c r="R19" s="22"/>
      <c r="S19" s="2"/>
      <c r="T19" s="2"/>
      <c r="U19" s="2"/>
      <c r="V19" s="22"/>
      <c r="W19" s="2"/>
      <c r="X19" s="2">
        <f t="shared" si="2"/>
        <v>9.99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"4100", " - ", "NON-TAXABLE SALES")</f>
        <v xml:space="preserve">          4100 - NON-TAXABLE SALES</v>
      </c>
      <c r="C20" s="11"/>
      <c r="D20" s="2">
        <f t="shared" si="4"/>
        <v>0</v>
      </c>
      <c r="E20" s="2"/>
      <c r="F20" s="22"/>
      <c r="G20" s="2"/>
      <c r="H20" s="2">
        <v>4345</v>
      </c>
      <c r="I20" s="2"/>
      <c r="J20" s="22"/>
      <c r="K20" s="2"/>
      <c r="L20" s="2">
        <f t="shared" si="0"/>
        <v>-4345</v>
      </c>
      <c r="M20" s="2"/>
      <c r="N20" s="22">
        <f t="shared" si="1"/>
        <v>-1</v>
      </c>
      <c r="O20" s="11"/>
      <c r="P20" s="2">
        <f>0</f>
        <v>0</v>
      </c>
      <c r="Q20" s="2"/>
      <c r="R20" s="22"/>
      <c r="S20" s="2"/>
      <c r="T20" s="2">
        <v>47959</v>
      </c>
      <c r="U20" s="2"/>
      <c r="V20" s="22"/>
      <c r="W20" s="2"/>
      <c r="X20" s="2">
        <f t="shared" si="2"/>
        <v>-47959</v>
      </c>
      <c r="Y20" s="2"/>
      <c r="Z20" s="22">
        <f t="shared" si="3"/>
        <v>-1</v>
      </c>
    </row>
    <row r="21" spans="1:26" s="24" customFormat="1" hidden="1" outlineLevel="1" x14ac:dyDescent="0.25">
      <c r="A21" s="51"/>
      <c r="B21" s="11" t="str">
        <f>CONCATENATE("          ", "4131", " - ", "NON-TAXABLE SALES-FOOD")</f>
        <v xml:space="preserve">          4131 - NON-TAXABLE SALES-FOOD</v>
      </c>
      <c r="C21" s="11"/>
      <c r="D21" s="2">
        <f t="shared" si="4"/>
        <v>0</v>
      </c>
      <c r="E21" s="2"/>
      <c r="F21" s="22"/>
      <c r="G21" s="2"/>
      <c r="H21" s="2"/>
      <c r="I21" s="2"/>
      <c r="J21" s="22"/>
      <c r="K21" s="2"/>
      <c r="L21" s="2">
        <f t="shared" si="0"/>
        <v>0</v>
      </c>
      <c r="M21" s="2"/>
      <c r="N21" s="22">
        <f t="shared" si="1"/>
        <v>0</v>
      </c>
      <c r="O21" s="11"/>
      <c r="P21" s="2">
        <f>--1847.16</f>
        <v>1847.16</v>
      </c>
      <c r="Q21" s="2"/>
      <c r="R21" s="22"/>
      <c r="S21" s="2"/>
      <c r="T21" s="2"/>
      <c r="U21" s="2"/>
      <c r="V21" s="22"/>
      <c r="W21" s="2"/>
      <c r="X21" s="2">
        <f t="shared" si="2"/>
        <v>1847.16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"4227", " - ", "SALES RETURN TAXABLE-SCHOOL SU")</f>
        <v xml:space="preserve">          4227 - SALES RETURN TAXABLE-SCHOOL SU</v>
      </c>
      <c r="C22" s="11"/>
      <c r="D22" s="2">
        <f t="shared" si="4"/>
        <v>0</v>
      </c>
      <c r="E22" s="2"/>
      <c r="F22" s="22"/>
      <c r="G22" s="2"/>
      <c r="H22" s="2"/>
      <c r="I22" s="2"/>
      <c r="J22" s="22"/>
      <c r="K22" s="2"/>
      <c r="L22" s="2">
        <f t="shared" si="0"/>
        <v>0</v>
      </c>
      <c r="M22" s="2"/>
      <c r="N22" s="22">
        <f t="shared" si="1"/>
        <v>0</v>
      </c>
      <c r="O22" s="11"/>
      <c r="P22" s="2">
        <f>-159.97</f>
        <v>-159.97</v>
      </c>
      <c r="Q22" s="2"/>
      <c r="R22" s="22"/>
      <c r="S22" s="2"/>
      <c r="T22" s="2"/>
      <c r="U22" s="2"/>
      <c r="V22" s="22"/>
      <c r="W22" s="2"/>
      <c r="X22" s="2">
        <f t="shared" si="2"/>
        <v>-159.97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"4228", " - ", "SALES RETURN TAXABLE-ART/TECH")</f>
        <v xml:space="preserve">          4228 - SALES RETURN TAXABLE-ART/TECH</v>
      </c>
      <c r="C23" s="11"/>
      <c r="D23" s="2">
        <f t="shared" si="4"/>
        <v>0</v>
      </c>
      <c r="E23" s="2"/>
      <c r="F23" s="22"/>
      <c r="G23" s="2"/>
      <c r="H23" s="2"/>
      <c r="I23" s="2"/>
      <c r="J23" s="22"/>
      <c r="K23" s="2"/>
      <c r="L23" s="2">
        <f t="shared" si="0"/>
        <v>0</v>
      </c>
      <c r="M23" s="2"/>
      <c r="N23" s="22">
        <f t="shared" si="1"/>
        <v>0</v>
      </c>
      <c r="O23" s="11"/>
      <c r="P23" s="2">
        <f>-222.2</f>
        <v>-222.2</v>
      </c>
      <c r="Q23" s="2"/>
      <c r="R23" s="22"/>
      <c r="S23" s="2"/>
      <c r="T23" s="2"/>
      <c r="U23" s="2"/>
      <c r="V23" s="22"/>
      <c r="W23" s="2"/>
      <c r="X23" s="2">
        <f t="shared" si="2"/>
        <v>-222.2</v>
      </c>
      <c r="Y23" s="2"/>
      <c r="Z23" s="22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6" t="s">
        <v>8</v>
      </c>
      <c r="C25" s="10"/>
      <c r="D25" s="4">
        <f>SUM(OSRRefD16x_0)</f>
        <v>-488.92</v>
      </c>
      <c r="E25" s="4"/>
      <c r="F25" s="12">
        <f t="shared" ref="F25:F33" si="5">IF(D$12=0,0,D25/D$12)</f>
        <v>0</v>
      </c>
      <c r="G25" s="4"/>
      <c r="H25" s="4">
        <f>SUM(OSRRefH16x_0)</f>
        <v>2387</v>
      </c>
      <c r="I25" s="4"/>
      <c r="J25" s="12">
        <f t="shared" ref="J25:J33" si="6">IF(H$12=0,0,H25/H$12)</f>
        <v>0.54936708860759498</v>
      </c>
      <c r="K25" s="4"/>
      <c r="L25" s="4">
        <f t="shared" ref="L25:L33" si="7">+D25-H25</f>
        <v>-2875.92</v>
      </c>
      <c r="M25" s="4"/>
      <c r="N25" s="12">
        <f t="shared" ref="N25:N33" si="8">IF(H25=0,0,L25/H25)</f>
        <v>-1.2048261416003352</v>
      </c>
      <c r="O25" s="10"/>
      <c r="P25" s="4">
        <f>SUM(OSRRefP16x_0)</f>
        <v>13711.739999999994</v>
      </c>
      <c r="Q25" s="4"/>
      <c r="R25" s="12">
        <f t="shared" ref="R25:R33" si="9">IF(P$12=0,0,P25/P$12)</f>
        <v>0.64338360879733014</v>
      </c>
      <c r="S25" s="4"/>
      <c r="T25" s="4">
        <f>SUM(OSRRefT16x_0)</f>
        <v>24645</v>
      </c>
      <c r="U25" s="4"/>
      <c r="V25" s="12">
        <f t="shared" ref="V25:V33" si="10">IF(T$12=0,0,T25/T$12)</f>
        <v>0.51387643612252132</v>
      </c>
      <c r="W25" s="4"/>
      <c r="X25" s="4">
        <f t="shared" ref="X25:X33" si="11">+P25-T25</f>
        <v>-10933.260000000006</v>
      </c>
      <c r="Y25" s="4"/>
      <c r="Z25" s="12">
        <f t="shared" ref="Z25:Z33" si="12">IF(T25=0,0,X25/T25)</f>
        <v>-0.44362994522215482</v>
      </c>
    </row>
    <row r="26" spans="1:26" s="24" customFormat="1" hidden="1" outlineLevel="1" x14ac:dyDescent="0.25">
      <c r="A26" s="51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22">
        <f t="shared" si="5"/>
        <v>0</v>
      </c>
      <c r="G26" s="2"/>
      <c r="H26" s="2">
        <v>2387</v>
      </c>
      <c r="I26" s="2"/>
      <c r="J26" s="22">
        <f t="shared" si="6"/>
        <v>0.54936708860759498</v>
      </c>
      <c r="K26" s="2"/>
      <c r="L26" s="2">
        <f t="shared" si="7"/>
        <v>-2387</v>
      </c>
      <c r="M26" s="2"/>
      <c r="N26" s="22">
        <f t="shared" si="8"/>
        <v>-1</v>
      </c>
      <c r="O26" s="11"/>
      <c r="P26" s="2"/>
      <c r="Q26" s="2"/>
      <c r="R26" s="22">
        <f t="shared" si="9"/>
        <v>0</v>
      </c>
      <c r="S26" s="2"/>
      <c r="T26" s="2">
        <v>24645</v>
      </c>
      <c r="U26" s="2"/>
      <c r="V26" s="22">
        <f t="shared" si="10"/>
        <v>0.51387643612252132</v>
      </c>
      <c r="W26" s="2"/>
      <c r="X26" s="2">
        <f t="shared" si="11"/>
        <v>-24645</v>
      </c>
      <c r="Y26" s="2"/>
      <c r="Z26" s="22">
        <f t="shared" si="12"/>
        <v>-1</v>
      </c>
    </row>
    <row r="27" spans="1:26" s="24" customFormat="1" hidden="1" outlineLevel="1" x14ac:dyDescent="0.25">
      <c r="A27" s="51"/>
      <c r="B27" s="11" t="str">
        <f>CONCATENATE("          ", "5026", " - ", "PURCHASES @ COST-WRITING INSTR")</f>
        <v xml:space="preserve">          5026 - PURCHASES @ COST-WRITING INSTR</v>
      </c>
      <c r="C27" s="11"/>
      <c r="D27" s="2">
        <v>-5.1100000000000003</v>
      </c>
      <c r="E27" s="2"/>
      <c r="F27" s="22">
        <f t="shared" si="5"/>
        <v>0</v>
      </c>
      <c r="G27" s="2"/>
      <c r="H27" s="2"/>
      <c r="I27" s="2"/>
      <c r="J27" s="22">
        <f t="shared" si="6"/>
        <v>0</v>
      </c>
      <c r="K27" s="2"/>
      <c r="L27" s="2">
        <f t="shared" si="7"/>
        <v>-5.1100000000000003</v>
      </c>
      <c r="M27" s="2"/>
      <c r="N27" s="22">
        <f t="shared" si="8"/>
        <v>0</v>
      </c>
      <c r="O27" s="11"/>
      <c r="P27" s="2">
        <v>364.91</v>
      </c>
      <c r="Q27" s="2"/>
      <c r="R27" s="22">
        <f t="shared" si="9"/>
        <v>1.7122342801587094E-2</v>
      </c>
      <c r="S27" s="2"/>
      <c r="T27" s="2"/>
      <c r="U27" s="2"/>
      <c r="V27" s="22">
        <f t="shared" si="10"/>
        <v>0</v>
      </c>
      <c r="W27" s="2"/>
      <c r="X27" s="2">
        <f t="shared" si="11"/>
        <v>364.91</v>
      </c>
      <c r="Y27" s="2"/>
      <c r="Z27" s="22">
        <f t="shared" si="12"/>
        <v>0</v>
      </c>
    </row>
    <row r="28" spans="1:26" s="24" customFormat="1" hidden="1" outlineLevel="1" x14ac:dyDescent="0.25">
      <c r="A28" s="51"/>
      <c r="B28" s="11" t="str">
        <f>CONCATENATE("          ", "5027", " - ", "PURCHASES @ COST-SCHOOL SUPPLI")</f>
        <v xml:space="preserve">          5027 - PURCHASES @ COST-SCHOOL SUPPLI</v>
      </c>
      <c r="C28" s="11"/>
      <c r="D28" s="2"/>
      <c r="E28" s="2"/>
      <c r="F28" s="22">
        <f t="shared" si="5"/>
        <v>0</v>
      </c>
      <c r="G28" s="2"/>
      <c r="H28" s="2"/>
      <c r="I28" s="2"/>
      <c r="J28" s="22">
        <f t="shared" si="6"/>
        <v>0</v>
      </c>
      <c r="K28" s="2"/>
      <c r="L28" s="2">
        <f t="shared" si="7"/>
        <v>0</v>
      </c>
      <c r="M28" s="2"/>
      <c r="N28" s="22">
        <f t="shared" si="8"/>
        <v>0</v>
      </c>
      <c r="O28" s="11"/>
      <c r="P28" s="2">
        <v>895.47</v>
      </c>
      <c r="Q28" s="2"/>
      <c r="R28" s="22">
        <f t="shared" si="9"/>
        <v>4.201733114613794E-2</v>
      </c>
      <c r="S28" s="2"/>
      <c r="T28" s="2"/>
      <c r="U28" s="2"/>
      <c r="V28" s="22">
        <f t="shared" si="10"/>
        <v>0</v>
      </c>
      <c r="W28" s="2"/>
      <c r="X28" s="2">
        <f t="shared" si="11"/>
        <v>895.47</v>
      </c>
      <c r="Y28" s="2"/>
      <c r="Z28" s="22">
        <f t="shared" si="12"/>
        <v>0</v>
      </c>
    </row>
    <row r="29" spans="1:26" s="24" customFormat="1" hidden="1" outlineLevel="1" x14ac:dyDescent="0.25">
      <c r="A29" s="51"/>
      <c r="B29" s="11" t="str">
        <f>CONCATENATE("          ", "5028", " - ", "PURCHASES @ COST-ART/TECH")</f>
        <v xml:space="preserve">          5028 - PURCHASES @ COST-ART/TECH</v>
      </c>
      <c r="C29" s="11"/>
      <c r="D29" s="2"/>
      <c r="E29" s="2"/>
      <c r="F29" s="22">
        <f t="shared" si="5"/>
        <v>0</v>
      </c>
      <c r="G29" s="2"/>
      <c r="H29" s="2"/>
      <c r="I29" s="2"/>
      <c r="J29" s="22">
        <f t="shared" si="6"/>
        <v>0</v>
      </c>
      <c r="K29" s="2"/>
      <c r="L29" s="2">
        <f t="shared" si="7"/>
        <v>0</v>
      </c>
      <c r="M29" s="2"/>
      <c r="N29" s="22">
        <f t="shared" si="8"/>
        <v>0</v>
      </c>
      <c r="O29" s="11"/>
      <c r="P29" s="2">
        <v>41441.85</v>
      </c>
      <c r="Q29" s="2"/>
      <c r="R29" s="22">
        <f t="shared" si="9"/>
        <v>1.9445385493188789</v>
      </c>
      <c r="S29" s="2"/>
      <c r="T29" s="2"/>
      <c r="U29" s="2"/>
      <c r="V29" s="22">
        <f t="shared" si="10"/>
        <v>0</v>
      </c>
      <c r="W29" s="2"/>
      <c r="X29" s="2">
        <f t="shared" si="11"/>
        <v>41441.85</v>
      </c>
      <c r="Y29" s="2"/>
      <c r="Z29" s="22">
        <f t="shared" si="12"/>
        <v>0</v>
      </c>
    </row>
    <row r="30" spans="1:26" s="24" customFormat="1" hidden="1" outlineLevel="1" x14ac:dyDescent="0.25">
      <c r="A30" s="51"/>
      <c r="B30" s="11" t="str">
        <f>CONCATENATE("          ", "5031", " - ", "PURCHASES @ COST-FOOD")</f>
        <v xml:space="preserve">          5031 - PURCHASES @ COST-FOOD</v>
      </c>
      <c r="C30" s="11"/>
      <c r="D30" s="2">
        <v>-488.1</v>
      </c>
      <c r="E30" s="2"/>
      <c r="F30" s="22">
        <f t="shared" si="5"/>
        <v>0</v>
      </c>
      <c r="G30" s="2"/>
      <c r="H30" s="2"/>
      <c r="I30" s="2"/>
      <c r="J30" s="22">
        <f t="shared" si="6"/>
        <v>0</v>
      </c>
      <c r="K30" s="2"/>
      <c r="L30" s="2">
        <f t="shared" si="7"/>
        <v>-488.1</v>
      </c>
      <c r="M30" s="2"/>
      <c r="N30" s="22">
        <f t="shared" si="8"/>
        <v>0</v>
      </c>
      <c r="O30" s="11"/>
      <c r="P30" s="2">
        <v>2441.5700000000002</v>
      </c>
      <c r="Q30" s="2"/>
      <c r="R30" s="22">
        <f t="shared" si="9"/>
        <v>0.11456358695040149</v>
      </c>
      <c r="S30" s="2"/>
      <c r="T30" s="2"/>
      <c r="U30" s="2"/>
      <c r="V30" s="22">
        <f t="shared" si="10"/>
        <v>0</v>
      </c>
      <c r="W30" s="2"/>
      <c r="X30" s="2">
        <f t="shared" si="11"/>
        <v>2441.5700000000002</v>
      </c>
      <c r="Y30" s="2"/>
      <c r="Z30" s="22">
        <f t="shared" si="12"/>
        <v>0</v>
      </c>
    </row>
    <row r="31" spans="1:26" s="24" customFormat="1" hidden="1" outlineLevel="1" x14ac:dyDescent="0.25">
      <c r="A31" s="51"/>
      <c r="B31" s="11" t="str">
        <f>CONCATENATE("          ", "5200", " - ", "PURCHASES OFFSET")</f>
        <v xml:space="preserve">          5200 - PURCHASES OFFSET</v>
      </c>
      <c r="C31" s="11"/>
      <c r="D31" s="2"/>
      <c r="E31" s="2"/>
      <c r="F31" s="22">
        <f t="shared" si="5"/>
        <v>0</v>
      </c>
      <c r="G31" s="2"/>
      <c r="H31" s="2"/>
      <c r="I31" s="2"/>
      <c r="J31" s="22">
        <f t="shared" si="6"/>
        <v>0</v>
      </c>
      <c r="K31" s="2"/>
      <c r="L31" s="2">
        <f t="shared" si="7"/>
        <v>0</v>
      </c>
      <c r="M31" s="2"/>
      <c r="N31" s="22">
        <f t="shared" si="8"/>
        <v>0</v>
      </c>
      <c r="O31" s="11"/>
      <c r="P31" s="2">
        <v>-45863.33</v>
      </c>
      <c r="Q31" s="2"/>
      <c r="R31" s="22">
        <f t="shared" si="9"/>
        <v>-2.1520036674311842</v>
      </c>
      <c r="S31" s="2"/>
      <c r="T31" s="2"/>
      <c r="U31" s="2"/>
      <c r="V31" s="22">
        <f t="shared" si="10"/>
        <v>0</v>
      </c>
      <c r="W31" s="2"/>
      <c r="X31" s="2">
        <f t="shared" si="11"/>
        <v>-45863.33</v>
      </c>
      <c r="Y31" s="2"/>
      <c r="Z31" s="22">
        <f t="shared" si="12"/>
        <v>0</v>
      </c>
    </row>
    <row r="32" spans="1:26" s="24" customFormat="1" hidden="1" outlineLevel="1" x14ac:dyDescent="0.25">
      <c r="A32" s="51"/>
      <c r="B32" s="11" t="str">
        <f>CONCATENATE("          ", "5300", " - ", "COG$ OFFSET")</f>
        <v xml:space="preserve">          5300 - COG$ OFFSET</v>
      </c>
      <c r="C32" s="11"/>
      <c r="D32" s="2"/>
      <c r="E32" s="2"/>
      <c r="F32" s="22">
        <f t="shared" si="5"/>
        <v>0</v>
      </c>
      <c r="G32" s="2"/>
      <c r="H32" s="2"/>
      <c r="I32" s="2"/>
      <c r="J32" s="22">
        <f t="shared" si="6"/>
        <v>0</v>
      </c>
      <c r="K32" s="2"/>
      <c r="L32" s="2">
        <f t="shared" si="7"/>
        <v>0</v>
      </c>
      <c r="M32" s="2"/>
      <c r="N32" s="22">
        <f t="shared" si="8"/>
        <v>0</v>
      </c>
      <c r="O32" s="11"/>
      <c r="P32" s="2">
        <v>14145</v>
      </c>
      <c r="Q32" s="2"/>
      <c r="R32" s="22">
        <f t="shared" si="9"/>
        <v>0.66371307700103988</v>
      </c>
      <c r="S32" s="2"/>
      <c r="T32" s="2"/>
      <c r="U32" s="2"/>
      <c r="V32" s="22">
        <f t="shared" si="10"/>
        <v>0</v>
      </c>
      <c r="W32" s="2"/>
      <c r="X32" s="2">
        <f t="shared" si="11"/>
        <v>14145</v>
      </c>
      <c r="Y32" s="2"/>
      <c r="Z32" s="22">
        <f t="shared" si="12"/>
        <v>0</v>
      </c>
    </row>
    <row r="33" spans="1:26" s="24" customFormat="1" hidden="1" outlineLevel="1" x14ac:dyDescent="0.25">
      <c r="A33" s="51"/>
      <c r="B33" s="11" t="str">
        <f>CONCATENATE("          ", "5528", " - ", "FREIGHT-IN-ART/TECH")</f>
        <v xml:space="preserve">          5528 - FREIGHT-IN-ART/TECH</v>
      </c>
      <c r="C33" s="11"/>
      <c r="D33" s="2">
        <v>4.29</v>
      </c>
      <c r="E33" s="2"/>
      <c r="F33" s="22">
        <f t="shared" si="5"/>
        <v>0</v>
      </c>
      <c r="G33" s="2"/>
      <c r="H33" s="2"/>
      <c r="I33" s="2"/>
      <c r="J33" s="22">
        <f t="shared" si="6"/>
        <v>0</v>
      </c>
      <c r="K33" s="2"/>
      <c r="L33" s="2">
        <f t="shared" si="7"/>
        <v>4.29</v>
      </c>
      <c r="M33" s="2"/>
      <c r="N33" s="22">
        <f t="shared" si="8"/>
        <v>0</v>
      </c>
      <c r="O33" s="11"/>
      <c r="P33" s="2">
        <v>286.27</v>
      </c>
      <c r="Q33" s="2"/>
      <c r="R33" s="22">
        <f t="shared" si="9"/>
        <v>1.3432389010469259E-2</v>
      </c>
      <c r="S33" s="2"/>
      <c r="T33" s="2"/>
      <c r="U33" s="2"/>
      <c r="V33" s="22">
        <f t="shared" si="10"/>
        <v>0</v>
      </c>
      <c r="W33" s="2"/>
      <c r="X33" s="2">
        <f t="shared" si="11"/>
        <v>286.27</v>
      </c>
      <c r="Y33" s="2"/>
      <c r="Z33" s="22">
        <f t="shared" si="12"/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5" t="s">
        <v>6</v>
      </c>
      <c r="C35" s="25"/>
      <c r="D35" s="21">
        <f>D12-D25</f>
        <v>488.92</v>
      </c>
      <c r="E35" s="13"/>
      <c r="F35" s="19">
        <f>IF(D$12=0,0,D35/D$12)</f>
        <v>0</v>
      </c>
      <c r="G35" s="13"/>
      <c r="H35" s="21">
        <f>H12-H25</f>
        <v>1958</v>
      </c>
      <c r="I35" s="13"/>
      <c r="J35" s="19">
        <f>IF(H$12=0,0,H35/H$12)</f>
        <v>0.45063291139240508</v>
      </c>
      <c r="K35" s="16"/>
      <c r="L35" s="21">
        <f>+D35-H35</f>
        <v>-1469.08</v>
      </c>
      <c r="M35" s="16"/>
      <c r="N35" s="19">
        <f>IF(H35=0,0,L35/H35)</f>
        <v>-0.75029622063329926</v>
      </c>
      <c r="O35" s="26"/>
      <c r="P35" s="21">
        <f>P12-P25</f>
        <v>7600.1800000000039</v>
      </c>
      <c r="Q35" s="13"/>
      <c r="R35" s="19">
        <f>IF(P$12=0,0,P35/P$12)</f>
        <v>0.35661639120266991</v>
      </c>
      <c r="S35" s="13"/>
      <c r="T35" s="21">
        <f>T12-T25</f>
        <v>23314</v>
      </c>
      <c r="U35" s="13"/>
      <c r="V35" s="19">
        <f>IF(T$12=0,0,T35/T$12)</f>
        <v>0.48612356387747868</v>
      </c>
      <c r="W35" s="16"/>
      <c r="X35" s="21">
        <f>+P35-T35</f>
        <v>-15713.819999999996</v>
      </c>
      <c r="Y35" s="16"/>
      <c r="Z35" s="19">
        <f>IF(T35=0,0,X35/T35)</f>
        <v>-0.67400789225358138</v>
      </c>
    </row>
    <row r="36" spans="1:26" x14ac:dyDescent="0.25">
      <c r="A36" s="9"/>
      <c r="B36" s="10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6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25">
      <c r="A37" s="10"/>
      <c r="B37" s="26" t="s">
        <v>9</v>
      </c>
      <c r="C37" s="10"/>
      <c r="D37" s="20">
        <f>SUM(OSRRefD22x_0)</f>
        <v>274.11</v>
      </c>
      <c r="E37" s="20"/>
      <c r="F37" s="30">
        <f t="shared" ref="F37:F46" si="13">IF(D$12=0,0,D37/D$12)</f>
        <v>0</v>
      </c>
      <c r="G37" s="20"/>
      <c r="H37" s="20">
        <f>SUM(OSRRefH22x_0)</f>
        <v>8783.5607170000003</v>
      </c>
      <c r="I37" s="20"/>
      <c r="J37" s="30">
        <f t="shared" ref="J37:J46" si="14">IF(H$12=0,0,H37/H$12)</f>
        <v>2.0215329613348678</v>
      </c>
      <c r="K37" s="4"/>
      <c r="L37" s="20">
        <f t="shared" ref="L37:L46" si="15">+D37-H37</f>
        <v>-8509.4507169999997</v>
      </c>
      <c r="M37" s="4"/>
      <c r="N37" s="30">
        <f t="shared" ref="N37:N46" si="16">IF(H37=0,0,L37/H37)</f>
        <v>-0.96879283825414009</v>
      </c>
      <c r="O37" s="10"/>
      <c r="P37" s="20">
        <f>SUM(OSRRefP22x_0)</f>
        <v>12427.749999999996</v>
      </c>
      <c r="Q37" s="20"/>
      <c r="R37" s="30">
        <f t="shared" ref="R37:R46" si="17">IF(P$12=0,0,P37/P$12)</f>
        <v>0.58313610411450478</v>
      </c>
      <c r="S37" s="20"/>
      <c r="T37" s="20">
        <f>SUM(OSRRefT22x_0)</f>
        <v>59810.381143999999</v>
      </c>
      <c r="U37" s="20"/>
      <c r="V37" s="30">
        <f t="shared" ref="V37:V46" si="18">IF(T$12=0,0,T37/T$12)</f>
        <v>1.2471148511019829</v>
      </c>
      <c r="W37" s="4"/>
      <c r="X37" s="20">
        <f t="shared" ref="X37:X46" si="19">+P37-T37</f>
        <v>-47382.631143999999</v>
      </c>
      <c r="Y37" s="4"/>
      <c r="Z37" s="30">
        <f t="shared" ref="Z37:Z46" si="20">IF(T37=0,0,X37/T37)</f>
        <v>-0.79221416479392026</v>
      </c>
    </row>
    <row r="38" spans="1:26" s="28" customFormat="1" outlineLevel="1" collapsed="1" x14ac:dyDescent="0.25">
      <c r="A38" s="27"/>
      <c r="B38" s="14" t="str">
        <f>CONCATENATE("     ","*Benefits                                         ")</f>
        <v xml:space="preserve">     *Benefits                                         </v>
      </c>
      <c r="C38" s="14"/>
      <c r="D38" s="1">
        <f>SUM(OSRRefD22_0x_0)</f>
        <v>0</v>
      </c>
      <c r="E38" s="1"/>
      <c r="F38" s="5">
        <f t="shared" si="13"/>
        <v>0</v>
      </c>
      <c r="G38" s="1"/>
      <c r="H38" s="1">
        <f>SUM(OSRRefH22_0x_0)</f>
        <v>1782.6407170000002</v>
      </c>
      <c r="I38" s="1"/>
      <c r="J38" s="5">
        <f t="shared" si="14"/>
        <v>0.41027404303797471</v>
      </c>
      <c r="K38" s="1"/>
      <c r="L38" s="1">
        <f t="shared" si="15"/>
        <v>-1782.6407170000002</v>
      </c>
      <c r="M38" s="1"/>
      <c r="N38" s="5">
        <f t="shared" si="16"/>
        <v>-1</v>
      </c>
      <c r="O38" s="14"/>
      <c r="P38" s="1">
        <f>SUM(OSRRefP22_0x_0)</f>
        <v>778.2</v>
      </c>
      <c r="Q38" s="1"/>
      <c r="R38" s="5">
        <f t="shared" si="17"/>
        <v>3.6514776707119778E-2</v>
      </c>
      <c r="S38" s="1"/>
      <c r="T38" s="1">
        <f>SUM(OSRRefT22_0x_0)</f>
        <v>11187.411144</v>
      </c>
      <c r="U38" s="1"/>
      <c r="V38" s="5">
        <f t="shared" si="18"/>
        <v>0.23327031722930003</v>
      </c>
      <c r="W38" s="1"/>
      <c r="X38" s="1">
        <f t="shared" si="19"/>
        <v>-10409.211143999999</v>
      </c>
      <c r="Y38" s="1"/>
      <c r="Z38" s="5">
        <f t="shared" si="20"/>
        <v>-0.93043967098524283</v>
      </c>
    </row>
    <row r="39" spans="1:26" s="24" customFormat="1" hidden="1" outlineLevel="2" x14ac:dyDescent="0.25">
      <c r="A39" s="29"/>
      <c r="B39" s="11" t="str">
        <f>CONCATENATE("          ", "6111", " - ", "F.I.C.A.")</f>
        <v xml:space="preserve">          6111 - F.I.C.A.</v>
      </c>
      <c r="C39" s="11"/>
      <c r="D39" s="7"/>
      <c r="E39" s="2"/>
      <c r="F39" s="6">
        <f t="shared" si="13"/>
        <v>0</v>
      </c>
      <c r="G39" s="2"/>
      <c r="H39" s="7">
        <v>371.05570499999999</v>
      </c>
      <c r="I39" s="2"/>
      <c r="J39" s="6">
        <f t="shared" si="14"/>
        <v>8.5398321058688151E-2</v>
      </c>
      <c r="K39" s="2"/>
      <c r="L39" s="7">
        <f t="shared" si="15"/>
        <v>-371.05570499999999</v>
      </c>
      <c r="M39" s="2"/>
      <c r="N39" s="6">
        <f t="shared" si="16"/>
        <v>-1</v>
      </c>
      <c r="O39" s="11"/>
      <c r="P39" s="7">
        <v>484.61</v>
      </c>
      <c r="Q39" s="2"/>
      <c r="R39" s="6">
        <f t="shared" si="17"/>
        <v>2.2738917938881154E-2</v>
      </c>
      <c r="S39" s="2"/>
      <c r="T39" s="7">
        <v>2365.6111769999998</v>
      </c>
      <c r="U39" s="2"/>
      <c r="V39" s="6">
        <f t="shared" si="18"/>
        <v>4.9325698555015736E-2</v>
      </c>
      <c r="W39" s="2"/>
      <c r="X39" s="7">
        <f t="shared" si="19"/>
        <v>-1881.0011769999996</v>
      </c>
      <c r="Y39" s="2"/>
      <c r="Z39" s="6">
        <f t="shared" si="20"/>
        <v>-0.79514384920409087</v>
      </c>
    </row>
    <row r="40" spans="1:26" s="24" customFormat="1" hidden="1" outlineLevel="2" x14ac:dyDescent="0.25">
      <c r="A40" s="29"/>
      <c r="B40" s="11" t="str">
        <f>CONCATENATE("          ", "6112", " - ", "COMPENSATION INSURANCE")</f>
        <v xml:space="preserve">          6112 - COMPENSATION INSURANCE</v>
      </c>
      <c r="C40" s="11"/>
      <c r="D40" s="7"/>
      <c r="E40" s="2"/>
      <c r="F40" s="6">
        <f t="shared" si="13"/>
        <v>0</v>
      </c>
      <c r="G40" s="2"/>
      <c r="H40" s="7">
        <v>110.64702</v>
      </c>
      <c r="I40" s="2"/>
      <c r="J40" s="6">
        <f t="shared" si="14"/>
        <v>2.5465367088607596E-2</v>
      </c>
      <c r="K40" s="2"/>
      <c r="L40" s="7">
        <f t="shared" si="15"/>
        <v>-110.64702</v>
      </c>
      <c r="M40" s="2"/>
      <c r="N40" s="6">
        <f t="shared" si="16"/>
        <v>-1</v>
      </c>
      <c r="O40" s="11"/>
      <c r="P40" s="7">
        <v>255.57</v>
      </c>
      <c r="Q40" s="2"/>
      <c r="R40" s="6">
        <f t="shared" si="17"/>
        <v>1.1991880600152403E-2</v>
      </c>
      <c r="S40" s="2"/>
      <c r="T40" s="7">
        <v>711.601945</v>
      </c>
      <c r="U40" s="2"/>
      <c r="V40" s="6">
        <f t="shared" si="18"/>
        <v>1.4837714401884944E-2</v>
      </c>
      <c r="W40" s="2"/>
      <c r="X40" s="7">
        <f t="shared" si="19"/>
        <v>-456.03194500000001</v>
      </c>
      <c r="Y40" s="2"/>
      <c r="Z40" s="6">
        <f t="shared" si="20"/>
        <v>-0.64085258367302522</v>
      </c>
    </row>
    <row r="41" spans="1:26" s="24" customFormat="1" hidden="1" outlineLevel="2" x14ac:dyDescent="0.25">
      <c r="A41" s="29"/>
      <c r="B41" s="11" t="str">
        <f>CONCATENATE("          ", "6113", " - ", "GROUP INSURANCE")</f>
        <v xml:space="preserve">          6113 - GROUP INSURANCE</v>
      </c>
      <c r="C41" s="11"/>
      <c r="D41" s="7"/>
      <c r="E41" s="2"/>
      <c r="F41" s="6">
        <f t="shared" si="13"/>
        <v>0</v>
      </c>
      <c r="G41" s="2"/>
      <c r="H41" s="7">
        <v>665</v>
      </c>
      <c r="I41" s="2"/>
      <c r="J41" s="6">
        <f t="shared" si="14"/>
        <v>0.15304948216340622</v>
      </c>
      <c r="K41" s="2"/>
      <c r="L41" s="7">
        <f t="shared" si="15"/>
        <v>-665</v>
      </c>
      <c r="M41" s="2"/>
      <c r="N41" s="6">
        <f t="shared" si="16"/>
        <v>-1</v>
      </c>
      <c r="O41" s="11"/>
      <c r="P41" s="7"/>
      <c r="Q41" s="2"/>
      <c r="R41" s="6">
        <f t="shared" si="17"/>
        <v>0</v>
      </c>
      <c r="S41" s="2"/>
      <c r="T41" s="7">
        <v>3990</v>
      </c>
      <c r="U41" s="2"/>
      <c r="V41" s="6">
        <f t="shared" si="18"/>
        <v>8.3196063304072226E-2</v>
      </c>
      <c r="W41" s="2"/>
      <c r="X41" s="7">
        <f t="shared" si="19"/>
        <v>-3990</v>
      </c>
      <c r="Y41" s="2"/>
      <c r="Z41" s="6">
        <f t="shared" si="20"/>
        <v>-1</v>
      </c>
    </row>
    <row r="42" spans="1:26" s="24" customFormat="1" hidden="1" outlineLevel="2" x14ac:dyDescent="0.25">
      <c r="A42" s="29"/>
      <c r="B42" s="11" t="str">
        <f>CONCATENATE("          ", "6114", " - ", "STATE UNEMPLOYMENT INSURANCE")</f>
        <v xml:space="preserve">          6114 - STATE UNEMPLOYMENT INSURANCE</v>
      </c>
      <c r="C42" s="11"/>
      <c r="D42" s="7"/>
      <c r="E42" s="2"/>
      <c r="F42" s="6">
        <f t="shared" si="13"/>
        <v>0</v>
      </c>
      <c r="G42" s="2"/>
      <c r="H42" s="7">
        <v>15.550392</v>
      </c>
      <c r="I42" s="2"/>
      <c r="J42" s="6">
        <f t="shared" si="14"/>
        <v>3.5789164556962027E-3</v>
      </c>
      <c r="K42" s="2"/>
      <c r="L42" s="7">
        <f t="shared" si="15"/>
        <v>-15.550392</v>
      </c>
      <c r="M42" s="2"/>
      <c r="N42" s="6">
        <f t="shared" si="16"/>
        <v>-1</v>
      </c>
      <c r="O42" s="11"/>
      <c r="P42" s="7">
        <v>38.020000000000003</v>
      </c>
      <c r="Q42" s="2"/>
      <c r="R42" s="6">
        <f t="shared" si="17"/>
        <v>1.7839781680862169E-3</v>
      </c>
      <c r="S42" s="2"/>
      <c r="T42" s="7">
        <v>100.008922</v>
      </c>
      <c r="U42" s="2"/>
      <c r="V42" s="6">
        <f t="shared" si="18"/>
        <v>2.085300402427073E-3</v>
      </c>
      <c r="W42" s="2"/>
      <c r="X42" s="7">
        <f t="shared" si="19"/>
        <v>-61.988921999999995</v>
      </c>
      <c r="Y42" s="2"/>
      <c r="Z42" s="6">
        <f t="shared" si="20"/>
        <v>-0.61983391841779878</v>
      </c>
    </row>
    <row r="43" spans="1:26" s="24" customFormat="1" hidden="1" outlineLevel="2" x14ac:dyDescent="0.25">
      <c r="A43" s="29"/>
      <c r="B43" s="11" t="str">
        <f>CONCATENATE("          ", "6115", " - ", "P.E.R.S.")</f>
        <v xml:space="preserve">          6115 - P.E.R.S.</v>
      </c>
      <c r="C43" s="11"/>
      <c r="D43" s="7"/>
      <c r="E43" s="2"/>
      <c r="F43" s="6">
        <f t="shared" si="13"/>
        <v>0</v>
      </c>
      <c r="G43" s="2"/>
      <c r="H43" s="7">
        <v>357.76</v>
      </c>
      <c r="I43" s="2"/>
      <c r="J43" s="6">
        <f t="shared" si="14"/>
        <v>8.2338319907940161E-2</v>
      </c>
      <c r="K43" s="2"/>
      <c r="L43" s="7">
        <f t="shared" si="15"/>
        <v>-357.76</v>
      </c>
      <c r="M43" s="2"/>
      <c r="N43" s="6">
        <f t="shared" si="16"/>
        <v>-1</v>
      </c>
      <c r="O43" s="11"/>
      <c r="P43" s="7"/>
      <c r="Q43" s="2"/>
      <c r="R43" s="6">
        <f t="shared" si="17"/>
        <v>0</v>
      </c>
      <c r="S43" s="2"/>
      <c r="T43" s="7">
        <v>2325.44</v>
      </c>
      <c r="U43" s="2"/>
      <c r="V43" s="6">
        <f t="shared" si="18"/>
        <v>4.8488083571383893E-2</v>
      </c>
      <c r="W43" s="2"/>
      <c r="X43" s="7">
        <f t="shared" si="19"/>
        <v>-2325.44</v>
      </c>
      <c r="Y43" s="2"/>
      <c r="Z43" s="6">
        <f t="shared" si="20"/>
        <v>-1</v>
      </c>
    </row>
    <row r="44" spans="1:26" s="24" customFormat="1" hidden="1" outlineLevel="2" x14ac:dyDescent="0.25">
      <c r="A44" s="29"/>
      <c r="B44" s="11" t="str">
        <f>CONCATENATE("          ", "6116", " - ", "EDUCATIONAL BENEFITS")</f>
        <v xml:space="preserve">          6116 - EDUCATIONAL BENEFITS</v>
      </c>
      <c r="C44" s="11"/>
      <c r="D44" s="7"/>
      <c r="E44" s="2"/>
      <c r="F44" s="6">
        <f t="shared" si="13"/>
        <v>0</v>
      </c>
      <c r="G44" s="2"/>
      <c r="H44" s="7">
        <v>0</v>
      </c>
      <c r="I44" s="2"/>
      <c r="J44" s="6">
        <f t="shared" si="14"/>
        <v>0</v>
      </c>
      <c r="K44" s="2"/>
      <c r="L44" s="7">
        <f t="shared" si="15"/>
        <v>0</v>
      </c>
      <c r="M44" s="2"/>
      <c r="N44" s="6">
        <f t="shared" si="16"/>
        <v>0</v>
      </c>
      <c r="O44" s="11"/>
      <c r="P44" s="7"/>
      <c r="Q44" s="2"/>
      <c r="R44" s="6">
        <f t="shared" si="17"/>
        <v>0</v>
      </c>
      <c r="S44" s="2"/>
      <c r="T44" s="7">
        <v>0</v>
      </c>
      <c r="U44" s="2"/>
      <c r="V44" s="6">
        <f t="shared" si="18"/>
        <v>0</v>
      </c>
      <c r="W44" s="2"/>
      <c r="X44" s="7">
        <f t="shared" si="19"/>
        <v>0</v>
      </c>
      <c r="Y44" s="2"/>
      <c r="Z44" s="6">
        <f t="shared" si="20"/>
        <v>0</v>
      </c>
    </row>
    <row r="45" spans="1:26" s="24" customFormat="1" hidden="1" outlineLevel="2" x14ac:dyDescent="0.25">
      <c r="A45" s="29"/>
      <c r="B45" s="11" t="str">
        <f>CONCATENATE("          ", "6118", " - ", "VACATION")</f>
        <v xml:space="preserve">          6118 - VACATION</v>
      </c>
      <c r="C45" s="11"/>
      <c r="D45" s="7"/>
      <c r="E45" s="2"/>
      <c r="F45" s="6">
        <f t="shared" si="13"/>
        <v>0</v>
      </c>
      <c r="G45" s="2"/>
      <c r="H45" s="7">
        <v>124.8</v>
      </c>
      <c r="I45" s="2"/>
      <c r="J45" s="6">
        <f t="shared" si="14"/>
        <v>2.8722669735327961E-2</v>
      </c>
      <c r="K45" s="2"/>
      <c r="L45" s="7">
        <f t="shared" si="15"/>
        <v>-124.8</v>
      </c>
      <c r="M45" s="2"/>
      <c r="N45" s="6">
        <f t="shared" si="16"/>
        <v>-1</v>
      </c>
      <c r="O45" s="11"/>
      <c r="P45" s="7"/>
      <c r="Q45" s="2"/>
      <c r="R45" s="6">
        <f t="shared" si="17"/>
        <v>0</v>
      </c>
      <c r="S45" s="2"/>
      <c r="T45" s="7">
        <v>811.2</v>
      </c>
      <c r="U45" s="2"/>
      <c r="V45" s="6">
        <f t="shared" si="18"/>
        <v>1.6914447757459497E-2</v>
      </c>
      <c r="W45" s="2"/>
      <c r="X45" s="7">
        <f t="shared" si="19"/>
        <v>-811.2</v>
      </c>
      <c r="Y45" s="2"/>
      <c r="Z45" s="6">
        <f t="shared" si="20"/>
        <v>-1</v>
      </c>
    </row>
    <row r="46" spans="1:26" s="24" customFormat="1" hidden="1" outlineLevel="2" x14ac:dyDescent="0.25">
      <c r="A46" s="29"/>
      <c r="B46" s="11" t="str">
        <f>CONCATENATE("          ", "6119", " - ", "SICK LEAVE")</f>
        <v xml:space="preserve">          6119 - SICK LEAVE</v>
      </c>
      <c r="C46" s="11"/>
      <c r="D46" s="7"/>
      <c r="E46" s="2"/>
      <c r="F46" s="6">
        <f t="shared" si="13"/>
        <v>0</v>
      </c>
      <c r="G46" s="2"/>
      <c r="H46" s="7">
        <v>137.82759999999999</v>
      </c>
      <c r="I46" s="2"/>
      <c r="J46" s="6">
        <f t="shared" si="14"/>
        <v>3.1720966628308395E-2</v>
      </c>
      <c r="K46" s="2"/>
      <c r="L46" s="7">
        <f t="shared" si="15"/>
        <v>-137.82759999999999</v>
      </c>
      <c r="M46" s="2"/>
      <c r="N46" s="6">
        <f t="shared" si="16"/>
        <v>-1</v>
      </c>
      <c r="O46" s="11"/>
      <c r="P46" s="7"/>
      <c r="Q46" s="2"/>
      <c r="R46" s="6">
        <f t="shared" si="17"/>
        <v>0</v>
      </c>
      <c r="S46" s="2"/>
      <c r="T46" s="7">
        <v>883.54909999999995</v>
      </c>
      <c r="U46" s="2"/>
      <c r="V46" s="6">
        <f t="shared" si="18"/>
        <v>1.8423009237056653E-2</v>
      </c>
      <c r="W46" s="2"/>
      <c r="X46" s="7">
        <f t="shared" si="19"/>
        <v>-883.54909999999995</v>
      </c>
      <c r="Y46" s="2"/>
      <c r="Z46" s="6">
        <f t="shared" si="20"/>
        <v>-1</v>
      </c>
    </row>
    <row r="47" spans="1:26" s="28" customFormat="1" outlineLevel="1" collapsed="1" x14ac:dyDescent="0.25">
      <c r="A47" s="27"/>
      <c r="B47" s="14" t="str">
        <f>CONCATENATE("     ","*Payroll                                          ")</f>
        <v xml:space="preserve">     *Payroll                                          </v>
      </c>
      <c r="C47" s="14"/>
      <c r="D47" s="1">
        <f>SUM(OSRRefD22_1x_0)</f>
        <v>0</v>
      </c>
      <c r="E47" s="1"/>
      <c r="F47" s="5">
        <f t="shared" ref="F47:F57" si="21">IF(D$12=0,0,D47/D$12)</f>
        <v>0</v>
      </c>
      <c r="G47" s="1"/>
      <c r="H47" s="1">
        <f>SUM(OSRRefH22_1x_0)</f>
        <v>5772.92</v>
      </c>
      <c r="I47" s="1"/>
      <c r="J47" s="5">
        <f t="shared" ref="J47:J57" si="22">IF(H$12=0,0,H47/H$12)</f>
        <v>1.3286352128883774</v>
      </c>
      <c r="K47" s="1"/>
      <c r="L47" s="1">
        <f t="shared" ref="L47:L57" si="23">+D47-H47</f>
        <v>-5772.92</v>
      </c>
      <c r="M47" s="1"/>
      <c r="N47" s="5">
        <f t="shared" ref="N47:N57" si="24">IF(H47=0,0,L47/H47)</f>
        <v>-1</v>
      </c>
      <c r="O47" s="14"/>
      <c r="P47" s="1">
        <f>SUM(OSRRefP22_1x_0)</f>
        <v>8152.5399999999991</v>
      </c>
      <c r="Q47" s="1"/>
      <c r="R47" s="5">
        <f t="shared" ref="R47:R57" si="25">IF(P$12=0,0,P47/P$12)</f>
        <v>0.38253428128483963</v>
      </c>
      <c r="S47" s="1"/>
      <c r="T47" s="1">
        <f>SUM(OSRRefT22_1x_0)</f>
        <v>37112.97</v>
      </c>
      <c r="U47" s="1"/>
      <c r="V47" s="5">
        <f t="shared" ref="V47:V57" si="26">IF(T$12=0,0,T47/T$12)</f>
        <v>0.77384787005567257</v>
      </c>
      <c r="W47" s="1"/>
      <c r="X47" s="1">
        <f t="shared" ref="X47:X57" si="27">+P47-T47</f>
        <v>-28960.43</v>
      </c>
      <c r="Y47" s="1"/>
      <c r="Z47" s="5">
        <f t="shared" ref="Z47:Z57" si="28">IF(T47=0,0,X47/T47)</f>
        <v>-0.78033178158471284</v>
      </c>
    </row>
    <row r="48" spans="1:26" s="24" customFormat="1" hidden="1" outlineLevel="2" x14ac:dyDescent="0.25">
      <c r="A48" s="29"/>
      <c r="B48" s="11" t="str">
        <f>CONCATENATE("          ", "6001", " - ", "ADMINISTRATIVE SALARIES")</f>
        <v xml:space="preserve">          6001 - ADMINISTRATIVE SALARIES</v>
      </c>
      <c r="C48" s="11"/>
      <c r="D48" s="7"/>
      <c r="E48" s="2"/>
      <c r="F48" s="6">
        <f t="shared" si="21"/>
        <v>0</v>
      </c>
      <c r="G48" s="2"/>
      <c r="H48" s="7">
        <v>3952</v>
      </c>
      <c r="I48" s="2"/>
      <c r="J48" s="6">
        <f t="shared" si="22"/>
        <v>0.90955120828538549</v>
      </c>
      <c r="K48" s="2"/>
      <c r="L48" s="7">
        <f t="shared" si="23"/>
        <v>-3952</v>
      </c>
      <c r="M48" s="2"/>
      <c r="N48" s="6">
        <f t="shared" si="24"/>
        <v>-1</v>
      </c>
      <c r="O48" s="11"/>
      <c r="P48" s="7"/>
      <c r="Q48" s="2"/>
      <c r="R48" s="6">
        <f t="shared" si="25"/>
        <v>0</v>
      </c>
      <c r="S48" s="2"/>
      <c r="T48" s="7">
        <v>25688</v>
      </c>
      <c r="U48" s="2"/>
      <c r="V48" s="6">
        <f t="shared" si="26"/>
        <v>0.53562417898621739</v>
      </c>
      <c r="W48" s="2"/>
      <c r="X48" s="7">
        <f t="shared" si="27"/>
        <v>-25688</v>
      </c>
      <c r="Y48" s="2"/>
      <c r="Z48" s="6">
        <f t="shared" si="28"/>
        <v>-1</v>
      </c>
    </row>
    <row r="49" spans="1:26" s="24" customFormat="1" hidden="1" outlineLevel="2" x14ac:dyDescent="0.25">
      <c r="A49" s="29"/>
      <c r="B49" s="11" t="str">
        <f>CONCATENATE("          ", "6002", " - ", "STAFF SALARIES")</f>
        <v xml:space="preserve">          6002 - STAFF SALARIES</v>
      </c>
      <c r="C49" s="11"/>
      <c r="D49" s="7"/>
      <c r="E49" s="2"/>
      <c r="F49" s="6">
        <f t="shared" si="21"/>
        <v>0</v>
      </c>
      <c r="G49" s="2"/>
      <c r="H49" s="7">
        <v>0</v>
      </c>
      <c r="I49" s="2"/>
      <c r="J49" s="6">
        <f t="shared" si="22"/>
        <v>0</v>
      </c>
      <c r="K49" s="2"/>
      <c r="L49" s="7">
        <f t="shared" si="23"/>
        <v>0</v>
      </c>
      <c r="M49" s="2"/>
      <c r="N49" s="6">
        <f t="shared" si="24"/>
        <v>0</v>
      </c>
      <c r="O49" s="11"/>
      <c r="P49" s="7"/>
      <c r="Q49" s="2"/>
      <c r="R49" s="6">
        <f t="shared" si="25"/>
        <v>0</v>
      </c>
      <c r="S49" s="2"/>
      <c r="T49" s="7">
        <v>0</v>
      </c>
      <c r="U49" s="2"/>
      <c r="V49" s="6">
        <f t="shared" si="26"/>
        <v>0</v>
      </c>
      <c r="W49" s="2"/>
      <c r="X49" s="7">
        <f t="shared" si="27"/>
        <v>0</v>
      </c>
      <c r="Y49" s="2"/>
      <c r="Z49" s="6">
        <f t="shared" si="28"/>
        <v>0</v>
      </c>
    </row>
    <row r="50" spans="1:26" s="24" customFormat="1" hidden="1" outlineLevel="2" x14ac:dyDescent="0.25">
      <c r="A50" s="29"/>
      <c r="B50" s="11" t="str">
        <f>CONCATENATE("          ", "6003", " - ", "STAFF HOURLY-9 MONTH")</f>
        <v xml:space="preserve">          6003 - STAFF HOURLY-9 MONTH</v>
      </c>
      <c r="C50" s="11"/>
      <c r="D50" s="7"/>
      <c r="E50" s="2"/>
      <c r="F50" s="6">
        <f t="shared" si="21"/>
        <v>0</v>
      </c>
      <c r="G50" s="2"/>
      <c r="H50" s="7">
        <v>0</v>
      </c>
      <c r="I50" s="2"/>
      <c r="J50" s="6">
        <f t="shared" si="22"/>
        <v>0</v>
      </c>
      <c r="K50" s="2"/>
      <c r="L50" s="7">
        <f t="shared" si="23"/>
        <v>0</v>
      </c>
      <c r="M50" s="2"/>
      <c r="N50" s="6">
        <f t="shared" si="24"/>
        <v>0</v>
      </c>
      <c r="O50" s="11"/>
      <c r="P50" s="7"/>
      <c r="Q50" s="2"/>
      <c r="R50" s="6">
        <f t="shared" si="25"/>
        <v>0</v>
      </c>
      <c r="S50" s="2"/>
      <c r="T50" s="7">
        <v>0</v>
      </c>
      <c r="U50" s="2"/>
      <c r="V50" s="6">
        <f t="shared" si="26"/>
        <v>0</v>
      </c>
      <c r="W50" s="2"/>
      <c r="X50" s="7">
        <f t="shared" si="27"/>
        <v>0</v>
      </c>
      <c r="Y50" s="2"/>
      <c r="Z50" s="6">
        <f t="shared" si="28"/>
        <v>0</v>
      </c>
    </row>
    <row r="51" spans="1:26" s="24" customFormat="1" hidden="1" outlineLevel="2" x14ac:dyDescent="0.25">
      <c r="A51" s="29"/>
      <c r="B51" s="11" t="str">
        <f>CONCATENATE("          ", "6004", " - ", "STAFF HOURLY")</f>
        <v xml:space="preserve">          6004 - STAFF HOURLY</v>
      </c>
      <c r="C51" s="11"/>
      <c r="D51" s="7"/>
      <c r="E51" s="2"/>
      <c r="F51" s="6">
        <f t="shared" si="21"/>
        <v>0</v>
      </c>
      <c r="G51" s="2"/>
      <c r="H51" s="7">
        <v>688.5</v>
      </c>
      <c r="I51" s="2"/>
      <c r="J51" s="6">
        <f t="shared" si="22"/>
        <v>0.15845799769850402</v>
      </c>
      <c r="K51" s="2"/>
      <c r="L51" s="7">
        <f t="shared" si="23"/>
        <v>-688.5</v>
      </c>
      <c r="M51" s="2"/>
      <c r="N51" s="6">
        <f t="shared" si="24"/>
        <v>-1</v>
      </c>
      <c r="O51" s="11"/>
      <c r="P51" s="7"/>
      <c r="Q51" s="2"/>
      <c r="R51" s="6">
        <f t="shared" si="25"/>
        <v>0</v>
      </c>
      <c r="S51" s="2"/>
      <c r="T51" s="7">
        <v>3870.9</v>
      </c>
      <c r="U51" s="2"/>
      <c r="V51" s="6">
        <f t="shared" si="26"/>
        <v>8.0712692091161206E-2</v>
      </c>
      <c r="W51" s="2"/>
      <c r="X51" s="7">
        <f t="shared" si="27"/>
        <v>-3870.9</v>
      </c>
      <c r="Y51" s="2"/>
      <c r="Z51" s="6">
        <f t="shared" si="28"/>
        <v>-1</v>
      </c>
    </row>
    <row r="52" spans="1:26" s="24" customFormat="1" hidden="1" outlineLevel="2" x14ac:dyDescent="0.25">
      <c r="A52" s="29"/>
      <c r="B52" s="11" t="str">
        <f>CONCATENATE("          ", "6005", " - ", "TEMPORARY WAGES-HOURLY")</f>
        <v xml:space="preserve">          6005 - TEMPORARY WAGES-HOURLY</v>
      </c>
      <c r="C52" s="11"/>
      <c r="D52" s="7"/>
      <c r="E52" s="2"/>
      <c r="F52" s="6">
        <f t="shared" si="21"/>
        <v>0</v>
      </c>
      <c r="G52" s="2"/>
      <c r="H52" s="7">
        <v>0</v>
      </c>
      <c r="I52" s="2"/>
      <c r="J52" s="6">
        <f t="shared" si="22"/>
        <v>0</v>
      </c>
      <c r="K52" s="2"/>
      <c r="L52" s="7">
        <f t="shared" si="23"/>
        <v>0</v>
      </c>
      <c r="M52" s="2"/>
      <c r="N52" s="6">
        <f t="shared" si="24"/>
        <v>0</v>
      </c>
      <c r="O52" s="11"/>
      <c r="P52" s="7">
        <v>5379.19</v>
      </c>
      <c r="Q52" s="2"/>
      <c r="R52" s="6">
        <f t="shared" si="25"/>
        <v>0.25240288064144384</v>
      </c>
      <c r="S52" s="2"/>
      <c r="T52" s="7">
        <v>0</v>
      </c>
      <c r="U52" s="2"/>
      <c r="V52" s="6">
        <f t="shared" si="26"/>
        <v>0</v>
      </c>
      <c r="W52" s="2"/>
      <c r="X52" s="7">
        <f t="shared" si="27"/>
        <v>5379.19</v>
      </c>
      <c r="Y52" s="2"/>
      <c r="Z52" s="6">
        <f t="shared" si="28"/>
        <v>0</v>
      </c>
    </row>
    <row r="53" spans="1:26" s="24" customFormat="1" hidden="1" outlineLevel="2" x14ac:dyDescent="0.25">
      <c r="A53" s="29"/>
      <c r="B53" s="11" t="str">
        <f>CONCATENATE("          ", "6006", " - ", "TEMPORARY PART TIME")</f>
        <v xml:space="preserve">          6006 - TEMPORARY PART TIME</v>
      </c>
      <c r="C53" s="11"/>
      <c r="D53" s="7"/>
      <c r="E53" s="2"/>
      <c r="F53" s="6">
        <f t="shared" si="21"/>
        <v>0</v>
      </c>
      <c r="G53" s="2"/>
      <c r="H53" s="7">
        <v>0</v>
      </c>
      <c r="I53" s="2"/>
      <c r="J53" s="6">
        <f t="shared" si="22"/>
        <v>0</v>
      </c>
      <c r="K53" s="2"/>
      <c r="L53" s="7">
        <f t="shared" si="23"/>
        <v>0</v>
      </c>
      <c r="M53" s="2"/>
      <c r="N53" s="6">
        <f t="shared" si="24"/>
        <v>0</v>
      </c>
      <c r="O53" s="11"/>
      <c r="P53" s="7"/>
      <c r="Q53" s="2"/>
      <c r="R53" s="6">
        <f t="shared" si="25"/>
        <v>0</v>
      </c>
      <c r="S53" s="2"/>
      <c r="T53" s="7">
        <v>0</v>
      </c>
      <c r="U53" s="2"/>
      <c r="V53" s="6">
        <f t="shared" si="26"/>
        <v>0</v>
      </c>
      <c r="W53" s="2"/>
      <c r="X53" s="7">
        <f t="shared" si="27"/>
        <v>0</v>
      </c>
      <c r="Y53" s="2"/>
      <c r="Z53" s="6">
        <f t="shared" si="28"/>
        <v>0</v>
      </c>
    </row>
    <row r="54" spans="1:26" s="24" customFormat="1" hidden="1" outlineLevel="2" x14ac:dyDescent="0.25">
      <c r="A54" s="29"/>
      <c r="B54" s="11" t="str">
        <f>CONCATENATE("          ", "6007", " - ", "STUDENT HOURLY")</f>
        <v xml:space="preserve">          6007 - STUDENT HOURLY</v>
      </c>
      <c r="C54" s="11"/>
      <c r="D54" s="7"/>
      <c r="E54" s="2"/>
      <c r="F54" s="6">
        <f t="shared" si="21"/>
        <v>0</v>
      </c>
      <c r="G54" s="2"/>
      <c r="H54" s="7">
        <v>0</v>
      </c>
      <c r="I54" s="2"/>
      <c r="J54" s="6">
        <f t="shared" si="22"/>
        <v>0</v>
      </c>
      <c r="K54" s="2"/>
      <c r="L54" s="7">
        <f t="shared" si="23"/>
        <v>0</v>
      </c>
      <c r="M54" s="2"/>
      <c r="N54" s="6">
        <f t="shared" si="24"/>
        <v>0</v>
      </c>
      <c r="O54" s="11"/>
      <c r="P54" s="7">
        <v>2773.35</v>
      </c>
      <c r="Q54" s="2"/>
      <c r="R54" s="6">
        <f t="shared" si="25"/>
        <v>0.13013140064339582</v>
      </c>
      <c r="S54" s="2"/>
      <c r="T54" s="7">
        <v>0</v>
      </c>
      <c r="U54" s="2"/>
      <c r="V54" s="6">
        <f t="shared" si="26"/>
        <v>0</v>
      </c>
      <c r="W54" s="2"/>
      <c r="X54" s="7">
        <f t="shared" si="27"/>
        <v>2773.35</v>
      </c>
      <c r="Y54" s="2"/>
      <c r="Z54" s="6">
        <f t="shared" si="28"/>
        <v>0</v>
      </c>
    </row>
    <row r="55" spans="1:26" s="24" customFormat="1" hidden="1" outlineLevel="2" x14ac:dyDescent="0.25">
      <c r="A55" s="29"/>
      <c r="B55" s="11" t="str">
        <f>CONCATENATE("          ", "6008", " - ", "STUDENT HOURLY-FICA EXEMPT")</f>
        <v xml:space="preserve">          6008 - STUDENT HOURLY-FICA EXEMPT</v>
      </c>
      <c r="C55" s="11"/>
      <c r="D55" s="7"/>
      <c r="E55" s="2"/>
      <c r="F55" s="6">
        <f t="shared" si="21"/>
        <v>0</v>
      </c>
      <c r="G55" s="2"/>
      <c r="H55" s="7">
        <v>1132.42</v>
      </c>
      <c r="I55" s="2"/>
      <c r="J55" s="6">
        <f t="shared" si="22"/>
        <v>0.26062600690448795</v>
      </c>
      <c r="K55" s="2"/>
      <c r="L55" s="7">
        <f t="shared" si="23"/>
        <v>-1132.42</v>
      </c>
      <c r="M55" s="2"/>
      <c r="N55" s="6">
        <f t="shared" si="24"/>
        <v>-1</v>
      </c>
      <c r="O55" s="11"/>
      <c r="P55" s="7"/>
      <c r="Q55" s="2"/>
      <c r="R55" s="6">
        <f t="shared" si="25"/>
        <v>0</v>
      </c>
      <c r="S55" s="2"/>
      <c r="T55" s="7">
        <v>7554.07</v>
      </c>
      <c r="U55" s="2"/>
      <c r="V55" s="6">
        <f t="shared" si="26"/>
        <v>0.15751099897829396</v>
      </c>
      <c r="W55" s="2"/>
      <c r="X55" s="7">
        <f t="shared" si="27"/>
        <v>-7554.07</v>
      </c>
      <c r="Y55" s="2"/>
      <c r="Z55" s="6">
        <f t="shared" si="28"/>
        <v>-1</v>
      </c>
    </row>
    <row r="56" spans="1:26" s="24" customFormat="1" hidden="1" outlineLevel="2" x14ac:dyDescent="0.25">
      <c r="A56" s="29"/>
      <c r="B56" s="11" t="str">
        <f>CONCATENATE("          ", "6009", " - ", "TEMPORARY-SEASONAL")</f>
        <v xml:space="preserve">          6009 - TEMPORARY-SEASONAL</v>
      </c>
      <c r="C56" s="11"/>
      <c r="D56" s="7"/>
      <c r="E56" s="2"/>
      <c r="F56" s="6">
        <f t="shared" si="21"/>
        <v>0</v>
      </c>
      <c r="G56" s="2"/>
      <c r="H56" s="7">
        <v>0</v>
      </c>
      <c r="I56" s="2"/>
      <c r="J56" s="6">
        <f t="shared" si="22"/>
        <v>0</v>
      </c>
      <c r="K56" s="2"/>
      <c r="L56" s="7">
        <f t="shared" si="23"/>
        <v>0</v>
      </c>
      <c r="M56" s="2"/>
      <c r="N56" s="6">
        <f t="shared" si="24"/>
        <v>0</v>
      </c>
      <c r="O56" s="11"/>
      <c r="P56" s="7"/>
      <c r="Q56" s="2"/>
      <c r="R56" s="6">
        <f t="shared" si="25"/>
        <v>0</v>
      </c>
      <c r="S56" s="2"/>
      <c r="T56" s="7">
        <v>0</v>
      </c>
      <c r="U56" s="2"/>
      <c r="V56" s="6">
        <f t="shared" si="26"/>
        <v>0</v>
      </c>
      <c r="W56" s="2"/>
      <c r="X56" s="7">
        <f t="shared" si="27"/>
        <v>0</v>
      </c>
      <c r="Y56" s="2"/>
      <c r="Z56" s="6">
        <f t="shared" si="28"/>
        <v>0</v>
      </c>
    </row>
    <row r="57" spans="1:26" s="24" customFormat="1" hidden="1" outlineLevel="2" x14ac:dyDescent="0.25">
      <c r="A57" s="29"/>
      <c r="B57" s="11" t="str">
        <f>CONCATENATE("          ", "6010", " - ", "GRATUITY")</f>
        <v xml:space="preserve">          6010 - GRATUITY</v>
      </c>
      <c r="C57" s="11"/>
      <c r="D57" s="7"/>
      <c r="E57" s="2"/>
      <c r="F57" s="6">
        <f t="shared" si="21"/>
        <v>0</v>
      </c>
      <c r="G57" s="2"/>
      <c r="H57" s="7">
        <v>0</v>
      </c>
      <c r="I57" s="2"/>
      <c r="J57" s="6">
        <f t="shared" si="22"/>
        <v>0</v>
      </c>
      <c r="K57" s="2"/>
      <c r="L57" s="7">
        <f t="shared" si="23"/>
        <v>0</v>
      </c>
      <c r="M57" s="2"/>
      <c r="N57" s="6">
        <f t="shared" si="24"/>
        <v>0</v>
      </c>
      <c r="O57" s="11"/>
      <c r="P57" s="7"/>
      <c r="Q57" s="2"/>
      <c r="R57" s="6">
        <f t="shared" si="25"/>
        <v>0</v>
      </c>
      <c r="S57" s="2"/>
      <c r="T57" s="7">
        <v>0</v>
      </c>
      <c r="U57" s="2"/>
      <c r="V57" s="6">
        <f t="shared" si="26"/>
        <v>0</v>
      </c>
      <c r="W57" s="2"/>
      <c r="X57" s="7">
        <f t="shared" si="27"/>
        <v>0</v>
      </c>
      <c r="Y57" s="2"/>
      <c r="Z57" s="6">
        <f t="shared" si="28"/>
        <v>0</v>
      </c>
    </row>
    <row r="58" spans="1:26" s="28" customFormat="1" outlineLevel="1" collapsed="1" x14ac:dyDescent="0.25">
      <c r="A58" s="27"/>
      <c r="B58" s="14" t="str">
        <f>CONCATENATE("     ","Advertising/Promo                                 ")</f>
        <v xml:space="preserve">     Advertising/Promo                                 </v>
      </c>
      <c r="C58" s="14"/>
      <c r="D58" s="1">
        <f>SUM(OSRRefD22_2x_0)</f>
        <v>0</v>
      </c>
      <c r="E58" s="1"/>
      <c r="F58" s="5">
        <f t="shared" ref="F58:F66" si="29">IF(D$12=0,0,D58/D$12)</f>
        <v>0</v>
      </c>
      <c r="G58" s="1"/>
      <c r="H58" s="1">
        <f>SUM(OSRRefH22_2x_0)</f>
        <v>100</v>
      </c>
      <c r="I58" s="1"/>
      <c r="J58" s="5">
        <f t="shared" ref="J58:J66" si="30">IF(H$12=0,0,H58/H$12)</f>
        <v>2.3014959723820484E-2</v>
      </c>
      <c r="K58" s="1"/>
      <c r="L58" s="1">
        <f t="shared" ref="L58:L66" si="31">+D58-H58</f>
        <v>-100</v>
      </c>
      <c r="M58" s="1"/>
      <c r="N58" s="5">
        <f t="shared" ref="N58:N66" si="32">IF(H58=0,0,L58/H58)</f>
        <v>-1</v>
      </c>
      <c r="O58" s="14"/>
      <c r="P58" s="1">
        <f>SUM(OSRRefP22_2x_0)</f>
        <v>124.72</v>
      </c>
      <c r="Q58" s="1"/>
      <c r="R58" s="5">
        <f t="shared" ref="R58:R66" si="33">IF(P$12=0,0,P58/P$12)</f>
        <v>5.8521240695347957E-3</v>
      </c>
      <c r="S58" s="1"/>
      <c r="T58" s="1">
        <f>SUM(OSRRefT22_2x_0)</f>
        <v>500</v>
      </c>
      <c r="U58" s="1"/>
      <c r="V58" s="5">
        <f t="shared" ref="V58:V66" si="34">IF(T$12=0,0,T58/T$12)</f>
        <v>1.0425571842615567E-2</v>
      </c>
      <c r="W58" s="1"/>
      <c r="X58" s="1">
        <f t="shared" ref="X58:X66" si="35">+P58-T58</f>
        <v>-375.28</v>
      </c>
      <c r="Y58" s="1"/>
      <c r="Z58" s="5">
        <f t="shared" ref="Z58:Z66" si="36">IF(T58=0,0,X58/T58)</f>
        <v>-0.75055999999999989</v>
      </c>
    </row>
    <row r="59" spans="1:26" s="24" customFormat="1" hidden="1" outlineLevel="2" x14ac:dyDescent="0.25">
      <c r="A59" s="29"/>
      <c r="B59" s="11" t="str">
        <f>CONCATENATE("          ", "6362", " - ", "ADVERTISING EXPENSE")</f>
        <v xml:space="preserve">          6362 - ADVERTISING EXPENSE</v>
      </c>
      <c r="C59" s="11"/>
      <c r="D59" s="7"/>
      <c r="E59" s="2"/>
      <c r="F59" s="6">
        <f t="shared" si="29"/>
        <v>0</v>
      </c>
      <c r="G59" s="2"/>
      <c r="H59" s="7">
        <v>100</v>
      </c>
      <c r="I59" s="2"/>
      <c r="J59" s="6">
        <f t="shared" si="30"/>
        <v>2.3014959723820484E-2</v>
      </c>
      <c r="K59" s="2"/>
      <c r="L59" s="7">
        <f t="shared" si="31"/>
        <v>-100</v>
      </c>
      <c r="M59" s="2"/>
      <c r="N59" s="6">
        <f t="shared" si="32"/>
        <v>-1</v>
      </c>
      <c r="O59" s="11"/>
      <c r="P59" s="7">
        <v>124.72</v>
      </c>
      <c r="Q59" s="2"/>
      <c r="R59" s="6">
        <f t="shared" si="33"/>
        <v>5.8521240695347957E-3</v>
      </c>
      <c r="S59" s="2"/>
      <c r="T59" s="7">
        <v>500</v>
      </c>
      <c r="U59" s="2"/>
      <c r="V59" s="6">
        <f t="shared" si="34"/>
        <v>1.0425571842615567E-2</v>
      </c>
      <c r="W59" s="2"/>
      <c r="X59" s="7">
        <f t="shared" si="35"/>
        <v>-375.28</v>
      </c>
      <c r="Y59" s="2"/>
      <c r="Z59" s="6">
        <f t="shared" si="36"/>
        <v>-0.75055999999999989</v>
      </c>
    </row>
    <row r="60" spans="1:26" s="28" customFormat="1" outlineLevel="1" collapsed="1" x14ac:dyDescent="0.25">
      <c r="A60" s="27"/>
      <c r="B60" s="14" t="str">
        <f>CONCATENATE("     ","Bad Debts/Over/Short                              ")</f>
        <v xml:space="preserve">     Bad Debts/Over/Short                              </v>
      </c>
      <c r="C60" s="14"/>
      <c r="D60" s="1">
        <f>SUM(OSRRefD22_3x_0)</f>
        <v>0</v>
      </c>
      <c r="E60" s="1"/>
      <c r="F60" s="5">
        <f t="shared" si="29"/>
        <v>0</v>
      </c>
      <c r="G60" s="1"/>
      <c r="H60" s="1">
        <f>SUM(OSRRefH22_3x_0)</f>
        <v>0</v>
      </c>
      <c r="I60" s="1"/>
      <c r="J60" s="5">
        <f t="shared" si="30"/>
        <v>0</v>
      </c>
      <c r="K60" s="1"/>
      <c r="L60" s="1">
        <f t="shared" si="31"/>
        <v>0</v>
      </c>
      <c r="M60" s="1"/>
      <c r="N60" s="5">
        <f t="shared" si="32"/>
        <v>0</v>
      </c>
      <c r="O60" s="14"/>
      <c r="P60" s="1">
        <f>SUM(OSRRefP22_3x_0)</f>
        <v>1.1000000000000001</v>
      </c>
      <c r="Q60" s="1"/>
      <c r="R60" s="5">
        <f t="shared" si="33"/>
        <v>5.1614307861516002E-5</v>
      </c>
      <c r="S60" s="1"/>
      <c r="T60" s="1">
        <f>SUM(OSRRefT22_3x_0)</f>
        <v>0</v>
      </c>
      <c r="U60" s="1"/>
      <c r="V60" s="5">
        <f t="shared" si="34"/>
        <v>0</v>
      </c>
      <c r="W60" s="1"/>
      <c r="X60" s="1">
        <f t="shared" si="35"/>
        <v>1.1000000000000001</v>
      </c>
      <c r="Y60" s="1"/>
      <c r="Z60" s="5">
        <f t="shared" si="36"/>
        <v>0</v>
      </c>
    </row>
    <row r="61" spans="1:26" s="24" customFormat="1" hidden="1" outlineLevel="2" x14ac:dyDescent="0.25">
      <c r="A61" s="29"/>
      <c r="B61" s="11" t="str">
        <f>CONCATENATE("          ", "6272", " - ", "CASH (OVER/SHORT)")</f>
        <v xml:space="preserve">          6272 - CASH (OVER/SHORT)</v>
      </c>
      <c r="C61" s="11"/>
      <c r="D61" s="7"/>
      <c r="E61" s="2"/>
      <c r="F61" s="6">
        <f t="shared" si="29"/>
        <v>0</v>
      </c>
      <c r="G61" s="2"/>
      <c r="H61" s="7"/>
      <c r="I61" s="2"/>
      <c r="J61" s="6">
        <f t="shared" si="30"/>
        <v>0</v>
      </c>
      <c r="K61" s="2"/>
      <c r="L61" s="7">
        <f t="shared" si="31"/>
        <v>0</v>
      </c>
      <c r="M61" s="2"/>
      <c r="N61" s="6">
        <f t="shared" si="32"/>
        <v>0</v>
      </c>
      <c r="O61" s="11"/>
      <c r="P61" s="7">
        <v>1.1000000000000001</v>
      </c>
      <c r="Q61" s="2"/>
      <c r="R61" s="6">
        <f t="shared" si="33"/>
        <v>5.1614307861516002E-5</v>
      </c>
      <c r="S61" s="2"/>
      <c r="T61" s="7"/>
      <c r="U61" s="2"/>
      <c r="V61" s="6">
        <f t="shared" si="34"/>
        <v>0</v>
      </c>
      <c r="W61" s="2"/>
      <c r="X61" s="7">
        <f t="shared" si="35"/>
        <v>1.1000000000000001</v>
      </c>
      <c r="Y61" s="2"/>
      <c r="Z61" s="6">
        <f t="shared" si="36"/>
        <v>0</v>
      </c>
    </row>
    <row r="62" spans="1:26" s="28" customFormat="1" outlineLevel="1" collapsed="1" x14ac:dyDescent="0.25">
      <c r="A62" s="27"/>
      <c r="B62" s="14" t="str">
        <f>CONCATENATE("     ","Bank/card Fees                                    ")</f>
        <v xml:space="preserve">     Bank/card Fees                                    </v>
      </c>
      <c r="C62" s="14"/>
      <c r="D62" s="1">
        <f>SUM(OSRRefD22_4x_0)</f>
        <v>0</v>
      </c>
      <c r="E62" s="1"/>
      <c r="F62" s="5">
        <f t="shared" si="29"/>
        <v>0</v>
      </c>
      <c r="G62" s="1"/>
      <c r="H62" s="1">
        <f>SUM(OSRRefH22_4x_0)</f>
        <v>0</v>
      </c>
      <c r="I62" s="1"/>
      <c r="J62" s="5">
        <f t="shared" si="30"/>
        <v>0</v>
      </c>
      <c r="K62" s="1"/>
      <c r="L62" s="1">
        <f t="shared" si="31"/>
        <v>0</v>
      </c>
      <c r="M62" s="1"/>
      <c r="N62" s="5">
        <f t="shared" si="32"/>
        <v>0</v>
      </c>
      <c r="O62" s="14"/>
      <c r="P62" s="1">
        <f>SUM(OSRRefP22_4x_0)</f>
        <v>0</v>
      </c>
      <c r="Q62" s="1"/>
      <c r="R62" s="5">
        <f t="shared" si="33"/>
        <v>0</v>
      </c>
      <c r="S62" s="1"/>
      <c r="T62" s="1">
        <f>SUM(OSRRefT22_4x_0)</f>
        <v>2797</v>
      </c>
      <c r="U62" s="1"/>
      <c r="V62" s="5">
        <f t="shared" si="34"/>
        <v>5.8320648887591482E-2</v>
      </c>
      <c r="W62" s="1"/>
      <c r="X62" s="1">
        <f t="shared" si="35"/>
        <v>-2797</v>
      </c>
      <c r="Y62" s="1"/>
      <c r="Z62" s="5">
        <f t="shared" si="36"/>
        <v>-1</v>
      </c>
    </row>
    <row r="63" spans="1:26" s="24" customFormat="1" hidden="1" outlineLevel="2" x14ac:dyDescent="0.25">
      <c r="A63" s="29"/>
      <c r="B63" s="11" t="str">
        <f>CONCATENATE("          ", "6381", " - ", "BANK/CREDIT CARD FEES")</f>
        <v xml:space="preserve">          6381 - BANK/CREDIT CARD FEES</v>
      </c>
      <c r="C63" s="11"/>
      <c r="D63" s="7"/>
      <c r="E63" s="2"/>
      <c r="F63" s="6">
        <f t="shared" si="29"/>
        <v>0</v>
      </c>
      <c r="G63" s="2"/>
      <c r="H63" s="7"/>
      <c r="I63" s="2"/>
      <c r="J63" s="6">
        <f t="shared" si="30"/>
        <v>0</v>
      </c>
      <c r="K63" s="2"/>
      <c r="L63" s="7">
        <f t="shared" si="31"/>
        <v>0</v>
      </c>
      <c r="M63" s="2"/>
      <c r="N63" s="6">
        <f t="shared" si="32"/>
        <v>0</v>
      </c>
      <c r="O63" s="11"/>
      <c r="P63" s="7"/>
      <c r="Q63" s="2"/>
      <c r="R63" s="6">
        <f t="shared" si="33"/>
        <v>0</v>
      </c>
      <c r="S63" s="2"/>
      <c r="T63" s="7">
        <v>2797</v>
      </c>
      <c r="U63" s="2"/>
      <c r="V63" s="6">
        <f t="shared" si="34"/>
        <v>5.8320648887591482E-2</v>
      </c>
      <c r="W63" s="2"/>
      <c r="X63" s="7">
        <f t="shared" si="35"/>
        <v>-2797</v>
      </c>
      <c r="Y63" s="2"/>
      <c r="Z63" s="6">
        <f t="shared" si="36"/>
        <v>-1</v>
      </c>
    </row>
    <row r="64" spans="1:26" s="28" customFormat="1" outlineLevel="1" collapsed="1" x14ac:dyDescent="0.25">
      <c r="A64" s="27"/>
      <c r="B64" s="14" t="str">
        <f>CONCATENATE("     ","Discounts and Markdowns                           ")</f>
        <v xml:space="preserve">     Discounts and Markdowns                           </v>
      </c>
      <c r="C64" s="14"/>
      <c r="D64" s="1">
        <f>SUM(OSRRefD22_5x_0)</f>
        <v>0</v>
      </c>
      <c r="E64" s="1"/>
      <c r="F64" s="5">
        <f t="shared" si="29"/>
        <v>0</v>
      </c>
      <c r="G64" s="1"/>
      <c r="H64" s="1">
        <f>SUM(OSRRefH22_5x_0)</f>
        <v>96</v>
      </c>
      <c r="I64" s="1"/>
      <c r="J64" s="5">
        <f t="shared" si="30"/>
        <v>2.2094361334867665E-2</v>
      </c>
      <c r="K64" s="1"/>
      <c r="L64" s="1">
        <f t="shared" si="31"/>
        <v>-96</v>
      </c>
      <c r="M64" s="1"/>
      <c r="N64" s="5">
        <f t="shared" si="32"/>
        <v>-1</v>
      </c>
      <c r="O64" s="14"/>
      <c r="P64" s="1">
        <f>SUM(OSRRefP22_5x_0)</f>
        <v>0</v>
      </c>
      <c r="Q64" s="1"/>
      <c r="R64" s="5">
        <f t="shared" si="33"/>
        <v>0</v>
      </c>
      <c r="S64" s="1"/>
      <c r="T64" s="1">
        <f>SUM(OSRRefT22_5x_0)</f>
        <v>1038</v>
      </c>
      <c r="U64" s="1"/>
      <c r="V64" s="5">
        <f t="shared" si="34"/>
        <v>2.1643487145269917E-2</v>
      </c>
      <c r="W64" s="1"/>
      <c r="X64" s="1">
        <f t="shared" si="35"/>
        <v>-1038</v>
      </c>
      <c r="Y64" s="1"/>
      <c r="Z64" s="5">
        <f t="shared" si="36"/>
        <v>-1</v>
      </c>
    </row>
    <row r="65" spans="1:26" s="24" customFormat="1" hidden="1" outlineLevel="2" x14ac:dyDescent="0.25">
      <c r="A65" s="29"/>
      <c r="B65" s="11" t="str">
        <f>CONCATENATE("          ", "6382", " - ", "DISCOUNTS/MARK DOWNS")</f>
        <v xml:space="preserve">          6382 - DISCOUNTS/MARK DOWNS</v>
      </c>
      <c r="C65" s="11"/>
      <c r="D65" s="7"/>
      <c r="E65" s="2"/>
      <c r="F65" s="6">
        <f t="shared" si="29"/>
        <v>0</v>
      </c>
      <c r="G65" s="2"/>
      <c r="H65" s="7">
        <v>96</v>
      </c>
      <c r="I65" s="2"/>
      <c r="J65" s="6">
        <f t="shared" si="30"/>
        <v>2.2094361334867665E-2</v>
      </c>
      <c r="K65" s="2"/>
      <c r="L65" s="7">
        <f t="shared" si="31"/>
        <v>-96</v>
      </c>
      <c r="M65" s="2"/>
      <c r="N65" s="6">
        <f t="shared" si="32"/>
        <v>-1</v>
      </c>
      <c r="O65" s="11"/>
      <c r="P65" s="7"/>
      <c r="Q65" s="2"/>
      <c r="R65" s="6">
        <f t="shared" si="33"/>
        <v>0</v>
      </c>
      <c r="S65" s="2"/>
      <c r="T65" s="7">
        <v>1038</v>
      </c>
      <c r="U65" s="2"/>
      <c r="V65" s="6">
        <f t="shared" si="34"/>
        <v>2.1643487145269917E-2</v>
      </c>
      <c r="W65" s="2"/>
      <c r="X65" s="7">
        <f t="shared" si="35"/>
        <v>-1038</v>
      </c>
      <c r="Y65" s="2"/>
      <c r="Z65" s="6">
        <f t="shared" si="36"/>
        <v>-1</v>
      </c>
    </row>
    <row r="66" spans="1:26" s="24" customFormat="1" hidden="1" outlineLevel="2" x14ac:dyDescent="0.25">
      <c r="A66" s="29"/>
      <c r="B66" s="11" t="str">
        <f>CONCATENATE("          ", "9175", " - ", "EARNED DISCOUNTS")</f>
        <v xml:space="preserve">          9175 - EARNED DISCOUNTS</v>
      </c>
      <c r="C66" s="11"/>
      <c r="D66" s="7"/>
      <c r="E66" s="2"/>
      <c r="F66" s="6">
        <f t="shared" si="29"/>
        <v>0</v>
      </c>
      <c r="G66" s="2"/>
      <c r="H66" s="7"/>
      <c r="I66" s="2"/>
      <c r="J66" s="6">
        <f t="shared" si="30"/>
        <v>0</v>
      </c>
      <c r="K66" s="2"/>
      <c r="L66" s="7">
        <f t="shared" si="31"/>
        <v>0</v>
      </c>
      <c r="M66" s="2"/>
      <c r="N66" s="6">
        <f t="shared" si="32"/>
        <v>0</v>
      </c>
      <c r="O66" s="11"/>
      <c r="P66" s="7">
        <v>0</v>
      </c>
      <c r="Q66" s="2"/>
      <c r="R66" s="6">
        <f t="shared" si="33"/>
        <v>0</v>
      </c>
      <c r="S66" s="2"/>
      <c r="T66" s="7"/>
      <c r="U66" s="2"/>
      <c r="V66" s="6">
        <f t="shared" si="34"/>
        <v>0</v>
      </c>
      <c r="W66" s="2"/>
      <c r="X66" s="7">
        <f t="shared" si="35"/>
        <v>0</v>
      </c>
      <c r="Y66" s="2"/>
      <c r="Z66" s="6">
        <f t="shared" si="36"/>
        <v>0</v>
      </c>
    </row>
    <row r="67" spans="1:26" s="28" customFormat="1" outlineLevel="1" collapsed="1" x14ac:dyDescent="0.25">
      <c r="A67" s="27"/>
      <c r="B67" s="14" t="str">
        <f>CONCATENATE("     ","Freight out/Postage                               ")</f>
        <v xml:space="preserve">     Freight out/Postage                               </v>
      </c>
      <c r="C67" s="14"/>
      <c r="D67" s="1">
        <f>SUM(OSRRefD22_6x_0)</f>
        <v>0</v>
      </c>
      <c r="E67" s="1"/>
      <c r="F67" s="5">
        <f t="shared" ref="F67:F75" si="37">IF(D$12=0,0,D67/D$12)</f>
        <v>0</v>
      </c>
      <c r="G67" s="1"/>
      <c r="H67" s="1">
        <f>SUM(OSRRefH22_6x_0)</f>
        <v>258</v>
      </c>
      <c r="I67" s="1"/>
      <c r="J67" s="5">
        <f t="shared" ref="J67:J75" si="38">IF(H$12=0,0,H67/H$12)</f>
        <v>5.9378596087456846E-2</v>
      </c>
      <c r="K67" s="1"/>
      <c r="L67" s="1">
        <f t="shared" ref="L67:L75" si="39">+D67-H67</f>
        <v>-258</v>
      </c>
      <c r="M67" s="1"/>
      <c r="N67" s="5">
        <f t="shared" ref="N67:N75" si="40">IF(H67=0,0,L67/H67)</f>
        <v>-1</v>
      </c>
      <c r="O67" s="14"/>
      <c r="P67" s="1">
        <f>SUM(OSRRefP22_6x_0)</f>
        <v>0</v>
      </c>
      <c r="Q67" s="1"/>
      <c r="R67" s="5">
        <f t="shared" ref="R67:R75" si="41">IF(P$12=0,0,P67/P$12)</f>
        <v>0</v>
      </c>
      <c r="S67" s="1"/>
      <c r="T67" s="1">
        <f>SUM(OSRRefT22_6x_0)</f>
        <v>1145</v>
      </c>
      <c r="U67" s="1"/>
      <c r="V67" s="5">
        <f t="shared" ref="V67:V75" si="42">IF(T$12=0,0,T67/T$12)</f>
        <v>2.3874559519589649E-2</v>
      </c>
      <c r="W67" s="1"/>
      <c r="X67" s="1">
        <f t="shared" ref="X67:X75" si="43">+P67-T67</f>
        <v>-1145</v>
      </c>
      <c r="Y67" s="1"/>
      <c r="Z67" s="5">
        <f t="shared" ref="Z67:Z75" si="44">IF(T67=0,0,X67/T67)</f>
        <v>-1</v>
      </c>
    </row>
    <row r="68" spans="1:26" s="24" customFormat="1" hidden="1" outlineLevel="2" x14ac:dyDescent="0.25">
      <c r="A68" s="29"/>
      <c r="B68" s="11" t="str">
        <f>CONCATENATE("          ", "6305", " - ", "FREIGHT OUT")</f>
        <v xml:space="preserve">          6305 - FREIGHT OUT</v>
      </c>
      <c r="C68" s="11"/>
      <c r="D68" s="7"/>
      <c r="E68" s="2"/>
      <c r="F68" s="6">
        <f t="shared" si="37"/>
        <v>0</v>
      </c>
      <c r="G68" s="2"/>
      <c r="H68" s="7">
        <v>258</v>
      </c>
      <c r="I68" s="2"/>
      <c r="J68" s="6">
        <f t="shared" si="38"/>
        <v>5.9378596087456846E-2</v>
      </c>
      <c r="K68" s="2"/>
      <c r="L68" s="7">
        <f t="shared" si="39"/>
        <v>-258</v>
      </c>
      <c r="M68" s="2"/>
      <c r="N68" s="6">
        <f t="shared" si="40"/>
        <v>-1</v>
      </c>
      <c r="O68" s="11"/>
      <c r="P68" s="7"/>
      <c r="Q68" s="2"/>
      <c r="R68" s="6">
        <f t="shared" si="41"/>
        <v>0</v>
      </c>
      <c r="S68" s="2"/>
      <c r="T68" s="7">
        <v>1145</v>
      </c>
      <c r="U68" s="2"/>
      <c r="V68" s="6">
        <f t="shared" si="42"/>
        <v>2.3874559519589649E-2</v>
      </c>
      <c r="W68" s="2"/>
      <c r="X68" s="7">
        <f t="shared" si="43"/>
        <v>-1145</v>
      </c>
      <c r="Y68" s="2"/>
      <c r="Z68" s="6">
        <f t="shared" si="44"/>
        <v>-1</v>
      </c>
    </row>
    <row r="69" spans="1:26" s="28" customFormat="1" outlineLevel="1" collapsed="1" x14ac:dyDescent="0.25">
      <c r="A69" s="27"/>
      <c r="B69" s="14" t="str">
        <f>CONCATENATE("     ","General                                           ")</f>
        <v xml:space="preserve">     General                                           </v>
      </c>
      <c r="C69" s="14"/>
      <c r="D69" s="1">
        <f>SUM(OSRRefD22_7x_0)</f>
        <v>160</v>
      </c>
      <c r="E69" s="1"/>
      <c r="F69" s="5">
        <f t="shared" si="37"/>
        <v>0</v>
      </c>
      <c r="G69" s="1"/>
      <c r="H69" s="1">
        <f>SUM(OSRRefH22_7x_0)</f>
        <v>0</v>
      </c>
      <c r="I69" s="1"/>
      <c r="J69" s="5">
        <f t="shared" si="38"/>
        <v>0</v>
      </c>
      <c r="K69" s="1"/>
      <c r="L69" s="1">
        <f t="shared" si="39"/>
        <v>160</v>
      </c>
      <c r="M69" s="1"/>
      <c r="N69" s="5">
        <f t="shared" si="40"/>
        <v>0</v>
      </c>
      <c r="O69" s="14"/>
      <c r="P69" s="1">
        <f>SUM(OSRRefP22_7x_0)</f>
        <v>879.55</v>
      </c>
      <c r="Q69" s="1"/>
      <c r="R69" s="5">
        <f t="shared" si="41"/>
        <v>4.1270331345087632E-2</v>
      </c>
      <c r="S69" s="1"/>
      <c r="T69" s="1">
        <f>SUM(OSRRefT22_7x_0)</f>
        <v>1000</v>
      </c>
      <c r="U69" s="1"/>
      <c r="V69" s="5">
        <f t="shared" si="42"/>
        <v>2.0851143685231135E-2</v>
      </c>
      <c r="W69" s="1"/>
      <c r="X69" s="1">
        <f t="shared" si="43"/>
        <v>-120.45000000000005</v>
      </c>
      <c r="Y69" s="1"/>
      <c r="Z69" s="5">
        <f t="shared" si="44"/>
        <v>-0.12045000000000004</v>
      </c>
    </row>
    <row r="70" spans="1:26" s="24" customFormat="1" hidden="1" outlineLevel="2" x14ac:dyDescent="0.25">
      <c r="A70" s="29"/>
      <c r="B70" s="11" t="str">
        <f>CONCATENATE("          ", "6279", " - ", "GENERAL EXPENSE")</f>
        <v xml:space="preserve">          6279 - GENERAL EXPENSE</v>
      </c>
      <c r="C70" s="11"/>
      <c r="D70" s="7">
        <v>160</v>
      </c>
      <c r="E70" s="2"/>
      <c r="F70" s="6">
        <f t="shared" si="37"/>
        <v>0</v>
      </c>
      <c r="G70" s="2"/>
      <c r="H70" s="7"/>
      <c r="I70" s="2"/>
      <c r="J70" s="6">
        <f t="shared" si="38"/>
        <v>0</v>
      </c>
      <c r="K70" s="2"/>
      <c r="L70" s="7">
        <f t="shared" si="39"/>
        <v>160</v>
      </c>
      <c r="M70" s="2"/>
      <c r="N70" s="6">
        <f t="shared" si="40"/>
        <v>0</v>
      </c>
      <c r="O70" s="11"/>
      <c r="P70" s="7">
        <v>879.55</v>
      </c>
      <c r="Q70" s="2"/>
      <c r="R70" s="6">
        <f t="shared" si="41"/>
        <v>4.1270331345087632E-2</v>
      </c>
      <c r="S70" s="2"/>
      <c r="T70" s="7">
        <v>1000</v>
      </c>
      <c r="U70" s="2"/>
      <c r="V70" s="6">
        <f t="shared" si="42"/>
        <v>2.0851143685231135E-2</v>
      </c>
      <c r="W70" s="2"/>
      <c r="X70" s="7">
        <f t="shared" si="43"/>
        <v>-120.45000000000005</v>
      </c>
      <c r="Y70" s="2"/>
      <c r="Z70" s="6">
        <f t="shared" si="44"/>
        <v>-0.12045000000000004</v>
      </c>
    </row>
    <row r="71" spans="1:26" s="28" customFormat="1" outlineLevel="1" collapsed="1" x14ac:dyDescent="0.25">
      <c r="A71" s="27"/>
      <c r="B71" s="14" t="str">
        <f>CONCATENATE("     ","Professional Services                             ")</f>
        <v xml:space="preserve">     Professional Services                             </v>
      </c>
      <c r="C71" s="14"/>
      <c r="D71" s="1">
        <f>SUM(OSRRefD22_8x_0)</f>
        <v>0</v>
      </c>
      <c r="E71" s="1"/>
      <c r="F71" s="5">
        <f t="shared" si="37"/>
        <v>0</v>
      </c>
      <c r="G71" s="1"/>
      <c r="H71" s="1">
        <f>SUM(OSRRefH22_8x_0)</f>
        <v>0</v>
      </c>
      <c r="I71" s="1"/>
      <c r="J71" s="5">
        <f t="shared" si="38"/>
        <v>0</v>
      </c>
      <c r="K71" s="1"/>
      <c r="L71" s="1">
        <f t="shared" si="39"/>
        <v>0</v>
      </c>
      <c r="M71" s="1"/>
      <c r="N71" s="5">
        <f t="shared" si="40"/>
        <v>0</v>
      </c>
      <c r="O71" s="14"/>
      <c r="P71" s="1">
        <f>SUM(OSRRefP22_8x_0)</f>
        <v>0</v>
      </c>
      <c r="Q71" s="1"/>
      <c r="R71" s="5">
        <f t="shared" si="41"/>
        <v>0</v>
      </c>
      <c r="S71" s="1"/>
      <c r="T71" s="1">
        <f>SUM(OSRRefT22_8x_0)</f>
        <v>800</v>
      </c>
      <c r="U71" s="1"/>
      <c r="V71" s="5">
        <f t="shared" si="42"/>
        <v>1.6680914948184907E-2</v>
      </c>
      <c r="W71" s="1"/>
      <c r="X71" s="1">
        <f t="shared" si="43"/>
        <v>-800</v>
      </c>
      <c r="Y71" s="1"/>
      <c r="Z71" s="5">
        <f t="shared" si="44"/>
        <v>-1</v>
      </c>
    </row>
    <row r="72" spans="1:26" s="24" customFormat="1" hidden="1" outlineLevel="2" x14ac:dyDescent="0.25">
      <c r="A72" s="29"/>
      <c r="B72" s="11" t="str">
        <f>CONCATENATE("          ", "6336", " - ", "PROFESSIONAL SERVICES")</f>
        <v xml:space="preserve">          6336 - PROFESSIONAL SERVICES</v>
      </c>
      <c r="C72" s="11"/>
      <c r="D72" s="7"/>
      <c r="E72" s="2"/>
      <c r="F72" s="6">
        <f t="shared" si="37"/>
        <v>0</v>
      </c>
      <c r="G72" s="2"/>
      <c r="H72" s="7"/>
      <c r="I72" s="2"/>
      <c r="J72" s="6">
        <f t="shared" si="38"/>
        <v>0</v>
      </c>
      <c r="K72" s="2"/>
      <c r="L72" s="7">
        <f t="shared" si="39"/>
        <v>0</v>
      </c>
      <c r="M72" s="2"/>
      <c r="N72" s="6">
        <f t="shared" si="40"/>
        <v>0</v>
      </c>
      <c r="O72" s="11"/>
      <c r="P72" s="7"/>
      <c r="Q72" s="2"/>
      <c r="R72" s="6">
        <f t="shared" si="41"/>
        <v>0</v>
      </c>
      <c r="S72" s="2"/>
      <c r="T72" s="7">
        <v>800</v>
      </c>
      <c r="U72" s="2"/>
      <c r="V72" s="6">
        <f t="shared" si="42"/>
        <v>1.6680914948184907E-2</v>
      </c>
      <c r="W72" s="2"/>
      <c r="X72" s="7">
        <f t="shared" si="43"/>
        <v>-800</v>
      </c>
      <c r="Y72" s="2"/>
      <c r="Z72" s="6">
        <f t="shared" si="44"/>
        <v>-1</v>
      </c>
    </row>
    <row r="73" spans="1:26" s="28" customFormat="1" outlineLevel="1" collapsed="1" x14ac:dyDescent="0.25">
      <c r="A73" s="27"/>
      <c r="B73" s="14" t="str">
        <f>CONCATENATE("     ","Repair and Maintenance                            ")</f>
        <v xml:space="preserve">     Repair and Maintenance                            </v>
      </c>
      <c r="C73" s="14"/>
      <c r="D73" s="1">
        <f>SUM(OSRRefD22_9x_0)</f>
        <v>61.11</v>
      </c>
      <c r="E73" s="1"/>
      <c r="F73" s="5">
        <f t="shared" si="37"/>
        <v>0</v>
      </c>
      <c r="G73" s="1"/>
      <c r="H73" s="1">
        <f>SUM(OSRRefH22_9x_0)</f>
        <v>100</v>
      </c>
      <c r="I73" s="1"/>
      <c r="J73" s="5">
        <f t="shared" si="38"/>
        <v>2.3014959723820484E-2</v>
      </c>
      <c r="K73" s="1"/>
      <c r="L73" s="1">
        <f t="shared" si="39"/>
        <v>-38.89</v>
      </c>
      <c r="M73" s="1"/>
      <c r="N73" s="5">
        <f t="shared" si="40"/>
        <v>-0.38890000000000002</v>
      </c>
      <c r="O73" s="14"/>
      <c r="P73" s="1">
        <f>SUM(OSRRefP22_9x_0)</f>
        <v>200.82</v>
      </c>
      <c r="Q73" s="1"/>
      <c r="R73" s="5">
        <f t="shared" si="41"/>
        <v>9.4228957315905838E-3</v>
      </c>
      <c r="S73" s="1"/>
      <c r="T73" s="1">
        <f>SUM(OSRRefT22_9x_0)</f>
        <v>600</v>
      </c>
      <c r="U73" s="1"/>
      <c r="V73" s="5">
        <f t="shared" si="42"/>
        <v>1.2510686211138681E-2</v>
      </c>
      <c r="W73" s="1"/>
      <c r="X73" s="1">
        <f t="shared" si="43"/>
        <v>-399.18</v>
      </c>
      <c r="Y73" s="1"/>
      <c r="Z73" s="5">
        <f t="shared" si="44"/>
        <v>-0.6653</v>
      </c>
    </row>
    <row r="74" spans="1:26" s="24" customFormat="1" hidden="1" outlineLevel="2" x14ac:dyDescent="0.25">
      <c r="A74" s="29"/>
      <c r="B74" s="11" t="str">
        <f>CONCATENATE("          ", "6373", " - ", "MAINTENANCE CONTRACTS")</f>
        <v xml:space="preserve">          6373 - MAINTENANCE CONTRACTS</v>
      </c>
      <c r="C74" s="11"/>
      <c r="D74" s="7">
        <v>61.11</v>
      </c>
      <c r="E74" s="2"/>
      <c r="F74" s="6">
        <f t="shared" si="37"/>
        <v>0</v>
      </c>
      <c r="G74" s="2"/>
      <c r="H74" s="7"/>
      <c r="I74" s="2"/>
      <c r="J74" s="6">
        <f t="shared" si="38"/>
        <v>0</v>
      </c>
      <c r="K74" s="2"/>
      <c r="L74" s="7">
        <f t="shared" si="39"/>
        <v>61.11</v>
      </c>
      <c r="M74" s="2"/>
      <c r="N74" s="6">
        <f t="shared" si="40"/>
        <v>0</v>
      </c>
      <c r="O74" s="11"/>
      <c r="P74" s="7">
        <v>200.82</v>
      </c>
      <c r="Q74" s="2"/>
      <c r="R74" s="6">
        <f t="shared" si="41"/>
        <v>9.4228957315905838E-3</v>
      </c>
      <c r="S74" s="2"/>
      <c r="T74" s="7"/>
      <c r="U74" s="2"/>
      <c r="V74" s="6">
        <f t="shared" si="42"/>
        <v>0</v>
      </c>
      <c r="W74" s="2"/>
      <c r="X74" s="7">
        <f t="shared" si="43"/>
        <v>200.82</v>
      </c>
      <c r="Y74" s="2"/>
      <c r="Z74" s="6">
        <f t="shared" si="44"/>
        <v>0</v>
      </c>
    </row>
    <row r="75" spans="1:26" s="24" customFormat="1" hidden="1" outlineLevel="2" x14ac:dyDescent="0.25">
      <c r="A75" s="29"/>
      <c r="B75" s="11" t="str">
        <f>CONCATENATE("          ", "6375", " - ", "OUTSIDE REPAIRS &amp; MAINTENANCE")</f>
        <v xml:space="preserve">          6375 - OUTSIDE REPAIRS &amp; MAINTENANCE</v>
      </c>
      <c r="C75" s="11"/>
      <c r="D75" s="7"/>
      <c r="E75" s="2"/>
      <c r="F75" s="6">
        <f t="shared" si="37"/>
        <v>0</v>
      </c>
      <c r="G75" s="2"/>
      <c r="H75" s="7">
        <v>100</v>
      </c>
      <c r="I75" s="2"/>
      <c r="J75" s="6">
        <f t="shared" si="38"/>
        <v>2.3014959723820484E-2</v>
      </c>
      <c r="K75" s="2"/>
      <c r="L75" s="7">
        <f t="shared" si="39"/>
        <v>-100</v>
      </c>
      <c r="M75" s="2"/>
      <c r="N75" s="6">
        <f t="shared" si="40"/>
        <v>-1</v>
      </c>
      <c r="O75" s="11"/>
      <c r="P75" s="7"/>
      <c r="Q75" s="2"/>
      <c r="R75" s="6">
        <f t="shared" si="41"/>
        <v>0</v>
      </c>
      <c r="S75" s="2"/>
      <c r="T75" s="7">
        <v>600</v>
      </c>
      <c r="U75" s="2"/>
      <c r="V75" s="6">
        <f t="shared" si="42"/>
        <v>1.2510686211138681E-2</v>
      </c>
      <c r="W75" s="2"/>
      <c r="X75" s="7">
        <f t="shared" si="43"/>
        <v>-600</v>
      </c>
      <c r="Y75" s="2"/>
      <c r="Z75" s="6">
        <f t="shared" si="44"/>
        <v>-1</v>
      </c>
    </row>
    <row r="76" spans="1:26" s="28" customFormat="1" outlineLevel="1" collapsed="1" x14ac:dyDescent="0.25">
      <c r="A76" s="27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SUM(OSRRefD22_10x_0)</f>
        <v>0</v>
      </c>
      <c r="E76" s="1"/>
      <c r="F76" s="5">
        <f t="shared" ref="F76:F78" si="45">IF(D$12=0,0,D76/D$12)</f>
        <v>0</v>
      </c>
      <c r="G76" s="1"/>
      <c r="H76" s="1">
        <f>SUM(OSRRefH22_10x_0)</f>
        <v>274</v>
      </c>
      <c r="I76" s="1"/>
      <c r="J76" s="5">
        <f t="shared" ref="J76:J78" si="46">IF(H$12=0,0,H76/H$12)</f>
        <v>6.3060989643268131E-2</v>
      </c>
      <c r="K76" s="1"/>
      <c r="L76" s="1">
        <f t="shared" ref="L76:L78" si="47">+D76-H76</f>
        <v>-274</v>
      </c>
      <c r="M76" s="1"/>
      <c r="N76" s="5">
        <f t="shared" ref="N76:N78" si="48">IF(H76=0,0,L76/H76)</f>
        <v>-1</v>
      </c>
      <c r="O76" s="14"/>
      <c r="P76" s="1">
        <f>SUM(OSRRefP22_10x_0)</f>
        <v>18.5</v>
      </c>
      <c r="Q76" s="1"/>
      <c r="R76" s="5">
        <f t="shared" ref="R76:R78" si="49">IF(P$12=0,0,P76/P$12)</f>
        <v>8.6805881403458724E-4</v>
      </c>
      <c r="S76" s="1"/>
      <c r="T76" s="1">
        <f>SUM(OSRRefT22_10x_0)</f>
        <v>1370</v>
      </c>
      <c r="U76" s="1"/>
      <c r="V76" s="5">
        <f t="shared" ref="V76:V78" si="50">IF(T$12=0,0,T76/T$12)</f>
        <v>2.8566066848766655E-2</v>
      </c>
      <c r="W76" s="1"/>
      <c r="X76" s="1">
        <f t="shared" ref="X76:X78" si="51">+P76-T76</f>
        <v>-1351.5</v>
      </c>
      <c r="Y76" s="1"/>
      <c r="Z76" s="5">
        <f t="shared" ref="Z76:Z78" si="52">IF(T76=0,0,X76/T76)</f>
        <v>-0.98649635036496353</v>
      </c>
    </row>
    <row r="77" spans="1:26" s="24" customFormat="1" hidden="1" outlineLevel="2" x14ac:dyDescent="0.25">
      <c r="A77" s="29"/>
      <c r="B77" s="11" t="str">
        <f>CONCATENATE("          ", "6282", " - ", "JANITORIAL/EXTERMINATOR EXPENS")</f>
        <v xml:space="preserve">          6282 - JANITORIAL/EXTERMINATOR EXPENS</v>
      </c>
      <c r="C77" s="11"/>
      <c r="D77" s="7"/>
      <c r="E77" s="2"/>
      <c r="F77" s="6">
        <f t="shared" si="45"/>
        <v>0</v>
      </c>
      <c r="G77" s="2"/>
      <c r="H77" s="7"/>
      <c r="I77" s="2"/>
      <c r="J77" s="6">
        <f t="shared" si="46"/>
        <v>0</v>
      </c>
      <c r="K77" s="2"/>
      <c r="L77" s="7">
        <f t="shared" si="47"/>
        <v>0</v>
      </c>
      <c r="M77" s="2"/>
      <c r="N77" s="6">
        <f t="shared" si="48"/>
        <v>0</v>
      </c>
      <c r="O77" s="11"/>
      <c r="P77" s="7">
        <v>176</v>
      </c>
      <c r="Q77" s="2"/>
      <c r="R77" s="6">
        <f t="shared" si="49"/>
        <v>8.2582892578425601E-3</v>
      </c>
      <c r="S77" s="2"/>
      <c r="T77" s="7"/>
      <c r="U77" s="2"/>
      <c r="V77" s="6">
        <f t="shared" si="50"/>
        <v>0</v>
      </c>
      <c r="W77" s="2"/>
      <c r="X77" s="7">
        <f t="shared" si="51"/>
        <v>176</v>
      </c>
      <c r="Y77" s="2"/>
      <c r="Z77" s="6">
        <f t="shared" si="52"/>
        <v>0</v>
      </c>
    </row>
    <row r="78" spans="1:26" s="24" customFormat="1" hidden="1" outlineLevel="2" x14ac:dyDescent="0.25">
      <c r="A78" s="29"/>
      <c r="B78" s="11" t="str">
        <f>CONCATENATE("          ", "6285", " - ", "JANITORIAL SERVICES")</f>
        <v xml:space="preserve">          6285 - JANITORIAL SERVICES</v>
      </c>
      <c r="C78" s="11"/>
      <c r="D78" s="7"/>
      <c r="E78" s="2"/>
      <c r="F78" s="6">
        <f t="shared" si="45"/>
        <v>0</v>
      </c>
      <c r="G78" s="2"/>
      <c r="H78" s="7">
        <v>274</v>
      </c>
      <c r="I78" s="2"/>
      <c r="J78" s="6">
        <f t="shared" si="46"/>
        <v>6.3060989643268131E-2</v>
      </c>
      <c r="K78" s="2"/>
      <c r="L78" s="7">
        <f t="shared" si="47"/>
        <v>-274</v>
      </c>
      <c r="M78" s="2"/>
      <c r="N78" s="6">
        <f t="shared" si="48"/>
        <v>-1</v>
      </c>
      <c r="O78" s="11"/>
      <c r="P78" s="7">
        <v>-157.5</v>
      </c>
      <c r="Q78" s="2"/>
      <c r="R78" s="6">
        <f t="shared" si="49"/>
        <v>-7.3902304438079732E-3</v>
      </c>
      <c r="S78" s="2"/>
      <c r="T78" s="7">
        <v>1370</v>
      </c>
      <c r="U78" s="2"/>
      <c r="V78" s="6">
        <f t="shared" si="50"/>
        <v>2.8566066848766655E-2</v>
      </c>
      <c r="W78" s="2"/>
      <c r="X78" s="7">
        <f t="shared" si="51"/>
        <v>-1527.5</v>
      </c>
      <c r="Y78" s="2"/>
      <c r="Z78" s="6">
        <f t="shared" si="52"/>
        <v>-1.114963503649635</v>
      </c>
    </row>
    <row r="79" spans="1:26" s="28" customFormat="1" outlineLevel="1" collapsed="1" x14ac:dyDescent="0.25">
      <c r="A79" s="27"/>
      <c r="B79" s="14" t="str">
        <f>CONCATENATE("     ","Supplies                                          ")</f>
        <v xml:space="preserve">     Supplies                                          </v>
      </c>
      <c r="C79" s="14"/>
      <c r="D79" s="1">
        <f>SUM(OSRRefD22_11x_0)</f>
        <v>0</v>
      </c>
      <c r="E79" s="1"/>
      <c r="F79" s="5">
        <f t="shared" ref="F79:F83" si="53">IF(D$12=0,0,D79/D$12)</f>
        <v>0</v>
      </c>
      <c r="G79" s="1"/>
      <c r="H79" s="1">
        <f>SUM(OSRRefH22_11x_0)</f>
        <v>300</v>
      </c>
      <c r="I79" s="1"/>
      <c r="J79" s="5">
        <f t="shared" ref="J79:J83" si="54">IF(H$12=0,0,H79/H$12)</f>
        <v>6.9044879171461446E-2</v>
      </c>
      <c r="K79" s="1"/>
      <c r="L79" s="1">
        <f t="shared" ref="L79:L83" si="55">+D79-H79</f>
        <v>-300</v>
      </c>
      <c r="M79" s="1"/>
      <c r="N79" s="5">
        <f t="shared" ref="N79:N83" si="56">IF(H79=0,0,L79/H79)</f>
        <v>-1</v>
      </c>
      <c r="O79" s="14"/>
      <c r="P79" s="1">
        <f>SUM(OSRRefP22_11x_0)</f>
        <v>1892.27</v>
      </c>
      <c r="Q79" s="1"/>
      <c r="R79" s="5">
        <f t="shared" ref="R79:R83" si="57">IF(P$12=0,0,P79/P$12)</f>
        <v>8.8789278488282622E-2</v>
      </c>
      <c r="S79" s="1"/>
      <c r="T79" s="1">
        <f>SUM(OSRRefT22_11x_0)</f>
        <v>1600</v>
      </c>
      <c r="U79" s="1"/>
      <c r="V79" s="5">
        <f t="shared" ref="V79:V83" si="58">IF(T$12=0,0,T79/T$12)</f>
        <v>3.3361829896369814E-2</v>
      </c>
      <c r="W79" s="1"/>
      <c r="X79" s="1">
        <f t="shared" ref="X79:X83" si="59">+P79-T79</f>
        <v>292.27</v>
      </c>
      <c r="Y79" s="1"/>
      <c r="Z79" s="5">
        <f t="shared" ref="Z79:Z83" si="60">IF(T79=0,0,X79/T79)</f>
        <v>0.18266874999999999</v>
      </c>
    </row>
    <row r="80" spans="1:26" s="24" customFormat="1" hidden="1" outlineLevel="2" x14ac:dyDescent="0.25">
      <c r="A80" s="29"/>
      <c r="B80" s="11" t="str">
        <f>CONCATENATE("          ", "6235", " - ", "COVID-19 EXPENSES")</f>
        <v xml:space="preserve">          6235 - COVID-19 EXPENSES</v>
      </c>
      <c r="C80" s="11"/>
      <c r="D80" s="7"/>
      <c r="E80" s="2"/>
      <c r="F80" s="6">
        <f t="shared" si="53"/>
        <v>0</v>
      </c>
      <c r="G80" s="2"/>
      <c r="H80" s="7">
        <v>200</v>
      </c>
      <c r="I80" s="2"/>
      <c r="J80" s="6">
        <f t="shared" si="54"/>
        <v>4.6029919447640968E-2</v>
      </c>
      <c r="K80" s="2"/>
      <c r="L80" s="7">
        <f t="shared" si="55"/>
        <v>-200</v>
      </c>
      <c r="M80" s="2"/>
      <c r="N80" s="6">
        <f t="shared" si="56"/>
        <v>-1</v>
      </c>
      <c r="O80" s="11"/>
      <c r="P80" s="7">
        <v>444.3</v>
      </c>
      <c r="Q80" s="2"/>
      <c r="R80" s="6">
        <f t="shared" si="57"/>
        <v>2.0847488166246871E-2</v>
      </c>
      <c r="S80" s="2"/>
      <c r="T80" s="7">
        <v>1000</v>
      </c>
      <c r="U80" s="2"/>
      <c r="V80" s="6">
        <f t="shared" si="58"/>
        <v>2.0851143685231135E-2</v>
      </c>
      <c r="W80" s="2"/>
      <c r="X80" s="7">
        <f t="shared" si="59"/>
        <v>-555.70000000000005</v>
      </c>
      <c r="Y80" s="2"/>
      <c r="Z80" s="6">
        <f t="shared" si="60"/>
        <v>-0.55570000000000008</v>
      </c>
    </row>
    <row r="81" spans="1:26" s="24" customFormat="1" hidden="1" outlineLevel="2" x14ac:dyDescent="0.25">
      <c r="A81" s="29"/>
      <c r="B81" s="11" t="str">
        <f>CONCATENATE("          ", "6241", " - ", "OFFICE EXPENSE")</f>
        <v xml:space="preserve">          6241 - OFFICE EXPENSE</v>
      </c>
      <c r="C81" s="11"/>
      <c r="D81" s="7"/>
      <c r="E81" s="2"/>
      <c r="F81" s="6">
        <f t="shared" si="53"/>
        <v>0</v>
      </c>
      <c r="G81" s="2"/>
      <c r="H81" s="7"/>
      <c r="I81" s="2"/>
      <c r="J81" s="6">
        <f t="shared" si="54"/>
        <v>0</v>
      </c>
      <c r="K81" s="2"/>
      <c r="L81" s="7">
        <f t="shared" si="55"/>
        <v>0</v>
      </c>
      <c r="M81" s="2"/>
      <c r="N81" s="6">
        <f t="shared" si="56"/>
        <v>0</v>
      </c>
      <c r="O81" s="11"/>
      <c r="P81" s="7">
        <v>225.24</v>
      </c>
      <c r="Q81" s="2"/>
      <c r="R81" s="6">
        <f t="shared" si="57"/>
        <v>1.056873336611624E-2</v>
      </c>
      <c r="S81" s="2"/>
      <c r="T81" s="7"/>
      <c r="U81" s="2"/>
      <c r="V81" s="6">
        <f t="shared" si="58"/>
        <v>0</v>
      </c>
      <c r="W81" s="2"/>
      <c r="X81" s="7">
        <f t="shared" si="59"/>
        <v>225.24</v>
      </c>
      <c r="Y81" s="2"/>
      <c r="Z81" s="6">
        <f t="shared" si="60"/>
        <v>0</v>
      </c>
    </row>
    <row r="82" spans="1:26" s="24" customFormat="1" hidden="1" outlineLevel="2" x14ac:dyDescent="0.25">
      <c r="A82" s="29"/>
      <c r="B82" s="11" t="str">
        <f>CONCATENATE("          ", "6247", " - ", "STORE SUPPLIES")</f>
        <v xml:space="preserve">          6247 - STORE SUPPLIES</v>
      </c>
      <c r="C82" s="11"/>
      <c r="D82" s="7"/>
      <c r="E82" s="2"/>
      <c r="F82" s="6">
        <f t="shared" si="53"/>
        <v>0</v>
      </c>
      <c r="G82" s="2"/>
      <c r="H82" s="7">
        <v>100</v>
      </c>
      <c r="I82" s="2"/>
      <c r="J82" s="6">
        <f t="shared" si="54"/>
        <v>2.3014959723820484E-2</v>
      </c>
      <c r="K82" s="2"/>
      <c r="L82" s="7">
        <f t="shared" si="55"/>
        <v>-100</v>
      </c>
      <c r="M82" s="2"/>
      <c r="N82" s="6">
        <f t="shared" si="56"/>
        <v>-1</v>
      </c>
      <c r="O82" s="11"/>
      <c r="P82" s="7">
        <v>1222.73</v>
      </c>
      <c r="Q82" s="2"/>
      <c r="R82" s="6">
        <f t="shared" si="57"/>
        <v>5.7373056955919509E-2</v>
      </c>
      <c r="S82" s="2"/>
      <c r="T82" s="7">
        <v>500</v>
      </c>
      <c r="U82" s="2"/>
      <c r="V82" s="6">
        <f t="shared" si="58"/>
        <v>1.0425571842615567E-2</v>
      </c>
      <c r="W82" s="2"/>
      <c r="X82" s="7">
        <f t="shared" si="59"/>
        <v>722.73</v>
      </c>
      <c r="Y82" s="2"/>
      <c r="Z82" s="6">
        <f t="shared" si="60"/>
        <v>1.44546</v>
      </c>
    </row>
    <row r="83" spans="1:26" s="24" customFormat="1" hidden="1" outlineLevel="2" x14ac:dyDescent="0.25">
      <c r="A83" s="29"/>
      <c r="B83" s="11" t="str">
        <f>CONCATENATE("          ", "6248", " - ", "UNIFORMS")</f>
        <v xml:space="preserve">          6248 - UNIFORMS</v>
      </c>
      <c r="C83" s="11"/>
      <c r="D83" s="7"/>
      <c r="E83" s="2"/>
      <c r="F83" s="6">
        <f t="shared" si="53"/>
        <v>0</v>
      </c>
      <c r="G83" s="2"/>
      <c r="H83" s="7"/>
      <c r="I83" s="2"/>
      <c r="J83" s="6">
        <f t="shared" si="54"/>
        <v>0</v>
      </c>
      <c r="K83" s="2"/>
      <c r="L83" s="7">
        <f t="shared" si="55"/>
        <v>0</v>
      </c>
      <c r="M83" s="2"/>
      <c r="N83" s="6">
        <f t="shared" si="56"/>
        <v>0</v>
      </c>
      <c r="O83" s="11"/>
      <c r="P83" s="7"/>
      <c r="Q83" s="2"/>
      <c r="R83" s="6">
        <f t="shared" si="57"/>
        <v>0</v>
      </c>
      <c r="S83" s="2"/>
      <c r="T83" s="7">
        <v>100</v>
      </c>
      <c r="U83" s="2"/>
      <c r="V83" s="6">
        <f t="shared" si="58"/>
        <v>2.0851143685231134E-3</v>
      </c>
      <c r="W83" s="2"/>
      <c r="X83" s="7">
        <f t="shared" si="59"/>
        <v>-100</v>
      </c>
      <c r="Y83" s="2"/>
      <c r="Z83" s="6">
        <f t="shared" si="60"/>
        <v>-1</v>
      </c>
    </row>
    <row r="84" spans="1:26" s="28" customFormat="1" outlineLevel="1" collapsed="1" x14ac:dyDescent="0.25">
      <c r="A84" s="27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SUM(OSRRefD22_12x_0)</f>
        <v>53</v>
      </c>
      <c r="E84" s="1"/>
      <c r="F84" s="5">
        <f t="shared" ref="F84:F86" si="61">IF(D$12=0,0,D84/D$12)</f>
        <v>0</v>
      </c>
      <c r="G84" s="1"/>
      <c r="H84" s="1">
        <f>SUM(OSRRefH22_12x_0)</f>
        <v>100</v>
      </c>
      <c r="I84" s="1"/>
      <c r="J84" s="5">
        <f t="shared" ref="J84:J86" si="62">IF(H$12=0,0,H84/H$12)</f>
        <v>2.3014959723820484E-2</v>
      </c>
      <c r="K84" s="1"/>
      <c r="L84" s="1">
        <f t="shared" ref="L84:L86" si="63">+D84-H84</f>
        <v>-47</v>
      </c>
      <c r="M84" s="1"/>
      <c r="N84" s="5">
        <f t="shared" ref="N84:N86" si="64">IF(H84=0,0,L84/H84)</f>
        <v>-0.47</v>
      </c>
      <c r="O84" s="14"/>
      <c r="P84" s="1">
        <f>SUM(OSRRefP22_12x_0)</f>
        <v>366.05</v>
      </c>
      <c r="Q84" s="1"/>
      <c r="R84" s="5">
        <f t="shared" ref="R84:R86" si="65">IF(P$12=0,0,P84/P$12)</f>
        <v>1.7175833993370849E-2</v>
      </c>
      <c r="S84" s="1"/>
      <c r="T84" s="1">
        <f>SUM(OSRRefT22_12x_0)</f>
        <v>600</v>
      </c>
      <c r="U84" s="1"/>
      <c r="V84" s="5">
        <f t="shared" ref="V84:V86" si="66">IF(T$12=0,0,T84/T$12)</f>
        <v>1.2510686211138681E-2</v>
      </c>
      <c r="W84" s="1"/>
      <c r="X84" s="1">
        <f t="shared" ref="X84:X86" si="67">+P84-T84</f>
        <v>-233.95</v>
      </c>
      <c r="Y84" s="1"/>
      <c r="Z84" s="5">
        <f t="shared" ref="Z84:Z86" si="68">IF(T84=0,0,X84/T84)</f>
        <v>-0.38991666666666663</v>
      </c>
    </row>
    <row r="85" spans="1:26" s="24" customFormat="1" hidden="1" outlineLevel="2" x14ac:dyDescent="0.25">
      <c r="A85" s="29"/>
      <c r="B85" s="11" t="str">
        <f>CONCATENATE("          ", "6303", " - ", "DATA PHONE LINES")</f>
        <v xml:space="preserve">          6303 - DATA PHONE LINES</v>
      </c>
      <c r="C85" s="11"/>
      <c r="D85" s="7"/>
      <c r="E85" s="2"/>
      <c r="F85" s="6">
        <f t="shared" si="61"/>
        <v>0</v>
      </c>
      <c r="G85" s="2"/>
      <c r="H85" s="7">
        <v>100</v>
      </c>
      <c r="I85" s="2"/>
      <c r="J85" s="6">
        <f t="shared" si="62"/>
        <v>2.3014959723820484E-2</v>
      </c>
      <c r="K85" s="2"/>
      <c r="L85" s="7">
        <f t="shared" si="63"/>
        <v>-100</v>
      </c>
      <c r="M85" s="2"/>
      <c r="N85" s="6">
        <f t="shared" si="64"/>
        <v>-1</v>
      </c>
      <c r="O85" s="11"/>
      <c r="P85" s="7"/>
      <c r="Q85" s="2"/>
      <c r="R85" s="6">
        <f t="shared" si="65"/>
        <v>0</v>
      </c>
      <c r="S85" s="2"/>
      <c r="T85" s="7">
        <v>600</v>
      </c>
      <c r="U85" s="2"/>
      <c r="V85" s="6">
        <f t="shared" si="66"/>
        <v>1.2510686211138681E-2</v>
      </c>
      <c r="W85" s="2"/>
      <c r="X85" s="7">
        <f t="shared" si="67"/>
        <v>-600</v>
      </c>
      <c r="Y85" s="2"/>
      <c r="Z85" s="6">
        <f t="shared" si="68"/>
        <v>-1</v>
      </c>
    </row>
    <row r="86" spans="1:26" s="24" customFormat="1" hidden="1" outlineLevel="2" x14ac:dyDescent="0.25">
      <c r="A86" s="29"/>
      <c r="B86" s="11" t="str">
        <f>CONCATENATE("          ", "6309", " - ", "TELEPHONE")</f>
        <v xml:space="preserve">          6309 - TELEPHONE</v>
      </c>
      <c r="C86" s="11"/>
      <c r="D86" s="7">
        <v>53</v>
      </c>
      <c r="E86" s="2"/>
      <c r="F86" s="6">
        <f t="shared" si="61"/>
        <v>0</v>
      </c>
      <c r="G86" s="2"/>
      <c r="H86" s="7"/>
      <c r="I86" s="2"/>
      <c r="J86" s="6">
        <f t="shared" si="62"/>
        <v>0</v>
      </c>
      <c r="K86" s="2"/>
      <c r="L86" s="7">
        <f t="shared" si="63"/>
        <v>53</v>
      </c>
      <c r="M86" s="2"/>
      <c r="N86" s="6">
        <f t="shared" si="64"/>
        <v>0</v>
      </c>
      <c r="O86" s="11"/>
      <c r="P86" s="7">
        <v>366.05</v>
      </c>
      <c r="Q86" s="2"/>
      <c r="R86" s="6">
        <f t="shared" si="65"/>
        <v>1.7175833993370849E-2</v>
      </c>
      <c r="S86" s="2"/>
      <c r="T86" s="7"/>
      <c r="U86" s="2"/>
      <c r="V86" s="6">
        <f t="shared" si="66"/>
        <v>0</v>
      </c>
      <c r="W86" s="2"/>
      <c r="X86" s="7">
        <f t="shared" si="67"/>
        <v>366.05</v>
      </c>
      <c r="Y86" s="2"/>
      <c r="Z86" s="6">
        <f t="shared" si="68"/>
        <v>0</v>
      </c>
    </row>
    <row r="87" spans="1:26" s="28" customFormat="1" outlineLevel="1" collapsed="1" x14ac:dyDescent="0.25">
      <c r="A87" s="27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SUM(OSRRefD22_13x_0)</f>
        <v>0</v>
      </c>
      <c r="E87" s="1"/>
      <c r="F87" s="5">
        <f t="shared" ref="F87:F88" si="69">IF(D$12=0,0,D87/D$12)</f>
        <v>0</v>
      </c>
      <c r="G87" s="1"/>
      <c r="H87" s="1">
        <f>SUM(OSRRefH22_13x_0)</f>
        <v>0</v>
      </c>
      <c r="I87" s="1"/>
      <c r="J87" s="5">
        <f t="shared" ref="J87:J88" si="70">IF(H$12=0,0,H87/H$12)</f>
        <v>0</v>
      </c>
      <c r="K87" s="1"/>
      <c r="L87" s="1">
        <f t="shared" ref="L87:L88" si="71">+D87-H87</f>
        <v>0</v>
      </c>
      <c r="M87" s="1"/>
      <c r="N87" s="5">
        <f t="shared" ref="N87:N88" si="72">IF(H87=0,0,L87/H87)</f>
        <v>0</v>
      </c>
      <c r="O87" s="14"/>
      <c r="P87" s="1">
        <f>SUM(OSRRefP22_13x_0)</f>
        <v>14</v>
      </c>
      <c r="Q87" s="1"/>
      <c r="R87" s="5">
        <f t="shared" ref="R87:R88" si="73">IF(P$12=0,0,P87/P$12)</f>
        <v>6.5690937278293094E-4</v>
      </c>
      <c r="S87" s="1"/>
      <c r="T87" s="1">
        <f>SUM(OSRRefT22_13x_0)</f>
        <v>60</v>
      </c>
      <c r="U87" s="1"/>
      <c r="V87" s="5">
        <f t="shared" ref="V87:V88" si="74">IF(T$12=0,0,T87/T$12)</f>
        <v>1.2510686211138682E-3</v>
      </c>
      <c r="W87" s="1"/>
      <c r="X87" s="1">
        <f t="shared" ref="X87:X88" si="75">+P87-T87</f>
        <v>-46</v>
      </c>
      <c r="Y87" s="1"/>
      <c r="Z87" s="5">
        <f t="shared" ref="Z87:Z88" si="76">IF(T87=0,0,X87/T87)</f>
        <v>-0.76666666666666672</v>
      </c>
    </row>
    <row r="88" spans="1:26" s="24" customFormat="1" hidden="1" outlineLevel="2" x14ac:dyDescent="0.25">
      <c r="A88" s="29"/>
      <c r="B88" s="11" t="str">
        <f>CONCATENATE("          ", "6376", " - ", "TRAINING")</f>
        <v xml:space="preserve">          6376 - TRAINING</v>
      </c>
      <c r="C88" s="11"/>
      <c r="D88" s="7"/>
      <c r="E88" s="2"/>
      <c r="F88" s="6">
        <f t="shared" si="69"/>
        <v>0</v>
      </c>
      <c r="G88" s="2"/>
      <c r="H88" s="7"/>
      <c r="I88" s="2"/>
      <c r="J88" s="6">
        <f t="shared" si="70"/>
        <v>0</v>
      </c>
      <c r="K88" s="2"/>
      <c r="L88" s="7">
        <f t="shared" si="71"/>
        <v>0</v>
      </c>
      <c r="M88" s="2"/>
      <c r="N88" s="6">
        <f t="shared" si="72"/>
        <v>0</v>
      </c>
      <c r="O88" s="11"/>
      <c r="P88" s="7">
        <v>14</v>
      </c>
      <c r="Q88" s="2"/>
      <c r="R88" s="6">
        <f t="shared" si="73"/>
        <v>6.5690937278293094E-4</v>
      </c>
      <c r="S88" s="2"/>
      <c r="T88" s="7">
        <v>60</v>
      </c>
      <c r="U88" s="2"/>
      <c r="V88" s="6">
        <f t="shared" si="74"/>
        <v>1.2510686211138682E-3</v>
      </c>
      <c r="W88" s="2"/>
      <c r="X88" s="7">
        <f t="shared" si="75"/>
        <v>-46</v>
      </c>
      <c r="Y88" s="2"/>
      <c r="Z88" s="6">
        <f t="shared" si="76"/>
        <v>-0.76666666666666672</v>
      </c>
    </row>
    <row r="89" spans="1:26" s="53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6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5" t="s">
        <v>3</v>
      </c>
      <c r="C92" s="25"/>
      <c r="D92" s="21">
        <f>+D35-D37+D90</f>
        <v>214.81</v>
      </c>
      <c r="E92" s="13"/>
      <c r="F92" s="19">
        <f>IF(D$12=0,0,D92/D$12)</f>
        <v>0</v>
      </c>
      <c r="G92" s="13"/>
      <c r="H92" s="21">
        <f>+H35-H37+H90</f>
        <v>-6825.5607170000003</v>
      </c>
      <c r="I92" s="13"/>
      <c r="J92" s="19">
        <f>IF(H$12=0,0,H92/H$12)</f>
        <v>-1.5709000499424626</v>
      </c>
      <c r="K92" s="16"/>
      <c r="L92" s="21">
        <f>+D92-H92</f>
        <v>7040.3707170000007</v>
      </c>
      <c r="M92" s="16"/>
      <c r="N92" s="19">
        <f>IF(H92=0,0,L92/H92)</f>
        <v>-1.0314714070984654</v>
      </c>
      <c r="O92" s="26"/>
      <c r="P92" s="21">
        <f>+P35-P37+P90</f>
        <v>-4827.5699999999924</v>
      </c>
      <c r="Q92" s="13"/>
      <c r="R92" s="19">
        <f>IF(P$12=0,0,P92/P$12)</f>
        <v>-0.22651971291183493</v>
      </c>
      <c r="S92" s="13"/>
      <c r="T92" s="21">
        <f>+T35-T37+T90</f>
        <v>-36496.381143999999</v>
      </c>
      <c r="U92" s="13"/>
      <c r="V92" s="19">
        <f>IF(T$12=0,0,T92/T$12)</f>
        <v>-0.76099128722450426</v>
      </c>
      <c r="W92" s="16"/>
      <c r="X92" s="21">
        <f>+P92-T92</f>
        <v>31668.811144000007</v>
      </c>
      <c r="Y92" s="16"/>
      <c r="Z92" s="19">
        <f>IF(T92=0,0,X92/T92)</f>
        <v>-0.86772469355379789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556.70000000000005</v>
      </c>
      <c r="E94" s="4"/>
      <c r="F94" s="12">
        <f>IF(D$12=0,0,D94/D$12)</f>
        <v>0</v>
      </c>
      <c r="G94" s="4"/>
      <c r="H94" s="4">
        <v>5490</v>
      </c>
      <c r="I94" s="4"/>
      <c r="J94" s="12">
        <f>IF(H$12=0,0,H94/H$12)</f>
        <v>1.2635212888377445</v>
      </c>
      <c r="K94" s="4"/>
      <c r="L94" s="4">
        <f>+D94-H94</f>
        <v>-4933.3</v>
      </c>
      <c r="M94" s="4"/>
      <c r="N94" s="12">
        <f>IF(H94=0,0,L94/H94)</f>
        <v>-0.89859744990892532</v>
      </c>
      <c r="O94" s="10"/>
      <c r="P94" s="4">
        <v>3943.16</v>
      </c>
      <c r="Q94" s="4"/>
      <c r="R94" s="12">
        <f>IF(P$12=0,0,P94/P$12)</f>
        <v>0.18502134017019584</v>
      </c>
      <c r="S94" s="4"/>
      <c r="T94" s="4">
        <v>14043</v>
      </c>
      <c r="U94" s="4"/>
      <c r="V94" s="12">
        <f>IF(T$12=0,0,T94/T$12)</f>
        <v>0.29281261077170084</v>
      </c>
      <c r="W94" s="4"/>
      <c r="X94" s="4">
        <f>+P94-T94</f>
        <v>-10099.84</v>
      </c>
      <c r="Y94" s="4"/>
      <c r="Z94" s="12">
        <f>IF(T94=0,0,X94/T94)</f>
        <v>-0.71920814640746278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5" t="s">
        <v>4</v>
      </c>
      <c r="C96" s="25"/>
      <c r="D96" s="34">
        <f>+D92-D94</f>
        <v>-341.89000000000004</v>
      </c>
      <c r="E96" s="13"/>
      <c r="F96" s="31">
        <f>IF(D$12=0,0,D96/D$12)</f>
        <v>0</v>
      </c>
      <c r="G96" s="13"/>
      <c r="H96" s="34">
        <f>+H92-H94</f>
        <v>-12315.560717</v>
      </c>
      <c r="I96" s="13"/>
      <c r="J96" s="31">
        <f>IF(H$12=0,0,H96/H$12)</f>
        <v>-2.8344213387802073</v>
      </c>
      <c r="K96" s="16"/>
      <c r="L96" s="34">
        <f>D96-H96</f>
        <v>11973.670717000001</v>
      </c>
      <c r="M96" s="16"/>
      <c r="N96" s="31">
        <f>IF(H96=0,0,L96/H96)</f>
        <v>-0.97223918521809038</v>
      </c>
      <c r="O96" s="26"/>
      <c r="P96" s="34">
        <f>+P92-P94</f>
        <v>-8770.7299999999923</v>
      </c>
      <c r="Q96" s="13"/>
      <c r="R96" s="31">
        <f>IF(P$12=0,0,P96/P$12)</f>
        <v>-0.41154105308203076</v>
      </c>
      <c r="S96" s="13"/>
      <c r="T96" s="34">
        <f>+T92-T94</f>
        <v>-50539.381143999999</v>
      </c>
      <c r="U96" s="13"/>
      <c r="V96" s="31">
        <f>IF(T$12=0,0,T96/T$12)</f>
        <v>-1.053803897996205</v>
      </c>
      <c r="W96" s="16"/>
      <c r="X96" s="34">
        <f>P96-T96</f>
        <v>41768.651144000003</v>
      </c>
      <c r="Y96" s="16"/>
      <c r="Z96" s="31">
        <f>IF(T96=0,0,X96/T96)</f>
        <v>-0.82645751092578923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5" t="s">
        <v>5</v>
      </c>
      <c r="C99" s="25"/>
      <c r="D99" s="33">
        <f>SUM(D96:D98)</f>
        <v>-341.89000000000004</v>
      </c>
      <c r="E99" s="13"/>
      <c r="F99" s="32">
        <f>IF(D$12=0,0,D99/D$12)</f>
        <v>0</v>
      </c>
      <c r="G99" s="13"/>
      <c r="H99" s="33">
        <f>SUM(H96:H98)</f>
        <v>-12315.560717</v>
      </c>
      <c r="I99" s="13"/>
      <c r="J99" s="32">
        <f>IF(H$12=0,0,H99/H$12)</f>
        <v>-2.8344213387802073</v>
      </c>
      <c r="K99" s="16"/>
      <c r="L99" s="33">
        <f>+D99-H99</f>
        <v>11973.670717000001</v>
      </c>
      <c r="M99" s="16"/>
      <c r="N99" s="32">
        <f>IF(H99=0,0,L99/H99)</f>
        <v>-0.97223918521809038</v>
      </c>
      <c r="O99" s="26"/>
      <c r="P99" s="33">
        <f>SUM(P96:P98)</f>
        <v>-8770.7299999999923</v>
      </c>
      <c r="Q99" s="13"/>
      <c r="R99" s="32">
        <f>IF(P$12=0,0,P99/P$12)</f>
        <v>-0.41154105308203076</v>
      </c>
      <c r="S99" s="13"/>
      <c r="T99" s="33">
        <f>SUM(T96:T98)</f>
        <v>-50539.381143999999</v>
      </c>
      <c r="U99" s="13"/>
      <c r="V99" s="32">
        <f>IF(T$12=0,0,T99/T$12)</f>
        <v>-1.053803897996205</v>
      </c>
      <c r="W99" s="16"/>
      <c r="X99" s="33">
        <f>+P99-T99</f>
        <v>41768.651144000003</v>
      </c>
      <c r="Y99" s="16"/>
      <c r="Z99" s="32">
        <f>IF(T99=0,0,X99/T99)</f>
        <v>-0.82645751092578923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63">
        <v>44209.518439236112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60" t="s">
        <v>314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58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303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17722.289999999997</v>
      </c>
      <c r="E12" s="4"/>
      <c r="F12" s="12"/>
      <c r="G12" s="4"/>
      <c r="H12" s="4">
        <f>SUM(OSRRefH13x_0)</f>
        <v>56877</v>
      </c>
      <c r="I12" s="4"/>
      <c r="J12" s="12"/>
      <c r="K12" s="4"/>
      <c r="L12" s="4">
        <f t="shared" ref="L12:L33" si="0">+D12-H12</f>
        <v>-39154.710000000006</v>
      </c>
      <c r="M12" s="4"/>
      <c r="N12" s="12">
        <f t="shared" ref="N12:N33" si="1">IF(H12=0,0,L12/H12)</f>
        <v>-0.68841025370536435</v>
      </c>
      <c r="O12" s="10"/>
      <c r="P12" s="4">
        <f>SUM(OSRRefP13x_0)</f>
        <v>1571952.4699999997</v>
      </c>
      <c r="Q12" s="4"/>
      <c r="R12" s="12"/>
      <c r="S12" s="4"/>
      <c r="T12" s="4">
        <f>SUM(OSRRefT13x_0)</f>
        <v>2640562</v>
      </c>
      <c r="U12" s="4"/>
      <c r="V12" s="12"/>
      <c r="W12" s="4"/>
      <c r="X12" s="4">
        <f t="shared" ref="X12:X33" si="2">+P12-T12</f>
        <v>-1068609.5300000003</v>
      </c>
      <c r="Y12" s="4"/>
      <c r="Z12" s="12">
        <f t="shared" ref="Z12:Z33" si="3">IF(T12=0,0,X12/T12)</f>
        <v>-0.40469018716470218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-325.86</f>
        <v>-325.86</v>
      </c>
      <c r="E13" s="2"/>
      <c r="F13" s="22"/>
      <c r="G13" s="2"/>
      <c r="H13" s="2">
        <v>56877</v>
      </c>
      <c r="I13" s="2"/>
      <c r="J13" s="22"/>
      <c r="K13" s="2"/>
      <c r="L13" s="2">
        <f t="shared" si="0"/>
        <v>-57202.86</v>
      </c>
      <c r="M13" s="2"/>
      <c r="N13" s="22">
        <f t="shared" si="1"/>
        <v>-1.0057292051268527</v>
      </c>
      <c r="O13" s="11"/>
      <c r="P13" s="2">
        <f>-6925.73</f>
        <v>-6925.73</v>
      </c>
      <c r="Q13" s="2"/>
      <c r="R13" s="22"/>
      <c r="S13" s="2"/>
      <c r="T13" s="2">
        <v>2640562</v>
      </c>
      <c r="U13" s="2"/>
      <c r="V13" s="22"/>
      <c r="W13" s="2"/>
      <c r="X13" s="2">
        <f t="shared" si="2"/>
        <v>-2647487.73</v>
      </c>
      <c r="Y13" s="2"/>
      <c r="Z13" s="22">
        <f t="shared" si="3"/>
        <v>-1.0026228242321142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--11522</f>
        <v>11522</v>
      </c>
      <c r="E14" s="2"/>
      <c r="F14" s="22"/>
      <c r="G14" s="2"/>
      <c r="H14" s="2"/>
      <c r="I14" s="2"/>
      <c r="J14" s="22"/>
      <c r="K14" s="2"/>
      <c r="L14" s="2">
        <f t="shared" si="0"/>
        <v>11522</v>
      </c>
      <c r="M14" s="2"/>
      <c r="N14" s="22">
        <f t="shared" si="1"/>
        <v>0</v>
      </c>
      <c r="O14" s="11"/>
      <c r="P14" s="2">
        <f>--730666.02</f>
        <v>730666.02</v>
      </c>
      <c r="Q14" s="2"/>
      <c r="R14" s="22"/>
      <c r="S14" s="2"/>
      <c r="T14" s="2"/>
      <c r="U14" s="2"/>
      <c r="V14" s="22"/>
      <c r="W14" s="2"/>
      <c r="X14" s="2">
        <f t="shared" si="2"/>
        <v>730666.02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--2822.44</f>
        <v>2822.44</v>
      </c>
      <c r="E15" s="2"/>
      <c r="F15" s="22"/>
      <c r="G15" s="2"/>
      <c r="H15" s="2"/>
      <c r="I15" s="2"/>
      <c r="J15" s="22"/>
      <c r="K15" s="2"/>
      <c r="L15" s="2">
        <f t="shared" si="0"/>
        <v>2822.44</v>
      </c>
      <c r="M15" s="2"/>
      <c r="N15" s="22">
        <f t="shared" si="1"/>
        <v>0</v>
      </c>
      <c r="O15" s="11"/>
      <c r="P15" s="2">
        <f>--323454.06</f>
        <v>323454.06</v>
      </c>
      <c r="Q15" s="2"/>
      <c r="R15" s="22"/>
      <c r="S15" s="2"/>
      <c r="T15" s="2"/>
      <c r="U15" s="2"/>
      <c r="V15" s="22"/>
      <c r="W15" s="2"/>
      <c r="X15" s="2">
        <f t="shared" si="2"/>
        <v>323454.06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7" si="4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--10665.63</f>
        <v>10665.63</v>
      </c>
      <c r="Q16" s="2"/>
      <c r="R16" s="22"/>
      <c r="S16" s="2"/>
      <c r="T16" s="2"/>
      <c r="U16" s="2"/>
      <c r="V16" s="22"/>
      <c r="W16" s="2"/>
      <c r="X16" s="2">
        <f t="shared" si="2"/>
        <v>10665.63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--2459.56</f>
        <v>2459.56</v>
      </c>
      <c r="Q17" s="2"/>
      <c r="R17" s="22"/>
      <c r="S17" s="2"/>
      <c r="T17" s="2"/>
      <c r="U17" s="2"/>
      <c r="V17" s="22"/>
      <c r="W17" s="2"/>
      <c r="X17" s="2">
        <f t="shared" si="2"/>
        <v>2459.56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--78.85</f>
        <v>78.849999999999994</v>
      </c>
      <c r="E18" s="2"/>
      <c r="F18" s="22"/>
      <c r="G18" s="2"/>
      <c r="H18" s="2"/>
      <c r="I18" s="2"/>
      <c r="J18" s="22"/>
      <c r="K18" s="2"/>
      <c r="L18" s="2">
        <f t="shared" si="0"/>
        <v>78.849999999999994</v>
      </c>
      <c r="M18" s="2"/>
      <c r="N18" s="22">
        <f t="shared" si="1"/>
        <v>0</v>
      </c>
      <c r="O18" s="11"/>
      <c r="P18" s="2">
        <f>--583.97</f>
        <v>583.97</v>
      </c>
      <c r="Q18" s="2"/>
      <c r="R18" s="22"/>
      <c r="S18" s="2"/>
      <c r="T18" s="2"/>
      <c r="U18" s="2"/>
      <c r="V18" s="22"/>
      <c r="W18" s="2"/>
      <c r="X18" s="2">
        <f t="shared" si="2"/>
        <v>583.97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--35.82</f>
        <v>35.82</v>
      </c>
      <c r="E19" s="2"/>
      <c r="F19" s="22"/>
      <c r="G19" s="2"/>
      <c r="H19" s="2"/>
      <c r="I19" s="2"/>
      <c r="J19" s="22"/>
      <c r="K19" s="2"/>
      <c r="L19" s="2">
        <f t="shared" si="0"/>
        <v>35.82</v>
      </c>
      <c r="M19" s="2"/>
      <c r="N19" s="22">
        <f t="shared" si="1"/>
        <v>0</v>
      </c>
      <c r="O19" s="11"/>
      <c r="P19" s="2">
        <f>--376.06</f>
        <v>376.06</v>
      </c>
      <c r="Q19" s="2"/>
      <c r="R19" s="22"/>
      <c r="S19" s="2"/>
      <c r="T19" s="2"/>
      <c r="U19" s="2"/>
      <c r="V19" s="22"/>
      <c r="W19" s="2"/>
      <c r="X19" s="2">
        <f t="shared" si="2"/>
        <v>376.06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--6.95</f>
        <v>6.95</v>
      </c>
      <c r="E20" s="2"/>
      <c r="F20" s="22"/>
      <c r="G20" s="2"/>
      <c r="H20" s="2"/>
      <c r="I20" s="2"/>
      <c r="J20" s="22"/>
      <c r="K20" s="2"/>
      <c r="L20" s="2">
        <f t="shared" si="0"/>
        <v>6.95</v>
      </c>
      <c r="M20" s="2"/>
      <c r="N20" s="22">
        <f t="shared" si="1"/>
        <v>0</v>
      </c>
      <c r="O20" s="11"/>
      <c r="P20" s="2">
        <f>--190.84</f>
        <v>190.84</v>
      </c>
      <c r="Q20" s="2"/>
      <c r="R20" s="22"/>
      <c r="S20" s="2"/>
      <c r="T20" s="2"/>
      <c r="U20" s="2"/>
      <c r="V20" s="22"/>
      <c r="W20" s="2"/>
      <c r="X20" s="2">
        <f t="shared" si="2"/>
        <v>190.84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"4100", " - ", "NON-TAXABLE SALES")</f>
        <v xml:space="preserve">          4100 - NON-TAXABLE SALES</v>
      </c>
      <c r="C21" s="11"/>
      <c r="D21" s="2">
        <f>-225.75</f>
        <v>-225.75</v>
      </c>
      <c r="E21" s="2"/>
      <c r="F21" s="22"/>
      <c r="G21" s="2"/>
      <c r="H21" s="2"/>
      <c r="I21" s="2"/>
      <c r="J21" s="22"/>
      <c r="K21" s="2"/>
      <c r="L21" s="2">
        <f t="shared" si="0"/>
        <v>-225.75</v>
      </c>
      <c r="M21" s="2"/>
      <c r="N21" s="22">
        <f t="shared" si="1"/>
        <v>0</v>
      </c>
      <c r="O21" s="11"/>
      <c r="P21" s="2">
        <f>--165587.67</f>
        <v>165587.67000000001</v>
      </c>
      <c r="Q21" s="2"/>
      <c r="R21" s="22"/>
      <c r="S21" s="2"/>
      <c r="T21" s="2"/>
      <c r="U21" s="2"/>
      <c r="V21" s="22"/>
      <c r="W21" s="2"/>
      <c r="X21" s="2">
        <f t="shared" si="2"/>
        <v>165587.67000000001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"4101", " - ", "NON-TAXABLE SALES-NEW TEXT")</f>
        <v xml:space="preserve">          4101 - NON-TAXABLE SALES-NEW TEXT</v>
      </c>
      <c r="C22" s="11"/>
      <c r="D22" s="2">
        <f>--3205.21</f>
        <v>3205.21</v>
      </c>
      <c r="E22" s="2"/>
      <c r="F22" s="22"/>
      <c r="G22" s="2"/>
      <c r="H22" s="2"/>
      <c r="I22" s="2"/>
      <c r="J22" s="22"/>
      <c r="K22" s="2"/>
      <c r="L22" s="2">
        <f t="shared" si="0"/>
        <v>3205.21</v>
      </c>
      <c r="M22" s="2"/>
      <c r="N22" s="22">
        <f t="shared" si="1"/>
        <v>0</v>
      </c>
      <c r="O22" s="11"/>
      <c r="P22" s="2">
        <f>--82140.93</f>
        <v>82140.929999999993</v>
      </c>
      <c r="Q22" s="2"/>
      <c r="R22" s="22"/>
      <c r="S22" s="2"/>
      <c r="T22" s="2"/>
      <c r="U22" s="2"/>
      <c r="V22" s="22"/>
      <c r="W22" s="2"/>
      <c r="X22" s="2">
        <f t="shared" si="2"/>
        <v>82140.929999999993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"4102", " - ", "NON-TAXABLE SALES-USED TEXT")</f>
        <v xml:space="preserve">          4102 - NON-TAXABLE SALES-USED TEXT</v>
      </c>
      <c r="C23" s="11"/>
      <c r="D23" s="2">
        <f>--598.12</f>
        <v>598.12</v>
      </c>
      <c r="E23" s="2"/>
      <c r="F23" s="22"/>
      <c r="G23" s="2"/>
      <c r="H23" s="2"/>
      <c r="I23" s="2"/>
      <c r="J23" s="22"/>
      <c r="K23" s="2"/>
      <c r="L23" s="2">
        <f t="shared" si="0"/>
        <v>598.12</v>
      </c>
      <c r="M23" s="2"/>
      <c r="N23" s="22">
        <f t="shared" si="1"/>
        <v>0</v>
      </c>
      <c r="O23" s="11"/>
      <c r="P23" s="2">
        <f>--33631.31</f>
        <v>33631.31</v>
      </c>
      <c r="Q23" s="2"/>
      <c r="R23" s="22"/>
      <c r="S23" s="2"/>
      <c r="T23" s="2"/>
      <c r="U23" s="2"/>
      <c r="V23" s="22"/>
      <c r="W23" s="2"/>
      <c r="X23" s="2">
        <f t="shared" si="2"/>
        <v>33631.31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22"/>
      <c r="G24" s="2"/>
      <c r="H24" s="2"/>
      <c r="I24" s="2"/>
      <c r="J24" s="22"/>
      <c r="K24" s="2"/>
      <c r="L24" s="2">
        <f t="shared" si="0"/>
        <v>0</v>
      </c>
      <c r="M24" s="2"/>
      <c r="N24" s="22">
        <f t="shared" si="1"/>
        <v>0</v>
      </c>
      <c r="O24" s="11"/>
      <c r="P24" s="2">
        <f>--284.97</f>
        <v>284.97000000000003</v>
      </c>
      <c r="Q24" s="2"/>
      <c r="R24" s="22"/>
      <c r="S24" s="2"/>
      <c r="T24" s="2"/>
      <c r="U24" s="2"/>
      <c r="V24" s="22"/>
      <c r="W24" s="2"/>
      <c r="X24" s="2">
        <f t="shared" si="2"/>
        <v>284.97000000000003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--1301.3</f>
        <v>1301.3</v>
      </c>
      <c r="E25" s="2"/>
      <c r="F25" s="22"/>
      <c r="G25" s="2"/>
      <c r="H25" s="2"/>
      <c r="I25" s="2"/>
      <c r="J25" s="22"/>
      <c r="K25" s="2"/>
      <c r="L25" s="2">
        <f t="shared" si="0"/>
        <v>1301.3</v>
      </c>
      <c r="M25" s="2"/>
      <c r="N25" s="22">
        <f t="shared" si="1"/>
        <v>0</v>
      </c>
      <c r="O25" s="11"/>
      <c r="P25" s="2">
        <f>--296191.01</f>
        <v>296191.01</v>
      </c>
      <c r="Q25" s="2"/>
      <c r="R25" s="22"/>
      <c r="S25" s="2"/>
      <c r="T25" s="2"/>
      <c r="U25" s="2"/>
      <c r="V25" s="22"/>
      <c r="W25" s="2"/>
      <c r="X25" s="2">
        <f t="shared" si="2"/>
        <v>296191.01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>--41.55</f>
        <v>41.55</v>
      </c>
      <c r="E26" s="2"/>
      <c r="F26" s="22"/>
      <c r="G26" s="2"/>
      <c r="H26" s="2"/>
      <c r="I26" s="2"/>
      <c r="J26" s="22"/>
      <c r="K26" s="2"/>
      <c r="L26" s="2">
        <f t="shared" si="0"/>
        <v>41.55</v>
      </c>
      <c r="M26" s="2"/>
      <c r="N26" s="22">
        <f t="shared" si="1"/>
        <v>0</v>
      </c>
      <c r="O26" s="11"/>
      <c r="P26" s="2">
        <f>--2327.5</f>
        <v>2327.5</v>
      </c>
      <c r="Q26" s="2"/>
      <c r="R26" s="22"/>
      <c r="S26" s="2"/>
      <c r="T26" s="2"/>
      <c r="U26" s="2"/>
      <c r="V26" s="22"/>
      <c r="W26" s="2"/>
      <c r="X26" s="2">
        <f t="shared" si="2"/>
        <v>2327.5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>0</f>
        <v>0</v>
      </c>
      <c r="E27" s="2"/>
      <c r="F27" s="22"/>
      <c r="G27" s="2"/>
      <c r="H27" s="2"/>
      <c r="I27" s="2"/>
      <c r="J27" s="22"/>
      <c r="K27" s="2"/>
      <c r="L27" s="2">
        <f t="shared" si="0"/>
        <v>0</v>
      </c>
      <c r="M27" s="2"/>
      <c r="N27" s="22">
        <f t="shared" si="1"/>
        <v>0</v>
      </c>
      <c r="O27" s="11"/>
      <c r="P27" s="2">
        <f>--233.43</f>
        <v>233.43</v>
      </c>
      <c r="Q27" s="2"/>
      <c r="R27" s="22"/>
      <c r="S27" s="2"/>
      <c r="T27" s="2"/>
      <c r="U27" s="2"/>
      <c r="V27" s="22"/>
      <c r="W27" s="2"/>
      <c r="X27" s="2">
        <f t="shared" si="2"/>
        <v>233.43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>-681.18</f>
        <v>-681.18</v>
      </c>
      <c r="E28" s="2"/>
      <c r="F28" s="22"/>
      <c r="G28" s="2"/>
      <c r="H28" s="2"/>
      <c r="I28" s="2"/>
      <c r="J28" s="22"/>
      <c r="K28" s="2"/>
      <c r="L28" s="2">
        <f t="shared" si="0"/>
        <v>-681.18</v>
      </c>
      <c r="M28" s="2"/>
      <c r="N28" s="22">
        <f t="shared" si="1"/>
        <v>0</v>
      </c>
      <c r="O28" s="11"/>
      <c r="P28" s="2">
        <f>-35775.84</f>
        <v>-35775.839999999997</v>
      </c>
      <c r="Q28" s="2"/>
      <c r="R28" s="22"/>
      <c r="S28" s="2"/>
      <c r="T28" s="2"/>
      <c r="U28" s="2"/>
      <c r="V28" s="22"/>
      <c r="W28" s="2"/>
      <c r="X28" s="2">
        <f t="shared" si="2"/>
        <v>-35775.839999999997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>-62.65</f>
        <v>-62.65</v>
      </c>
      <c r="E29" s="2"/>
      <c r="F29" s="22"/>
      <c r="G29" s="2"/>
      <c r="H29" s="2"/>
      <c r="I29" s="2"/>
      <c r="J29" s="22"/>
      <c r="K29" s="2"/>
      <c r="L29" s="2">
        <f t="shared" si="0"/>
        <v>-62.65</v>
      </c>
      <c r="M29" s="2"/>
      <c r="N29" s="22">
        <f t="shared" si="1"/>
        <v>0</v>
      </c>
      <c r="O29" s="11"/>
      <c r="P29" s="2">
        <f>-13866</f>
        <v>-13866</v>
      </c>
      <c r="Q29" s="2"/>
      <c r="R29" s="22"/>
      <c r="S29" s="2"/>
      <c r="T29" s="2"/>
      <c r="U29" s="2"/>
      <c r="V29" s="22"/>
      <c r="W29" s="2"/>
      <c r="X29" s="2">
        <f t="shared" si="2"/>
        <v>-13866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"4204", " - ", "SALES RETURN TAXABLE-DIGITAL T")</f>
        <v xml:space="preserve">          4204 - SALES RETURN TAXABLE-DIGITAL T</v>
      </c>
      <c r="C30" s="11"/>
      <c r="D30" s="2">
        <f>0</f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-1630.85</f>
        <v>-1630.85</v>
      </c>
      <c r="Q30" s="2"/>
      <c r="R30" s="22"/>
      <c r="S30" s="2"/>
      <c r="T30" s="2"/>
      <c r="U30" s="2"/>
      <c r="V30" s="22"/>
      <c r="W30" s="2"/>
      <c r="X30" s="2">
        <f t="shared" si="2"/>
        <v>-1630.85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"4301", " - ", "SALES RETURN NON TAXABLE-NEW T")</f>
        <v xml:space="preserve">          4301 - SALES RETURN NON TAXABLE-NEW T</v>
      </c>
      <c r="C31" s="11"/>
      <c r="D31" s="2">
        <f>-372.93</f>
        <v>-372.93</v>
      </c>
      <c r="E31" s="2"/>
      <c r="F31" s="22"/>
      <c r="G31" s="2"/>
      <c r="H31" s="2"/>
      <c r="I31" s="2"/>
      <c r="J31" s="22"/>
      <c r="K31" s="2"/>
      <c r="L31" s="2">
        <f t="shared" si="0"/>
        <v>-372.93</v>
      </c>
      <c r="M31" s="2"/>
      <c r="N31" s="22">
        <f t="shared" si="1"/>
        <v>0</v>
      </c>
      <c r="O31" s="11"/>
      <c r="P31" s="2">
        <f>-2749.1</f>
        <v>-2749.1</v>
      </c>
      <c r="Q31" s="2"/>
      <c r="R31" s="22"/>
      <c r="S31" s="2"/>
      <c r="T31" s="2"/>
      <c r="U31" s="2"/>
      <c r="V31" s="22"/>
      <c r="W31" s="2"/>
      <c r="X31" s="2">
        <f t="shared" si="2"/>
        <v>-2749.1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"4302", " - ", "SALES RETURN NON TAXABLE-TEXT")</f>
        <v xml:space="preserve">          4302 - SALES RETURN NON TAXABLE-TEXT</v>
      </c>
      <c r="C32" s="11"/>
      <c r="D32" s="2">
        <f>-77.35</f>
        <v>-77.349999999999994</v>
      </c>
      <c r="E32" s="2"/>
      <c r="F32" s="22"/>
      <c r="G32" s="2"/>
      <c r="H32" s="2"/>
      <c r="I32" s="2"/>
      <c r="J32" s="22"/>
      <c r="K32" s="2"/>
      <c r="L32" s="2">
        <f t="shared" si="0"/>
        <v>-77.349999999999994</v>
      </c>
      <c r="M32" s="2"/>
      <c r="N32" s="22">
        <f t="shared" si="1"/>
        <v>0</v>
      </c>
      <c r="O32" s="11"/>
      <c r="P32" s="2">
        <f>-1470.2</f>
        <v>-1470.2</v>
      </c>
      <c r="Q32" s="2"/>
      <c r="R32" s="22"/>
      <c r="S32" s="2"/>
      <c r="T32" s="2"/>
      <c r="U32" s="2"/>
      <c r="V32" s="22"/>
      <c r="W32" s="2"/>
      <c r="X32" s="2">
        <f t="shared" si="2"/>
        <v>-1470.2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"4304", " - ", "SALES RETURN NON TAXABLE-DIGIT")</f>
        <v xml:space="preserve">          4304 - SALES RETURN NON TAXABLE-DIGIT</v>
      </c>
      <c r="C33" s="11"/>
      <c r="D33" s="2">
        <f>-144.23</f>
        <v>-144.22999999999999</v>
      </c>
      <c r="E33" s="2"/>
      <c r="F33" s="22"/>
      <c r="G33" s="2"/>
      <c r="H33" s="2"/>
      <c r="I33" s="2"/>
      <c r="J33" s="22"/>
      <c r="K33" s="2"/>
      <c r="L33" s="2">
        <f t="shared" si="0"/>
        <v>-144.22999999999999</v>
      </c>
      <c r="M33" s="2"/>
      <c r="N33" s="22">
        <f t="shared" si="1"/>
        <v>0</v>
      </c>
      <c r="O33" s="11"/>
      <c r="P33" s="2">
        <f>-14422.77</f>
        <v>-14422.77</v>
      </c>
      <c r="Q33" s="2"/>
      <c r="R33" s="22"/>
      <c r="S33" s="2"/>
      <c r="T33" s="2"/>
      <c r="U33" s="2"/>
      <c r="V33" s="22"/>
      <c r="W33" s="2"/>
      <c r="X33" s="2">
        <f t="shared" si="2"/>
        <v>-14422.77</v>
      </c>
      <c r="Y33" s="2"/>
      <c r="Z33" s="22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6" t="s">
        <v>8</v>
      </c>
      <c r="C35" s="10"/>
      <c r="D35" s="4">
        <f>SUM(OSRRefD16x_0)</f>
        <v>9464.3199999999924</v>
      </c>
      <c r="E35" s="4"/>
      <c r="F35" s="12">
        <f t="shared" ref="F35:F50" si="5">IF(D$12=0,0,D35/D$12)</f>
        <v>0.53403482281352999</v>
      </c>
      <c r="G35" s="4"/>
      <c r="H35" s="4">
        <f>SUM(OSRRefH16x_0)</f>
        <v>41519</v>
      </c>
      <c r="I35" s="4"/>
      <c r="J35" s="12">
        <f t="shared" ref="J35:J50" si="6">IF(H$12=0,0,H35/H$12)</f>
        <v>0.72997872602282121</v>
      </c>
      <c r="K35" s="4"/>
      <c r="L35" s="4">
        <f t="shared" ref="L35:L50" si="7">+D35-H35</f>
        <v>-32054.680000000008</v>
      </c>
      <c r="M35" s="4"/>
      <c r="N35" s="12">
        <f t="shared" ref="N35:N50" si="8">IF(H35=0,0,L35/H35)</f>
        <v>-0.77204845974132341</v>
      </c>
      <c r="O35" s="10"/>
      <c r="P35" s="4">
        <f>SUM(OSRRefP16x_0)</f>
        <v>1122704.1500000001</v>
      </c>
      <c r="Q35" s="4"/>
      <c r="R35" s="12">
        <f t="shared" ref="R35:R50" si="9">IF(P$12=0,0,P35/P$12)</f>
        <v>0.71420998498765065</v>
      </c>
      <c r="S35" s="4"/>
      <c r="T35" s="4">
        <f>SUM(OSRRefT16x_0)</f>
        <v>1923217</v>
      </c>
      <c r="U35" s="4"/>
      <c r="V35" s="12">
        <f t="shared" ref="V35:V50" si="10">IF(T$12=0,0,T35/T$12)</f>
        <v>0.72833624054273294</v>
      </c>
      <c r="W35" s="4"/>
      <c r="X35" s="4">
        <f t="shared" ref="X35:X50" si="11">+P35-T35</f>
        <v>-800512.84999999986</v>
      </c>
      <c r="Y35" s="4"/>
      <c r="Z35" s="12">
        <f t="shared" ref="Z35:Z50" si="12">IF(T35=0,0,X35/T35)</f>
        <v>-0.416236363343294</v>
      </c>
    </row>
    <row r="36" spans="1:26" s="24" customFormat="1" hidden="1" outlineLevel="1" x14ac:dyDescent="0.25">
      <c r="A36" s="51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22">
        <f t="shared" si="5"/>
        <v>0</v>
      </c>
      <c r="G36" s="2"/>
      <c r="H36" s="2">
        <v>41519</v>
      </c>
      <c r="I36" s="2"/>
      <c r="J36" s="22">
        <f t="shared" si="6"/>
        <v>0.72997872602282121</v>
      </c>
      <c r="K36" s="2"/>
      <c r="L36" s="2">
        <f t="shared" si="7"/>
        <v>-41519</v>
      </c>
      <c r="M36" s="2"/>
      <c r="N36" s="22">
        <f t="shared" si="8"/>
        <v>-1</v>
      </c>
      <c r="O36" s="11"/>
      <c r="P36" s="2"/>
      <c r="Q36" s="2"/>
      <c r="R36" s="22">
        <f t="shared" si="9"/>
        <v>0</v>
      </c>
      <c r="S36" s="2"/>
      <c r="T36" s="2">
        <v>1923217</v>
      </c>
      <c r="U36" s="2"/>
      <c r="V36" s="22">
        <f t="shared" si="10"/>
        <v>0.72833624054273294</v>
      </c>
      <c r="W36" s="2"/>
      <c r="X36" s="2">
        <f t="shared" si="11"/>
        <v>-1923217</v>
      </c>
      <c r="Y36" s="2"/>
      <c r="Z36" s="22">
        <f t="shared" si="12"/>
        <v>-1</v>
      </c>
    </row>
    <row r="37" spans="1:26" s="24" customFormat="1" hidden="1" outlineLevel="1" x14ac:dyDescent="0.25">
      <c r="A37" s="51"/>
      <c r="B37" s="11" t="str">
        <f>CONCATENATE("          ", "5001", " - ", "PURCHASES @ COST-NEW TEXT")</f>
        <v xml:space="preserve">          5001 - PURCHASES @ COST-NEW TEXT</v>
      </c>
      <c r="C37" s="11"/>
      <c r="D37" s="2">
        <v>37317.56</v>
      </c>
      <c r="E37" s="2"/>
      <c r="F37" s="22">
        <f t="shared" si="5"/>
        <v>2.1056849876624297</v>
      </c>
      <c r="G37" s="2"/>
      <c r="H37" s="2"/>
      <c r="I37" s="2"/>
      <c r="J37" s="22">
        <f t="shared" si="6"/>
        <v>0</v>
      </c>
      <c r="K37" s="2"/>
      <c r="L37" s="2">
        <f t="shared" si="7"/>
        <v>37317.56</v>
      </c>
      <c r="M37" s="2"/>
      <c r="N37" s="22">
        <f t="shared" si="8"/>
        <v>0</v>
      </c>
      <c r="O37" s="11"/>
      <c r="P37" s="2">
        <v>1277913.04</v>
      </c>
      <c r="Q37" s="2"/>
      <c r="R37" s="22">
        <f t="shared" si="9"/>
        <v>0.81294636090364758</v>
      </c>
      <c r="S37" s="2"/>
      <c r="T37" s="2"/>
      <c r="U37" s="2"/>
      <c r="V37" s="22">
        <f t="shared" si="10"/>
        <v>0</v>
      </c>
      <c r="W37" s="2"/>
      <c r="X37" s="2">
        <f t="shared" si="11"/>
        <v>1277913.04</v>
      </c>
      <c r="Y37" s="2"/>
      <c r="Z37" s="22">
        <f t="shared" si="12"/>
        <v>0</v>
      </c>
    </row>
    <row r="38" spans="1:26" s="24" customFormat="1" hidden="1" outlineLevel="1" x14ac:dyDescent="0.25">
      <c r="A38" s="51"/>
      <c r="B38" s="11" t="str">
        <f>CONCATENATE("          ", "5002", " - ", "PURCHASES @ COST-USED TEXT")</f>
        <v xml:space="preserve">          5002 - PURCHASES @ COST-USED TEXT</v>
      </c>
      <c r="C38" s="11"/>
      <c r="D38" s="2">
        <v>70238.87</v>
      </c>
      <c r="E38" s="2"/>
      <c r="F38" s="22">
        <f t="shared" si="5"/>
        <v>3.9633066607080689</v>
      </c>
      <c r="G38" s="2"/>
      <c r="H38" s="2"/>
      <c r="I38" s="2"/>
      <c r="J38" s="22">
        <f t="shared" si="6"/>
        <v>0</v>
      </c>
      <c r="K38" s="2"/>
      <c r="L38" s="2">
        <f t="shared" si="7"/>
        <v>70238.87</v>
      </c>
      <c r="M38" s="2"/>
      <c r="N38" s="22">
        <f t="shared" si="8"/>
        <v>0</v>
      </c>
      <c r="O38" s="11"/>
      <c r="P38" s="2">
        <v>164472.92000000001</v>
      </c>
      <c r="Q38" s="2"/>
      <c r="R38" s="22">
        <f t="shared" si="9"/>
        <v>0.10462970295787635</v>
      </c>
      <c r="S38" s="2"/>
      <c r="T38" s="2"/>
      <c r="U38" s="2"/>
      <c r="V38" s="22">
        <f t="shared" si="10"/>
        <v>0</v>
      </c>
      <c r="W38" s="2"/>
      <c r="X38" s="2">
        <f t="shared" si="11"/>
        <v>164472.92000000001</v>
      </c>
      <c r="Y38" s="2"/>
      <c r="Z38" s="22">
        <f t="shared" si="12"/>
        <v>0</v>
      </c>
    </row>
    <row r="39" spans="1:26" s="24" customFormat="1" hidden="1" outlineLevel="1" x14ac:dyDescent="0.25">
      <c r="A39" s="51"/>
      <c r="B39" s="11" t="str">
        <f>CONCATENATE("          ", "5003", " - ", "PURCHASES @ COST-RENTAL TEXT")</f>
        <v xml:space="preserve">          5003 - PURCHASES @ COST-RENTAL TEXT</v>
      </c>
      <c r="C39" s="11"/>
      <c r="D39" s="2"/>
      <c r="E39" s="2"/>
      <c r="F39" s="22">
        <f t="shared" si="5"/>
        <v>0</v>
      </c>
      <c r="G39" s="2"/>
      <c r="H39" s="2"/>
      <c r="I39" s="2"/>
      <c r="J39" s="22">
        <f t="shared" si="6"/>
        <v>0</v>
      </c>
      <c r="K39" s="2"/>
      <c r="L39" s="2">
        <f t="shared" si="7"/>
        <v>0</v>
      </c>
      <c r="M39" s="2"/>
      <c r="N39" s="22">
        <f t="shared" si="8"/>
        <v>0</v>
      </c>
      <c r="O39" s="11"/>
      <c r="P39" s="2">
        <v>32.520000000000003</v>
      </c>
      <c r="Q39" s="2"/>
      <c r="R39" s="22">
        <f t="shared" si="9"/>
        <v>2.0687648399445569E-5</v>
      </c>
      <c r="S39" s="2"/>
      <c r="T39" s="2"/>
      <c r="U39" s="2"/>
      <c r="V39" s="22">
        <f t="shared" si="10"/>
        <v>0</v>
      </c>
      <c r="W39" s="2"/>
      <c r="X39" s="2">
        <f t="shared" si="11"/>
        <v>32.520000000000003</v>
      </c>
      <c r="Y39" s="2"/>
      <c r="Z39" s="22">
        <f t="shared" si="12"/>
        <v>0</v>
      </c>
    </row>
    <row r="40" spans="1:26" s="24" customFormat="1" hidden="1" outlineLevel="1" x14ac:dyDescent="0.25">
      <c r="A40" s="51"/>
      <c r="B40" s="11" t="str">
        <f>CONCATENATE("          ", "5004", " - ", "PURCHASES @ COST-DIGITAL TEXT")</f>
        <v xml:space="preserve">          5004 - PURCHASES @ COST-DIGITAL TEXT</v>
      </c>
      <c r="C40" s="11"/>
      <c r="D40" s="2">
        <v>900</v>
      </c>
      <c r="E40" s="2"/>
      <c r="F40" s="22">
        <f t="shared" si="5"/>
        <v>5.0783504840514408E-2</v>
      </c>
      <c r="G40" s="2"/>
      <c r="H40" s="2"/>
      <c r="I40" s="2"/>
      <c r="J40" s="22">
        <f t="shared" si="6"/>
        <v>0</v>
      </c>
      <c r="K40" s="2"/>
      <c r="L40" s="2">
        <f t="shared" si="7"/>
        <v>900</v>
      </c>
      <c r="M40" s="2"/>
      <c r="N40" s="22">
        <f t="shared" si="8"/>
        <v>0</v>
      </c>
      <c r="O40" s="11"/>
      <c r="P40" s="2">
        <v>197838.11000000002</v>
      </c>
      <c r="Q40" s="2"/>
      <c r="R40" s="22">
        <f t="shared" si="9"/>
        <v>0.12585502028569606</v>
      </c>
      <c r="S40" s="2"/>
      <c r="T40" s="2"/>
      <c r="U40" s="2"/>
      <c r="V40" s="22">
        <f t="shared" si="10"/>
        <v>0</v>
      </c>
      <c r="W40" s="2"/>
      <c r="X40" s="2">
        <f t="shared" si="11"/>
        <v>197838.11000000002</v>
      </c>
      <c r="Y40" s="2"/>
      <c r="Z40" s="22">
        <f t="shared" si="12"/>
        <v>0</v>
      </c>
    </row>
    <row r="41" spans="1:26" s="24" customFormat="1" hidden="1" outlineLevel="1" x14ac:dyDescent="0.25">
      <c r="A41" s="51"/>
      <c r="B41" s="11" t="str">
        <f>CONCATENATE("          ", "5011", " - ", "PURCHASES @ COST-NO VALUE TEXT")</f>
        <v xml:space="preserve">          5011 - PURCHASES @ COST-NO VALUE TEXT</v>
      </c>
      <c r="C41" s="11"/>
      <c r="D41" s="2"/>
      <c r="E41" s="2"/>
      <c r="F41" s="22">
        <f t="shared" si="5"/>
        <v>0</v>
      </c>
      <c r="G41" s="2"/>
      <c r="H41" s="2"/>
      <c r="I41" s="2"/>
      <c r="J41" s="22">
        <f t="shared" si="6"/>
        <v>0</v>
      </c>
      <c r="K41" s="2"/>
      <c r="L41" s="2">
        <f t="shared" si="7"/>
        <v>0</v>
      </c>
      <c r="M41" s="2"/>
      <c r="N41" s="22">
        <f t="shared" si="8"/>
        <v>0</v>
      </c>
      <c r="O41" s="11"/>
      <c r="P41" s="2">
        <v>67.17</v>
      </c>
      <c r="Q41" s="2"/>
      <c r="R41" s="22">
        <f t="shared" si="9"/>
        <v>4.2730299599961829E-5</v>
      </c>
      <c r="S41" s="2"/>
      <c r="T41" s="2"/>
      <c r="U41" s="2"/>
      <c r="V41" s="22">
        <f t="shared" si="10"/>
        <v>0</v>
      </c>
      <c r="W41" s="2"/>
      <c r="X41" s="2">
        <f t="shared" si="11"/>
        <v>67.17</v>
      </c>
      <c r="Y41" s="2"/>
      <c r="Z41" s="22">
        <f t="shared" si="12"/>
        <v>0</v>
      </c>
    </row>
    <row r="42" spans="1:26" s="24" customFormat="1" hidden="1" outlineLevel="1" x14ac:dyDescent="0.25">
      <c r="A42" s="51"/>
      <c r="B42" s="11" t="str">
        <f>CONCATENATE("          ", "5013", " - ", "PURCHASES @ COST-TRADE BOOKS")</f>
        <v xml:space="preserve">          5013 - PURCHASES @ COST-TRADE BOOKS</v>
      </c>
      <c r="C42" s="11"/>
      <c r="D42" s="2">
        <v>31.11</v>
      </c>
      <c r="E42" s="2"/>
      <c r="F42" s="22">
        <f t="shared" si="5"/>
        <v>1.7554164839871148E-3</v>
      </c>
      <c r="G42" s="2"/>
      <c r="H42" s="2"/>
      <c r="I42" s="2"/>
      <c r="J42" s="22">
        <f t="shared" si="6"/>
        <v>0</v>
      </c>
      <c r="K42" s="2"/>
      <c r="L42" s="2">
        <f t="shared" si="7"/>
        <v>31.11</v>
      </c>
      <c r="M42" s="2"/>
      <c r="N42" s="22">
        <f t="shared" si="8"/>
        <v>0</v>
      </c>
      <c r="O42" s="11"/>
      <c r="P42" s="2">
        <v>2125.85</v>
      </c>
      <c r="Q42" s="2"/>
      <c r="R42" s="22">
        <f t="shared" si="9"/>
        <v>1.352362772139033E-3</v>
      </c>
      <c r="S42" s="2"/>
      <c r="T42" s="2"/>
      <c r="U42" s="2"/>
      <c r="V42" s="22">
        <f t="shared" si="10"/>
        <v>0</v>
      </c>
      <c r="W42" s="2"/>
      <c r="X42" s="2">
        <f t="shared" si="11"/>
        <v>2125.85</v>
      </c>
      <c r="Y42" s="2"/>
      <c r="Z42" s="22">
        <f t="shared" si="12"/>
        <v>0</v>
      </c>
    </row>
    <row r="43" spans="1:26" s="24" customFormat="1" hidden="1" outlineLevel="1" x14ac:dyDescent="0.25">
      <c r="A43" s="51"/>
      <c r="B43" s="11" t="str">
        <f>CONCATENATE("          ", "5014", " - ", "PURCHASES @ COST-REMAINDERS")</f>
        <v xml:space="preserve">          5014 - PURCHASES @ COST-REMAINDERS</v>
      </c>
      <c r="C43" s="11"/>
      <c r="D43" s="2"/>
      <c r="E43" s="2"/>
      <c r="F43" s="22">
        <f t="shared" si="5"/>
        <v>0</v>
      </c>
      <c r="G43" s="2"/>
      <c r="H43" s="2"/>
      <c r="I43" s="2"/>
      <c r="J43" s="22">
        <f t="shared" si="6"/>
        <v>0</v>
      </c>
      <c r="K43" s="2"/>
      <c r="L43" s="2">
        <f t="shared" si="7"/>
        <v>0</v>
      </c>
      <c r="M43" s="2"/>
      <c r="N43" s="22">
        <f t="shared" si="8"/>
        <v>0</v>
      </c>
      <c r="O43" s="11"/>
      <c r="P43" s="2">
        <v>90.41</v>
      </c>
      <c r="Q43" s="2"/>
      <c r="R43" s="22">
        <f t="shared" si="9"/>
        <v>5.7514461617277787E-5</v>
      </c>
      <c r="S43" s="2"/>
      <c r="T43" s="2"/>
      <c r="U43" s="2"/>
      <c r="V43" s="22">
        <f t="shared" si="10"/>
        <v>0</v>
      </c>
      <c r="W43" s="2"/>
      <c r="X43" s="2">
        <f t="shared" si="11"/>
        <v>90.41</v>
      </c>
      <c r="Y43" s="2"/>
      <c r="Z43" s="22">
        <f t="shared" si="12"/>
        <v>0</v>
      </c>
    </row>
    <row r="44" spans="1:26" s="24" customFormat="1" hidden="1" outlineLevel="1" x14ac:dyDescent="0.25">
      <c r="A44" s="51"/>
      <c r="B44" s="11" t="str">
        <f>CONCATENATE("          ", "5018", " - ", "PURCHASES @ COST-STUDY GUIDES")</f>
        <v xml:space="preserve">          5018 - PURCHASES @ COST-STUDY GUIDES</v>
      </c>
      <c r="C44" s="11"/>
      <c r="D44" s="2"/>
      <c r="E44" s="2"/>
      <c r="F44" s="22">
        <f t="shared" si="5"/>
        <v>0</v>
      </c>
      <c r="G44" s="2"/>
      <c r="H44" s="2"/>
      <c r="I44" s="2"/>
      <c r="J44" s="22">
        <f t="shared" si="6"/>
        <v>0</v>
      </c>
      <c r="K44" s="2"/>
      <c r="L44" s="2">
        <f t="shared" si="7"/>
        <v>0</v>
      </c>
      <c r="M44" s="2"/>
      <c r="N44" s="22">
        <f t="shared" si="8"/>
        <v>0</v>
      </c>
      <c r="O44" s="11"/>
      <c r="P44" s="2">
        <v>106.34</v>
      </c>
      <c r="Q44" s="2"/>
      <c r="R44" s="22">
        <f t="shared" si="9"/>
        <v>6.7648355805567084E-5</v>
      </c>
      <c r="S44" s="2"/>
      <c r="T44" s="2"/>
      <c r="U44" s="2"/>
      <c r="V44" s="22">
        <f t="shared" si="10"/>
        <v>0</v>
      </c>
      <c r="W44" s="2"/>
      <c r="X44" s="2">
        <f t="shared" si="11"/>
        <v>106.34</v>
      </c>
      <c r="Y44" s="2"/>
      <c r="Z44" s="22">
        <f t="shared" si="12"/>
        <v>0</v>
      </c>
    </row>
    <row r="45" spans="1:26" s="24" customFormat="1" hidden="1" outlineLevel="1" x14ac:dyDescent="0.25">
      <c r="A45" s="51"/>
      <c r="B45" s="11" t="str">
        <f>CONCATENATE("          ", "5200", " - ", "PURCHASES OFFSET")</f>
        <v xml:space="preserve">          5200 - PURCHASES OFFSET</v>
      </c>
      <c r="C45" s="11"/>
      <c r="D45" s="2">
        <v>-114446.47</v>
      </c>
      <c r="E45" s="2"/>
      <c r="F45" s="22">
        <f t="shared" si="5"/>
        <v>-6.4577698480275414</v>
      </c>
      <c r="G45" s="2"/>
      <c r="H45" s="2"/>
      <c r="I45" s="2"/>
      <c r="J45" s="22">
        <f t="shared" si="6"/>
        <v>0</v>
      </c>
      <c r="K45" s="2"/>
      <c r="L45" s="2">
        <f t="shared" si="7"/>
        <v>-114446.47</v>
      </c>
      <c r="M45" s="2"/>
      <c r="N45" s="22">
        <f t="shared" si="8"/>
        <v>0</v>
      </c>
      <c r="O45" s="11"/>
      <c r="P45" s="2">
        <v>-1350673.8</v>
      </c>
      <c r="Q45" s="2"/>
      <c r="R45" s="22">
        <f t="shared" si="9"/>
        <v>-0.85923323114216055</v>
      </c>
      <c r="S45" s="2"/>
      <c r="T45" s="2"/>
      <c r="U45" s="2"/>
      <c r="V45" s="22">
        <f t="shared" si="10"/>
        <v>0</v>
      </c>
      <c r="W45" s="2"/>
      <c r="X45" s="2">
        <f t="shared" si="11"/>
        <v>-1350673.8</v>
      </c>
      <c r="Y45" s="2"/>
      <c r="Z45" s="22">
        <f t="shared" si="12"/>
        <v>0</v>
      </c>
    </row>
    <row r="46" spans="1:26" s="24" customFormat="1" hidden="1" outlineLevel="1" x14ac:dyDescent="0.25">
      <c r="A46" s="51"/>
      <c r="B46" s="11" t="str">
        <f>CONCATENATE("          ", "5300", " - ", "COG$ OFFSET")</f>
        <v xml:space="preserve">          5300 - COG$ OFFSET</v>
      </c>
      <c r="C46" s="11"/>
      <c r="D46" s="2">
        <v>10619</v>
      </c>
      <c r="E46" s="2"/>
      <c r="F46" s="22">
        <f t="shared" si="5"/>
        <v>0.59918893100158055</v>
      </c>
      <c r="G46" s="2"/>
      <c r="H46" s="2"/>
      <c r="I46" s="2"/>
      <c r="J46" s="22">
        <f t="shared" si="6"/>
        <v>0</v>
      </c>
      <c r="K46" s="2"/>
      <c r="L46" s="2">
        <f t="shared" si="7"/>
        <v>10619</v>
      </c>
      <c r="M46" s="2"/>
      <c r="N46" s="22">
        <f t="shared" si="8"/>
        <v>0</v>
      </c>
      <c r="O46" s="11"/>
      <c r="P46" s="2">
        <v>779697</v>
      </c>
      <c r="Q46" s="2"/>
      <c r="R46" s="22">
        <f t="shared" si="9"/>
        <v>0.49600545492320142</v>
      </c>
      <c r="S46" s="2"/>
      <c r="T46" s="2"/>
      <c r="U46" s="2"/>
      <c r="V46" s="22">
        <f t="shared" si="10"/>
        <v>0</v>
      </c>
      <c r="W46" s="2"/>
      <c r="X46" s="2">
        <f t="shared" si="11"/>
        <v>779697</v>
      </c>
      <c r="Y46" s="2"/>
      <c r="Z46" s="22">
        <f t="shared" si="12"/>
        <v>0</v>
      </c>
    </row>
    <row r="47" spans="1:26" s="24" customFormat="1" hidden="1" outlineLevel="1" x14ac:dyDescent="0.25">
      <c r="A47" s="51"/>
      <c r="B47" s="11" t="str">
        <f>CONCATENATE("          ", "5501", " - ", "FREIGHT-IN-NEW TEXT")</f>
        <v xml:space="preserve">          5501 - FREIGHT-IN-NEW TEXT</v>
      </c>
      <c r="C47" s="11"/>
      <c r="D47" s="2">
        <v>2414.77</v>
      </c>
      <c r="E47" s="2"/>
      <c r="F47" s="22">
        <f t="shared" si="5"/>
        <v>0.13625609331525443</v>
      </c>
      <c r="G47" s="2"/>
      <c r="H47" s="2"/>
      <c r="I47" s="2"/>
      <c r="J47" s="22">
        <f t="shared" si="6"/>
        <v>0</v>
      </c>
      <c r="K47" s="2"/>
      <c r="L47" s="2">
        <f t="shared" si="7"/>
        <v>2414.77</v>
      </c>
      <c r="M47" s="2"/>
      <c r="N47" s="22">
        <f t="shared" si="8"/>
        <v>0</v>
      </c>
      <c r="O47" s="11"/>
      <c r="P47" s="2">
        <v>37463.58</v>
      </c>
      <c r="Q47" s="2"/>
      <c r="R47" s="22">
        <f t="shared" si="9"/>
        <v>2.3832514477998185E-2</v>
      </c>
      <c r="S47" s="2"/>
      <c r="T47" s="2"/>
      <c r="U47" s="2"/>
      <c r="V47" s="22">
        <f t="shared" si="10"/>
        <v>0</v>
      </c>
      <c r="W47" s="2"/>
      <c r="X47" s="2">
        <f t="shared" si="11"/>
        <v>37463.58</v>
      </c>
      <c r="Y47" s="2"/>
      <c r="Z47" s="22">
        <f t="shared" si="12"/>
        <v>0</v>
      </c>
    </row>
    <row r="48" spans="1:26" s="24" customFormat="1" hidden="1" outlineLevel="1" x14ac:dyDescent="0.25">
      <c r="A48" s="51"/>
      <c r="B48" s="11" t="str">
        <f>CONCATENATE("          ", "5502", " - ", "FREIGHT-IN-USED TEXT")</f>
        <v xml:space="preserve">          5502 - FREIGHT-IN-USED TEXT</v>
      </c>
      <c r="C48" s="11"/>
      <c r="D48" s="2">
        <v>2389.48</v>
      </c>
      <c r="E48" s="2"/>
      <c r="F48" s="22">
        <f t="shared" si="5"/>
        <v>0.13482907682923598</v>
      </c>
      <c r="G48" s="2"/>
      <c r="H48" s="2"/>
      <c r="I48" s="2"/>
      <c r="J48" s="22">
        <f t="shared" si="6"/>
        <v>0</v>
      </c>
      <c r="K48" s="2"/>
      <c r="L48" s="2">
        <f t="shared" si="7"/>
        <v>2389.48</v>
      </c>
      <c r="M48" s="2"/>
      <c r="N48" s="22">
        <f t="shared" si="8"/>
        <v>0</v>
      </c>
      <c r="O48" s="11"/>
      <c r="P48" s="2">
        <v>13522.57</v>
      </c>
      <c r="Q48" s="2"/>
      <c r="R48" s="22">
        <f t="shared" si="9"/>
        <v>8.6024038627580141E-3</v>
      </c>
      <c r="S48" s="2"/>
      <c r="T48" s="2"/>
      <c r="U48" s="2"/>
      <c r="V48" s="22">
        <f t="shared" si="10"/>
        <v>0</v>
      </c>
      <c r="W48" s="2"/>
      <c r="X48" s="2">
        <f t="shared" si="11"/>
        <v>13522.57</v>
      </c>
      <c r="Y48" s="2"/>
      <c r="Z48" s="22">
        <f t="shared" si="12"/>
        <v>0</v>
      </c>
    </row>
    <row r="49" spans="1:26" s="24" customFormat="1" hidden="1" outlineLevel="1" x14ac:dyDescent="0.25">
      <c r="A49" s="51"/>
      <c r="B49" s="11" t="str">
        <f>CONCATENATE("          ", "5504", " - ", "FREIGHT-IN-DIGITAL TEXT")</f>
        <v xml:space="preserve">          5504 - FREIGHT-IN-DIGITAL TEXT</v>
      </c>
      <c r="C49" s="11"/>
      <c r="D49" s="2"/>
      <c r="E49" s="2"/>
      <c r="F49" s="22">
        <f t="shared" si="5"/>
        <v>0</v>
      </c>
      <c r="G49" s="2"/>
      <c r="H49" s="2"/>
      <c r="I49" s="2"/>
      <c r="J49" s="22">
        <f t="shared" si="6"/>
        <v>0</v>
      </c>
      <c r="K49" s="2"/>
      <c r="L49" s="2">
        <f t="shared" si="7"/>
        <v>0</v>
      </c>
      <c r="M49" s="2"/>
      <c r="N49" s="22">
        <f t="shared" si="8"/>
        <v>0</v>
      </c>
      <c r="O49" s="11"/>
      <c r="P49" s="2">
        <v>21.98</v>
      </c>
      <c r="Q49" s="2"/>
      <c r="R49" s="22">
        <f t="shared" si="9"/>
        <v>1.3982611064569913E-5</v>
      </c>
      <c r="S49" s="2"/>
      <c r="T49" s="2"/>
      <c r="U49" s="2"/>
      <c r="V49" s="22">
        <f t="shared" si="10"/>
        <v>0</v>
      </c>
      <c r="W49" s="2"/>
      <c r="X49" s="2">
        <f t="shared" si="11"/>
        <v>21.98</v>
      </c>
      <c r="Y49" s="2"/>
      <c r="Z49" s="22">
        <f t="shared" si="12"/>
        <v>0</v>
      </c>
    </row>
    <row r="50" spans="1:26" s="24" customFormat="1" hidden="1" outlineLevel="1" x14ac:dyDescent="0.25">
      <c r="A50" s="51"/>
      <c r="B50" s="11" t="str">
        <f>CONCATENATE("          ", "5513", " - ", "FREIGHT-IN-TRADE BOOKS")</f>
        <v xml:space="preserve">          5513 - FREIGHT-IN-TRADE BOOKS</v>
      </c>
      <c r="C50" s="11"/>
      <c r="D50" s="2"/>
      <c r="E50" s="2"/>
      <c r="F50" s="22">
        <f t="shared" si="5"/>
        <v>0</v>
      </c>
      <c r="G50" s="2"/>
      <c r="H50" s="2"/>
      <c r="I50" s="2"/>
      <c r="J50" s="22">
        <f t="shared" si="6"/>
        <v>0</v>
      </c>
      <c r="K50" s="2"/>
      <c r="L50" s="2">
        <f t="shared" si="7"/>
        <v>0</v>
      </c>
      <c r="M50" s="2"/>
      <c r="N50" s="22">
        <f t="shared" si="8"/>
        <v>0</v>
      </c>
      <c r="O50" s="11"/>
      <c r="P50" s="2">
        <v>26.46</v>
      </c>
      <c r="Q50" s="2"/>
      <c r="R50" s="22">
        <f t="shared" si="9"/>
        <v>1.6832570007666966E-5</v>
      </c>
      <c r="S50" s="2"/>
      <c r="T50" s="2"/>
      <c r="U50" s="2"/>
      <c r="V50" s="22">
        <f t="shared" si="10"/>
        <v>0</v>
      </c>
      <c r="W50" s="2"/>
      <c r="X50" s="2">
        <f t="shared" si="11"/>
        <v>26.46</v>
      </c>
      <c r="Y50" s="2"/>
      <c r="Z50" s="22">
        <f t="shared" si="12"/>
        <v>0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5" t="s">
        <v>6</v>
      </c>
      <c r="C52" s="25"/>
      <c r="D52" s="21">
        <f>D12-D35</f>
        <v>8257.9700000000048</v>
      </c>
      <c r="E52" s="13"/>
      <c r="F52" s="19">
        <f>IF(D$12=0,0,D52/D$12)</f>
        <v>0.46596517718647001</v>
      </c>
      <c r="G52" s="13"/>
      <c r="H52" s="21">
        <f>H12-H35</f>
        <v>15358</v>
      </c>
      <c r="I52" s="13"/>
      <c r="J52" s="19">
        <f>IF(H$12=0,0,H52/H$12)</f>
        <v>0.27002127397717884</v>
      </c>
      <c r="K52" s="16"/>
      <c r="L52" s="21">
        <f>+D52-H52</f>
        <v>-7100.0299999999952</v>
      </c>
      <c r="M52" s="16"/>
      <c r="N52" s="19">
        <f>IF(H52=0,0,L52/H52)</f>
        <v>-0.46230173199635338</v>
      </c>
      <c r="O52" s="26"/>
      <c r="P52" s="21">
        <f>P12-P35</f>
        <v>449248.3199999996</v>
      </c>
      <c r="Q52" s="13"/>
      <c r="R52" s="19">
        <f>IF(P$12=0,0,P52/P$12)</f>
        <v>0.28579001501234935</v>
      </c>
      <c r="S52" s="13"/>
      <c r="T52" s="21">
        <f>T12-T35</f>
        <v>717345</v>
      </c>
      <c r="U52" s="13"/>
      <c r="V52" s="19">
        <f>IF(T$12=0,0,T52/T$12)</f>
        <v>0.27166375945726706</v>
      </c>
      <c r="W52" s="16"/>
      <c r="X52" s="21">
        <f>+P52-T52</f>
        <v>-268096.6800000004</v>
      </c>
      <c r="Y52" s="16"/>
      <c r="Z52" s="19">
        <f>IF(T52=0,0,X52/T52)</f>
        <v>-0.37373464650900251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6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6" t="s">
        <v>9</v>
      </c>
      <c r="C54" s="10"/>
      <c r="D54" s="20">
        <f>SUM(OSRRefD22x_0)</f>
        <v>51172.139999999992</v>
      </c>
      <c r="E54" s="20"/>
      <c r="F54" s="30">
        <f t="shared" ref="F54:F65" si="13">IF(D$12=0,0,D54/D$12)</f>
        <v>2.8874451326549786</v>
      </c>
      <c r="G54" s="20"/>
      <c r="H54" s="20">
        <f>SUM(OSRRefH22x_0)</f>
        <v>47259.28612386153</v>
      </c>
      <c r="I54" s="20"/>
      <c r="J54" s="30">
        <f t="shared" ref="J54:J65" si="14">IF(H$12=0,0,H54/H$12)</f>
        <v>0.83090328469964181</v>
      </c>
      <c r="K54" s="4"/>
      <c r="L54" s="20">
        <f t="shared" ref="L54:L65" si="15">+D54-H54</f>
        <v>3912.8538761384625</v>
      </c>
      <c r="M54" s="4"/>
      <c r="N54" s="30">
        <f t="shared" ref="N54:N65" si="16">IF(H54=0,0,L54/H54)</f>
        <v>8.2795450313897914E-2</v>
      </c>
      <c r="O54" s="10"/>
      <c r="P54" s="20">
        <f>SUM(OSRRefP22x_0)</f>
        <v>264104.50999999995</v>
      </c>
      <c r="Q54" s="20"/>
      <c r="R54" s="30">
        <f t="shared" ref="R54:R65" si="17">IF(P$12=0,0,P54/P$12)</f>
        <v>0.16801049334526</v>
      </c>
      <c r="S54" s="20"/>
      <c r="T54" s="20">
        <f>SUM(OSRRefT22x_0)</f>
        <v>310301.01023010002</v>
      </c>
      <c r="U54" s="20"/>
      <c r="V54" s="30">
        <f t="shared" ref="V54:V65" si="18">IF(T$12=0,0,T54/T$12)</f>
        <v>0.11751324537356063</v>
      </c>
      <c r="W54" s="4"/>
      <c r="X54" s="20">
        <f t="shared" ref="X54:X65" si="19">+P54-T54</f>
        <v>-46196.500230100064</v>
      </c>
      <c r="Y54" s="4"/>
      <c r="Z54" s="30">
        <f t="shared" ref="Z54:Z65" si="20">IF(T54=0,0,X54/T54)</f>
        <v>-0.14887640938018087</v>
      </c>
    </row>
    <row r="55" spans="1:26" s="28" customFormat="1" outlineLevel="1" collapsed="1" x14ac:dyDescent="0.25">
      <c r="A55" s="27"/>
      <c r="B55" s="14" t="str">
        <f>CONCATENATE("     ","*Benefits                                         ")</f>
        <v xml:space="preserve">     *Benefits                                         </v>
      </c>
      <c r="C55" s="14"/>
      <c r="D55" s="1">
        <f>SUM(OSRRefD22_0x_0)</f>
        <v>11725.109999999999</v>
      </c>
      <c r="E55" s="1"/>
      <c r="F55" s="5">
        <f t="shared" si="13"/>
        <v>0.66160242271173764</v>
      </c>
      <c r="G55" s="1"/>
      <c r="H55" s="1">
        <f>SUM(OSRRefH22_0x_0)</f>
        <v>11257.28398016923</v>
      </c>
      <c r="I55" s="1"/>
      <c r="J55" s="5">
        <f t="shared" si="14"/>
        <v>0.19792330784269968</v>
      </c>
      <c r="K55" s="1"/>
      <c r="L55" s="1">
        <f t="shared" si="15"/>
        <v>467.82601983076893</v>
      </c>
      <c r="M55" s="1"/>
      <c r="N55" s="5">
        <f t="shared" si="16"/>
        <v>4.1557627990453885E-2</v>
      </c>
      <c r="O55" s="14"/>
      <c r="P55" s="1">
        <f>SUM(OSRRefP22_0x_0)</f>
        <v>68762.950000000012</v>
      </c>
      <c r="Q55" s="1"/>
      <c r="R55" s="5">
        <f t="shared" si="17"/>
        <v>4.3743657211213274E-2</v>
      </c>
      <c r="S55" s="1"/>
      <c r="T55" s="1">
        <f>SUM(OSRRefT22_0x_0)</f>
        <v>73621.246296099998</v>
      </c>
      <c r="U55" s="1"/>
      <c r="V55" s="5">
        <f t="shared" si="18"/>
        <v>2.7880900465923543E-2</v>
      </c>
      <c r="W55" s="1"/>
      <c r="X55" s="1">
        <f t="shared" si="19"/>
        <v>-4858.2962960999866</v>
      </c>
      <c r="Y55" s="1"/>
      <c r="Z55" s="5">
        <f t="shared" si="20"/>
        <v>-6.5990410927848547E-2</v>
      </c>
    </row>
    <row r="56" spans="1:26" s="24" customFormat="1" hidden="1" outlineLevel="2" x14ac:dyDescent="0.25">
      <c r="A56" s="29"/>
      <c r="B56" s="11" t="str">
        <f>CONCATENATE("          ", "6111", " - ", "F.I.C.A.")</f>
        <v xml:space="preserve">          6111 - F.I.C.A.</v>
      </c>
      <c r="C56" s="11"/>
      <c r="D56" s="7">
        <v>1995.53</v>
      </c>
      <c r="E56" s="2"/>
      <c r="F56" s="6">
        <f t="shared" si="13"/>
        <v>0.11260000823821302</v>
      </c>
      <c r="G56" s="2"/>
      <c r="H56" s="7">
        <v>1589.3629129384599</v>
      </c>
      <c r="I56" s="2"/>
      <c r="J56" s="6">
        <f t="shared" si="14"/>
        <v>2.7943859784068426E-2</v>
      </c>
      <c r="K56" s="2"/>
      <c r="L56" s="7">
        <f t="shared" si="15"/>
        <v>406.16708706154009</v>
      </c>
      <c r="M56" s="2"/>
      <c r="N56" s="6">
        <f t="shared" si="16"/>
        <v>0.25555339422800971</v>
      </c>
      <c r="O56" s="11"/>
      <c r="P56" s="7">
        <v>12943</v>
      </c>
      <c r="Q56" s="2"/>
      <c r="R56" s="6">
        <f t="shared" si="17"/>
        <v>8.233709509041327E-3</v>
      </c>
      <c r="S56" s="2"/>
      <c r="T56" s="7">
        <v>11239.6526841</v>
      </c>
      <c r="U56" s="2"/>
      <c r="V56" s="6">
        <f t="shared" si="18"/>
        <v>4.2565380718574304E-3</v>
      </c>
      <c r="W56" s="2"/>
      <c r="X56" s="7">
        <f t="shared" si="19"/>
        <v>1703.3473159000005</v>
      </c>
      <c r="Y56" s="2"/>
      <c r="Z56" s="6">
        <f t="shared" si="20"/>
        <v>0.1515480383401539</v>
      </c>
    </row>
    <row r="57" spans="1:26" s="24" customFormat="1" hidden="1" outlineLevel="2" x14ac:dyDescent="0.25">
      <c r="A57" s="29"/>
      <c r="B57" s="11" t="str">
        <f>CONCATENATE("          ", "6112", " - ", "COMPENSATION INSURANCE")</f>
        <v xml:space="preserve">          6112 - COMPENSATION INSURANCE</v>
      </c>
      <c r="C57" s="11"/>
      <c r="D57" s="7">
        <v>314.69</v>
      </c>
      <c r="E57" s="2"/>
      <c r="F57" s="6">
        <f t="shared" si="13"/>
        <v>1.775673459806831E-2</v>
      </c>
      <c r="G57" s="2"/>
      <c r="H57" s="7">
        <v>475.20656846153901</v>
      </c>
      <c r="I57" s="2"/>
      <c r="J57" s="6">
        <f t="shared" si="14"/>
        <v>8.3549865228746065E-3</v>
      </c>
      <c r="K57" s="2"/>
      <c r="L57" s="7">
        <f t="shared" si="15"/>
        <v>-160.51656846153901</v>
      </c>
      <c r="M57" s="2"/>
      <c r="N57" s="6">
        <f t="shared" si="16"/>
        <v>-0.33778272253517994</v>
      </c>
      <c r="O57" s="11"/>
      <c r="P57" s="7">
        <v>982.04</v>
      </c>
      <c r="Q57" s="2"/>
      <c r="R57" s="6">
        <f t="shared" si="17"/>
        <v>6.2472626796406905E-4</v>
      </c>
      <c r="S57" s="2"/>
      <c r="T57" s="7">
        <v>3679.9038200000014</v>
      </c>
      <c r="U57" s="2"/>
      <c r="V57" s="6">
        <f t="shared" si="18"/>
        <v>1.3936062929027992E-3</v>
      </c>
      <c r="W57" s="2"/>
      <c r="X57" s="7">
        <f t="shared" si="19"/>
        <v>-2697.8638200000014</v>
      </c>
      <c r="Y57" s="2"/>
      <c r="Z57" s="6">
        <f t="shared" si="20"/>
        <v>-0.73313432958147273</v>
      </c>
    </row>
    <row r="58" spans="1:26" s="24" customFormat="1" hidden="1" outlineLevel="2" x14ac:dyDescent="0.25">
      <c r="A58" s="29"/>
      <c r="B58" s="11" t="str">
        <f>CONCATENATE("          ", "6113", " - ", "GROUP INSURANCE")</f>
        <v xml:space="preserve">          6113 - GROUP INSURANCE</v>
      </c>
      <c r="C58" s="11"/>
      <c r="D58" s="7">
        <v>4281.38</v>
      </c>
      <c r="E58" s="2"/>
      <c r="F58" s="6">
        <f t="shared" si="13"/>
        <v>0.24158164661564621</v>
      </c>
      <c r="G58" s="2"/>
      <c r="H58" s="7">
        <v>4662.6923076923094</v>
      </c>
      <c r="I58" s="2"/>
      <c r="J58" s="6">
        <f t="shared" si="14"/>
        <v>8.1978520451013753E-2</v>
      </c>
      <c r="K58" s="2"/>
      <c r="L58" s="7">
        <f t="shared" si="15"/>
        <v>-381.31230769230933</v>
      </c>
      <c r="M58" s="2"/>
      <c r="N58" s="6">
        <f t="shared" si="16"/>
        <v>-8.1779427534438995E-2</v>
      </c>
      <c r="O58" s="11"/>
      <c r="P58" s="7">
        <v>25388.22</v>
      </c>
      <c r="Q58" s="2"/>
      <c r="R58" s="6">
        <f t="shared" si="17"/>
        <v>1.6150755499623984E-2</v>
      </c>
      <c r="S58" s="2"/>
      <c r="T58" s="7">
        <v>28590</v>
      </c>
      <c r="U58" s="2"/>
      <c r="V58" s="6">
        <f t="shared" si="18"/>
        <v>1.0827240564697969E-2</v>
      </c>
      <c r="W58" s="2"/>
      <c r="X58" s="7">
        <f t="shared" si="19"/>
        <v>-3201.7799999999988</v>
      </c>
      <c r="Y58" s="2"/>
      <c r="Z58" s="6">
        <f t="shared" si="20"/>
        <v>-0.11198950682056659</v>
      </c>
    </row>
    <row r="59" spans="1:26" s="24" customFormat="1" hidden="1" outlineLevel="2" x14ac:dyDescent="0.25">
      <c r="A59" s="29"/>
      <c r="B59" s="11" t="str">
        <f>CONCATENATE("          ", "6114", " - ", "STATE UNEMPLOYMENT INSURANCE")</f>
        <v xml:space="preserve">          6114 - STATE UNEMPLOYMENT INSURANCE</v>
      </c>
      <c r="C59" s="11"/>
      <c r="D59" s="7"/>
      <c r="E59" s="2"/>
      <c r="F59" s="6">
        <f t="shared" si="13"/>
        <v>0</v>
      </c>
      <c r="G59" s="2"/>
      <c r="H59" s="7">
        <v>66.785787999999997</v>
      </c>
      <c r="I59" s="2"/>
      <c r="J59" s="6">
        <f t="shared" si="14"/>
        <v>1.1742143221337271E-3</v>
      </c>
      <c r="K59" s="2"/>
      <c r="L59" s="7">
        <f t="shared" si="15"/>
        <v>-66.785787999999997</v>
      </c>
      <c r="M59" s="2"/>
      <c r="N59" s="6">
        <f t="shared" si="16"/>
        <v>-1</v>
      </c>
      <c r="O59" s="11"/>
      <c r="P59" s="7">
        <v>382.75</v>
      </c>
      <c r="Q59" s="2"/>
      <c r="R59" s="6">
        <f t="shared" si="17"/>
        <v>2.4348700568535642E-4</v>
      </c>
      <c r="S59" s="2"/>
      <c r="T59" s="7">
        <v>517.17567199999996</v>
      </c>
      <c r="U59" s="2"/>
      <c r="V59" s="6">
        <f t="shared" si="18"/>
        <v>1.9585818170525819E-4</v>
      </c>
      <c r="W59" s="2"/>
      <c r="X59" s="7">
        <f t="shared" si="19"/>
        <v>-134.42567199999996</v>
      </c>
      <c r="Y59" s="2"/>
      <c r="Z59" s="6">
        <f t="shared" si="20"/>
        <v>-0.2599226515821107</v>
      </c>
    </row>
    <row r="60" spans="1:26" s="24" customFormat="1" hidden="1" outlineLevel="2" x14ac:dyDescent="0.25">
      <c r="A60" s="29"/>
      <c r="B60" s="11" t="str">
        <f>CONCATENATE("          ", "6115", " - ", "P.E.R.S.")</f>
        <v xml:space="preserve">          6115 - P.E.R.S.</v>
      </c>
      <c r="C60" s="11"/>
      <c r="D60" s="7">
        <v>1783.22</v>
      </c>
      <c r="E60" s="2"/>
      <c r="F60" s="6">
        <f t="shared" si="13"/>
        <v>0.10062017944633568</v>
      </c>
      <c r="G60" s="2"/>
      <c r="H60" s="7">
        <v>1268.5379723076899</v>
      </c>
      <c r="I60" s="2"/>
      <c r="J60" s="6">
        <f t="shared" si="14"/>
        <v>2.230318006061659E-2</v>
      </c>
      <c r="K60" s="2"/>
      <c r="L60" s="7">
        <f t="shared" si="15"/>
        <v>514.68202769231016</v>
      </c>
      <c r="M60" s="2"/>
      <c r="N60" s="6">
        <f t="shared" si="16"/>
        <v>0.40572851497382817</v>
      </c>
      <c r="O60" s="11"/>
      <c r="P60" s="7">
        <v>10486.24</v>
      </c>
      <c r="Q60" s="2"/>
      <c r="R60" s="6">
        <f t="shared" si="17"/>
        <v>6.6708378275584894E-3</v>
      </c>
      <c r="S60" s="2"/>
      <c r="T60" s="7">
        <v>8245.4968200000003</v>
      </c>
      <c r="U60" s="2"/>
      <c r="V60" s="6">
        <f t="shared" si="18"/>
        <v>3.1226295084152539E-3</v>
      </c>
      <c r="W60" s="2"/>
      <c r="X60" s="7">
        <f t="shared" si="19"/>
        <v>2240.7431799999995</v>
      </c>
      <c r="Y60" s="2"/>
      <c r="Z60" s="6">
        <f t="shared" si="20"/>
        <v>0.2717535679069002</v>
      </c>
    </row>
    <row r="61" spans="1:26" s="24" customFormat="1" hidden="1" outlineLevel="2" x14ac:dyDescent="0.25">
      <c r="A61" s="29"/>
      <c r="B61" s="11" t="str">
        <f>CONCATENATE("          ", "6116", " - ", "EDUCATIONAL BENEFITS")</f>
        <v xml:space="preserve">          6116 - EDUCATIONAL BENEFITS</v>
      </c>
      <c r="C61" s="11"/>
      <c r="D61" s="7"/>
      <c r="E61" s="2"/>
      <c r="F61" s="6">
        <f t="shared" si="13"/>
        <v>0</v>
      </c>
      <c r="G61" s="2"/>
      <c r="H61" s="7">
        <v>0</v>
      </c>
      <c r="I61" s="2"/>
      <c r="J61" s="6">
        <f t="shared" si="14"/>
        <v>0</v>
      </c>
      <c r="K61" s="2"/>
      <c r="L61" s="7">
        <f t="shared" si="15"/>
        <v>0</v>
      </c>
      <c r="M61" s="2"/>
      <c r="N61" s="6">
        <f t="shared" si="16"/>
        <v>0</v>
      </c>
      <c r="O61" s="11"/>
      <c r="P61" s="7"/>
      <c r="Q61" s="2"/>
      <c r="R61" s="6">
        <f t="shared" si="17"/>
        <v>0</v>
      </c>
      <c r="S61" s="2"/>
      <c r="T61" s="7">
        <v>0</v>
      </c>
      <c r="U61" s="2"/>
      <c r="V61" s="6">
        <f t="shared" si="18"/>
        <v>0</v>
      </c>
      <c r="W61" s="2"/>
      <c r="X61" s="7">
        <f t="shared" si="19"/>
        <v>0</v>
      </c>
      <c r="Y61" s="2"/>
      <c r="Z61" s="6">
        <f t="shared" si="20"/>
        <v>0</v>
      </c>
    </row>
    <row r="62" spans="1:26" s="24" customFormat="1" hidden="1" outlineLevel="2" x14ac:dyDescent="0.25">
      <c r="A62" s="29"/>
      <c r="B62" s="11" t="str">
        <f>CONCATENATE("          ", "6117", " - ", "RETIREMENT STAFF HOURLY")</f>
        <v xml:space="preserve">          6117 - RETIREMENT STAFF HOURLY</v>
      </c>
      <c r="C62" s="11"/>
      <c r="D62" s="7">
        <v>250.51</v>
      </c>
      <c r="E62" s="2"/>
      <c r="F62" s="6">
        <f t="shared" si="13"/>
        <v>1.4135306441774739E-2</v>
      </c>
      <c r="G62" s="2"/>
      <c r="H62" s="7"/>
      <c r="I62" s="2"/>
      <c r="J62" s="6">
        <f t="shared" si="14"/>
        <v>0</v>
      </c>
      <c r="K62" s="2"/>
      <c r="L62" s="7">
        <f t="shared" si="15"/>
        <v>250.51</v>
      </c>
      <c r="M62" s="2"/>
      <c r="N62" s="6">
        <f t="shared" si="16"/>
        <v>0</v>
      </c>
      <c r="O62" s="11"/>
      <c r="P62" s="7">
        <v>1544.16</v>
      </c>
      <c r="Q62" s="2"/>
      <c r="R62" s="6">
        <f t="shared" si="17"/>
        <v>9.8231977713677328E-4</v>
      </c>
      <c r="S62" s="2"/>
      <c r="T62" s="7"/>
      <c r="U62" s="2"/>
      <c r="V62" s="6">
        <f t="shared" si="18"/>
        <v>0</v>
      </c>
      <c r="W62" s="2"/>
      <c r="X62" s="7">
        <f t="shared" si="19"/>
        <v>1544.16</v>
      </c>
      <c r="Y62" s="2"/>
      <c r="Z62" s="6">
        <f t="shared" si="20"/>
        <v>0</v>
      </c>
    </row>
    <row r="63" spans="1:26" s="24" customFormat="1" hidden="1" outlineLevel="2" x14ac:dyDescent="0.25">
      <c r="A63" s="29"/>
      <c r="B63" s="11" t="str">
        <f>CONCATENATE("          ", "6118", " - ", "VACATION")</f>
        <v xml:space="preserve">          6118 - VACATION</v>
      </c>
      <c r="C63" s="11"/>
      <c r="D63" s="7">
        <v>1613.8</v>
      </c>
      <c r="E63" s="2"/>
      <c r="F63" s="6">
        <f t="shared" si="13"/>
        <v>9.1060466790691283E-2</v>
      </c>
      <c r="G63" s="2"/>
      <c r="H63" s="7">
        <v>1346.2077200000001</v>
      </c>
      <c r="I63" s="2"/>
      <c r="J63" s="6">
        <f t="shared" si="14"/>
        <v>2.3668753977882099E-2</v>
      </c>
      <c r="K63" s="2"/>
      <c r="L63" s="7">
        <f t="shared" si="15"/>
        <v>267.59227999999985</v>
      </c>
      <c r="M63" s="2"/>
      <c r="N63" s="6">
        <f t="shared" si="16"/>
        <v>0.19877488148708569</v>
      </c>
      <c r="O63" s="11"/>
      <c r="P63" s="7">
        <v>7776.65</v>
      </c>
      <c r="Q63" s="2"/>
      <c r="R63" s="6">
        <f t="shared" si="17"/>
        <v>4.9471279497401094E-3</v>
      </c>
      <c r="S63" s="2"/>
      <c r="T63" s="7">
        <v>8750.3501799999995</v>
      </c>
      <c r="U63" s="2"/>
      <c r="V63" s="6">
        <f t="shared" si="18"/>
        <v>3.3138211411055675E-3</v>
      </c>
      <c r="W63" s="2"/>
      <c r="X63" s="7">
        <f t="shared" si="19"/>
        <v>-973.70017999999982</v>
      </c>
      <c r="Y63" s="2"/>
      <c r="Z63" s="6">
        <f t="shared" si="20"/>
        <v>-0.11127556725964079</v>
      </c>
    </row>
    <row r="64" spans="1:26" s="24" customFormat="1" hidden="1" outlineLevel="2" x14ac:dyDescent="0.25">
      <c r="A64" s="29"/>
      <c r="B64" s="11" t="str">
        <f>CONCATENATE("          ", "6119", " - ", "SICK LEAVE")</f>
        <v xml:space="preserve">          6119 - SICK LEAVE</v>
      </c>
      <c r="C64" s="11"/>
      <c r="D64" s="7">
        <v>1147.56</v>
      </c>
      <c r="E64" s="2"/>
      <c r="F64" s="6">
        <f t="shared" si="13"/>
        <v>6.4752354238645241E-2</v>
      </c>
      <c r="G64" s="2"/>
      <c r="H64" s="7">
        <v>1098.49071076923</v>
      </c>
      <c r="I64" s="2"/>
      <c r="J64" s="6">
        <f t="shared" si="14"/>
        <v>1.931344323310354E-2</v>
      </c>
      <c r="K64" s="2"/>
      <c r="L64" s="7">
        <f t="shared" si="15"/>
        <v>49.069289230769982</v>
      </c>
      <c r="M64" s="2"/>
      <c r="N64" s="6">
        <f t="shared" si="16"/>
        <v>4.4669735255575063E-2</v>
      </c>
      <c r="O64" s="11"/>
      <c r="P64" s="7">
        <v>6444.34</v>
      </c>
      <c r="Q64" s="2"/>
      <c r="R64" s="6">
        <f t="shared" si="17"/>
        <v>4.0995768784281381E-3</v>
      </c>
      <c r="S64" s="2"/>
      <c r="T64" s="7">
        <v>8098.6671200000001</v>
      </c>
      <c r="U64" s="2"/>
      <c r="V64" s="6">
        <f t="shared" si="18"/>
        <v>3.067024035034966E-3</v>
      </c>
      <c r="W64" s="2"/>
      <c r="X64" s="7">
        <f t="shared" si="19"/>
        <v>-1654.3271199999999</v>
      </c>
      <c r="Y64" s="2"/>
      <c r="Z64" s="6">
        <f t="shared" si="20"/>
        <v>-0.20427152956003949</v>
      </c>
    </row>
    <row r="65" spans="1:26" s="24" customFormat="1" hidden="1" outlineLevel="2" x14ac:dyDescent="0.25">
      <c r="A65" s="29"/>
      <c r="B65" s="11" t="str">
        <f>CONCATENATE("          ", "6156", " - ", "EMPLOYEE MEALS")</f>
        <v xml:space="preserve">          6156 - EMPLOYEE MEALS</v>
      </c>
      <c r="C65" s="11"/>
      <c r="D65" s="7">
        <v>338.42</v>
      </c>
      <c r="E65" s="2"/>
      <c r="F65" s="6">
        <f t="shared" si="13"/>
        <v>1.9095726342363208E-2</v>
      </c>
      <c r="G65" s="2"/>
      <c r="H65" s="7">
        <v>750</v>
      </c>
      <c r="I65" s="2"/>
      <c r="J65" s="6">
        <f t="shared" si="14"/>
        <v>1.318634949100691E-2</v>
      </c>
      <c r="K65" s="2"/>
      <c r="L65" s="7">
        <f t="shared" si="15"/>
        <v>-411.58</v>
      </c>
      <c r="M65" s="2"/>
      <c r="N65" s="6">
        <f t="shared" si="16"/>
        <v>-0.54877333333333334</v>
      </c>
      <c r="O65" s="11"/>
      <c r="P65" s="7">
        <v>2815.55</v>
      </c>
      <c r="Q65" s="2"/>
      <c r="R65" s="6">
        <f t="shared" si="17"/>
        <v>1.7911164960350238E-3</v>
      </c>
      <c r="S65" s="2"/>
      <c r="T65" s="7">
        <v>4500</v>
      </c>
      <c r="U65" s="2"/>
      <c r="V65" s="6">
        <f t="shared" si="18"/>
        <v>1.7041826702042975E-3</v>
      </c>
      <c r="W65" s="2"/>
      <c r="X65" s="7">
        <f t="shared" si="19"/>
        <v>-1684.4499999999998</v>
      </c>
      <c r="Y65" s="2"/>
      <c r="Z65" s="6">
        <f t="shared" si="20"/>
        <v>-0.37432222222222217</v>
      </c>
    </row>
    <row r="66" spans="1:26" s="28" customFormat="1" outlineLevel="1" collapsed="1" x14ac:dyDescent="0.25">
      <c r="A66" s="27"/>
      <c r="B66" s="14" t="str">
        <f>CONCATENATE("     ","*Payroll                                          ")</f>
        <v xml:space="preserve">     *Payroll                                          </v>
      </c>
      <c r="C66" s="14"/>
      <c r="D66" s="1">
        <f>SUM(OSRRefD22_1x_0)</f>
        <v>28068.31</v>
      </c>
      <c r="E66" s="1"/>
      <c r="F66" s="5">
        <f t="shared" ref="F66:F76" si="21">IF(D$12=0,0,D66/D$12)</f>
        <v>1.5837857297222879</v>
      </c>
      <c r="G66" s="1"/>
      <c r="H66" s="1">
        <f>SUM(OSRRefH22_1x_0)</f>
        <v>23587.002143692298</v>
      </c>
      <c r="I66" s="1"/>
      <c r="J66" s="5">
        <f t="shared" ref="J66:J76" si="22">IF(H$12=0,0,H66/H$12)</f>
        <v>0.41470193828247442</v>
      </c>
      <c r="K66" s="1"/>
      <c r="L66" s="1">
        <f t="shared" ref="L66:L76" si="23">+D66-H66</f>
        <v>4481.3078563077033</v>
      </c>
      <c r="M66" s="1"/>
      <c r="N66" s="5">
        <f t="shared" ref="N66:N76" si="24">IF(H66=0,0,L66/H66)</f>
        <v>0.1899905646765758</v>
      </c>
      <c r="O66" s="14"/>
      <c r="P66" s="1">
        <f>SUM(OSRRefP22_1x_0)</f>
        <v>165407.07</v>
      </c>
      <c r="Q66" s="1"/>
      <c r="R66" s="5">
        <f t="shared" ref="R66:R76" si="25">IF(P$12=0,0,P66/P$12)</f>
        <v>0.10522396392812057</v>
      </c>
      <c r="S66" s="1"/>
      <c r="T66" s="1">
        <f>SUM(OSRRefT22_1x_0)</f>
        <v>185264.76393399999</v>
      </c>
      <c r="U66" s="1"/>
      <c r="V66" s="5">
        <f t="shared" ref="V66:V76" si="26">IF(T$12=0,0,T66/T$12)</f>
        <v>7.0161111132402865E-2</v>
      </c>
      <c r="W66" s="1"/>
      <c r="X66" s="1">
        <f t="shared" ref="X66:X76" si="27">+P66-T66</f>
        <v>-19857.693933999981</v>
      </c>
      <c r="Y66" s="1"/>
      <c r="Z66" s="5">
        <f t="shared" ref="Z66:Z76" si="28">IF(T66=0,0,X66/T66)</f>
        <v>-0.10718548693411675</v>
      </c>
    </row>
    <row r="67" spans="1:26" s="24" customFormat="1" hidden="1" outlineLevel="2" x14ac:dyDescent="0.25">
      <c r="A67" s="29"/>
      <c r="B67" s="11" t="str">
        <f>CONCATENATE("          ", "6001", " - ", "ADMINISTRATIVE SALARIES")</f>
        <v xml:space="preserve">          6001 - ADMINISTRATIVE SALARIES</v>
      </c>
      <c r="C67" s="11"/>
      <c r="D67" s="7"/>
      <c r="E67" s="2"/>
      <c r="F67" s="6">
        <f t="shared" si="21"/>
        <v>0</v>
      </c>
      <c r="G67" s="2"/>
      <c r="H67" s="7">
        <v>0</v>
      </c>
      <c r="I67" s="2"/>
      <c r="J67" s="6">
        <f t="shared" si="22"/>
        <v>0</v>
      </c>
      <c r="K67" s="2"/>
      <c r="L67" s="7">
        <f t="shared" si="23"/>
        <v>0</v>
      </c>
      <c r="M67" s="2"/>
      <c r="N67" s="6">
        <f t="shared" si="24"/>
        <v>0</v>
      </c>
      <c r="O67" s="11"/>
      <c r="P67" s="7">
        <v>-311.32</v>
      </c>
      <c r="Q67" s="2"/>
      <c r="R67" s="6">
        <f t="shared" si="25"/>
        <v>-1.980467004832532E-4</v>
      </c>
      <c r="S67" s="2"/>
      <c r="T67" s="7">
        <v>0</v>
      </c>
      <c r="U67" s="2"/>
      <c r="V67" s="6">
        <f t="shared" si="26"/>
        <v>0</v>
      </c>
      <c r="W67" s="2"/>
      <c r="X67" s="7">
        <f t="shared" si="27"/>
        <v>-311.32</v>
      </c>
      <c r="Y67" s="2"/>
      <c r="Z67" s="6">
        <f t="shared" si="28"/>
        <v>0</v>
      </c>
    </row>
    <row r="68" spans="1:26" s="24" customFormat="1" hidden="1" outlineLevel="2" x14ac:dyDescent="0.25">
      <c r="A68" s="29"/>
      <c r="B68" s="11" t="str">
        <f>CONCATENATE("          ", "6002", " - ", "STAFF SALARIES")</f>
        <v xml:space="preserve">          6002 - STAFF SALARIES</v>
      </c>
      <c r="C68" s="11"/>
      <c r="D68" s="7">
        <v>18082.7</v>
      </c>
      <c r="E68" s="2"/>
      <c r="F68" s="6">
        <f t="shared" si="21"/>
        <v>1.0203365366439667</v>
      </c>
      <c r="G68" s="2"/>
      <c r="H68" s="7">
        <v>13107.2520636923</v>
      </c>
      <c r="I68" s="2"/>
      <c r="J68" s="6">
        <f t="shared" si="22"/>
        <v>0.23044907543809096</v>
      </c>
      <c r="K68" s="2"/>
      <c r="L68" s="7">
        <f t="shared" si="23"/>
        <v>4975.4479363077007</v>
      </c>
      <c r="M68" s="2"/>
      <c r="N68" s="6">
        <f t="shared" si="24"/>
        <v>0.37959504495148327</v>
      </c>
      <c r="O68" s="11"/>
      <c r="P68" s="7">
        <v>96498.200000000012</v>
      </c>
      <c r="Q68" s="2"/>
      <c r="R68" s="6">
        <f t="shared" si="25"/>
        <v>6.1387479482760715E-2</v>
      </c>
      <c r="S68" s="2"/>
      <c r="T68" s="7">
        <v>85197.138414000001</v>
      </c>
      <c r="U68" s="2"/>
      <c r="V68" s="6">
        <f t="shared" si="26"/>
        <v>3.2264774852474587E-2</v>
      </c>
      <c r="W68" s="2"/>
      <c r="X68" s="7">
        <f t="shared" si="27"/>
        <v>11301.061586000011</v>
      </c>
      <c r="Y68" s="2"/>
      <c r="Z68" s="6">
        <f t="shared" si="28"/>
        <v>0.13264602305167289</v>
      </c>
    </row>
    <row r="69" spans="1:26" s="24" customFormat="1" hidden="1" outlineLevel="2" x14ac:dyDescent="0.25">
      <c r="A69" s="29"/>
      <c r="B69" s="11" t="str">
        <f>CONCATENATE("          ", "6003", " - ", "STAFF HOURLY-9 MONTH")</f>
        <v xml:space="preserve">          6003 - STAFF HOURLY-9 MONTH</v>
      </c>
      <c r="C69" s="11"/>
      <c r="D69" s="7"/>
      <c r="E69" s="2"/>
      <c r="F69" s="6">
        <f t="shared" si="21"/>
        <v>0</v>
      </c>
      <c r="G69" s="2"/>
      <c r="H69" s="7">
        <v>0</v>
      </c>
      <c r="I69" s="2"/>
      <c r="J69" s="6">
        <f t="shared" si="22"/>
        <v>0</v>
      </c>
      <c r="K69" s="2"/>
      <c r="L69" s="7">
        <f t="shared" si="23"/>
        <v>0</v>
      </c>
      <c r="M69" s="2"/>
      <c r="N69" s="6">
        <f t="shared" si="24"/>
        <v>0</v>
      </c>
      <c r="O69" s="11"/>
      <c r="P69" s="7"/>
      <c r="Q69" s="2"/>
      <c r="R69" s="6">
        <f t="shared" si="25"/>
        <v>0</v>
      </c>
      <c r="S69" s="2"/>
      <c r="T69" s="7">
        <v>0</v>
      </c>
      <c r="U69" s="2"/>
      <c r="V69" s="6">
        <f t="shared" si="26"/>
        <v>0</v>
      </c>
      <c r="W69" s="2"/>
      <c r="X69" s="7">
        <f t="shared" si="27"/>
        <v>0</v>
      </c>
      <c r="Y69" s="2"/>
      <c r="Z69" s="6">
        <f t="shared" si="28"/>
        <v>0</v>
      </c>
    </row>
    <row r="70" spans="1:26" s="24" customFormat="1" hidden="1" outlineLevel="2" x14ac:dyDescent="0.25">
      <c r="A70" s="29"/>
      <c r="B70" s="11" t="str">
        <f>CONCATENATE("          ", "6004", " - ", "STAFF HOURLY")</f>
        <v xml:space="preserve">          6004 - STAFF HOURLY</v>
      </c>
      <c r="C70" s="11"/>
      <c r="D70" s="7">
        <v>7156.04</v>
      </c>
      <c r="E70" s="2"/>
      <c r="F70" s="6">
        <f t="shared" si="21"/>
        <v>0.40378754664323863</v>
      </c>
      <c r="G70" s="2"/>
      <c r="H70" s="7">
        <v>5285.7500799999998</v>
      </c>
      <c r="I70" s="2"/>
      <c r="J70" s="6">
        <f t="shared" si="22"/>
        <v>9.2932997169330303E-2</v>
      </c>
      <c r="K70" s="2"/>
      <c r="L70" s="7">
        <f t="shared" si="23"/>
        <v>1870.2899200000002</v>
      </c>
      <c r="M70" s="2"/>
      <c r="N70" s="6">
        <f t="shared" si="24"/>
        <v>0.35383623737276665</v>
      </c>
      <c r="O70" s="11"/>
      <c r="P70" s="7">
        <v>39838.049999999996</v>
      </c>
      <c r="Q70" s="2"/>
      <c r="R70" s="6">
        <f t="shared" si="25"/>
        <v>2.5343037248448105E-2</v>
      </c>
      <c r="S70" s="2"/>
      <c r="T70" s="7">
        <v>34357.375519999994</v>
      </c>
      <c r="U70" s="2"/>
      <c r="V70" s="6">
        <f t="shared" si="26"/>
        <v>1.3011387545530079E-2</v>
      </c>
      <c r="W70" s="2"/>
      <c r="X70" s="7">
        <f t="shared" si="27"/>
        <v>5480.6744800000015</v>
      </c>
      <c r="Y70" s="2"/>
      <c r="Z70" s="6">
        <f t="shared" si="28"/>
        <v>0.15951959068612825</v>
      </c>
    </row>
    <row r="71" spans="1:26" s="24" customFormat="1" hidden="1" outlineLevel="2" x14ac:dyDescent="0.25">
      <c r="A71" s="29"/>
      <c r="B71" s="11" t="str">
        <f>CONCATENATE("          ", "6005", " - ", "TEMPORARY WAGES-HOURLY")</f>
        <v xml:space="preserve">          6005 - TEMPORARY WAGES-HOURLY</v>
      </c>
      <c r="C71" s="11"/>
      <c r="D71" s="7"/>
      <c r="E71" s="2"/>
      <c r="F71" s="6">
        <f t="shared" si="21"/>
        <v>0</v>
      </c>
      <c r="G71" s="2"/>
      <c r="H71" s="7">
        <v>3819</v>
      </c>
      <c r="I71" s="2"/>
      <c r="J71" s="6">
        <f t="shared" si="22"/>
        <v>6.7144891608207177E-2</v>
      </c>
      <c r="K71" s="2"/>
      <c r="L71" s="7">
        <f t="shared" si="23"/>
        <v>-3819</v>
      </c>
      <c r="M71" s="2"/>
      <c r="N71" s="6">
        <f t="shared" si="24"/>
        <v>-1</v>
      </c>
      <c r="O71" s="11"/>
      <c r="P71" s="7">
        <v>12838</v>
      </c>
      <c r="Q71" s="2"/>
      <c r="R71" s="6">
        <f t="shared" si="25"/>
        <v>8.1669135963124903E-3</v>
      </c>
      <c r="S71" s="2"/>
      <c r="T71" s="7">
        <v>20919</v>
      </c>
      <c r="U71" s="2"/>
      <c r="V71" s="6">
        <f t="shared" si="26"/>
        <v>7.9221771728897102E-3</v>
      </c>
      <c r="W71" s="2"/>
      <c r="X71" s="7">
        <f t="shared" si="27"/>
        <v>-8081</v>
      </c>
      <c r="Y71" s="2"/>
      <c r="Z71" s="6">
        <f t="shared" si="28"/>
        <v>-0.38629953630670683</v>
      </c>
    </row>
    <row r="72" spans="1:26" s="24" customFormat="1" hidden="1" outlineLevel="2" x14ac:dyDescent="0.25">
      <c r="A72" s="29"/>
      <c r="B72" s="11" t="str">
        <f>CONCATENATE("          ", "6006", " - ", "TEMPORARY PART TIME")</f>
        <v xml:space="preserve">          6006 - TEMPORARY PART TIME</v>
      </c>
      <c r="C72" s="11"/>
      <c r="D72" s="7"/>
      <c r="E72" s="2"/>
      <c r="F72" s="6">
        <f t="shared" si="21"/>
        <v>0</v>
      </c>
      <c r="G72" s="2"/>
      <c r="H72" s="7">
        <v>0</v>
      </c>
      <c r="I72" s="2"/>
      <c r="J72" s="6">
        <f t="shared" si="22"/>
        <v>0</v>
      </c>
      <c r="K72" s="2"/>
      <c r="L72" s="7">
        <f t="shared" si="23"/>
        <v>0</v>
      </c>
      <c r="M72" s="2"/>
      <c r="N72" s="6">
        <f t="shared" si="24"/>
        <v>0</v>
      </c>
      <c r="O72" s="11"/>
      <c r="P72" s="7">
        <v>502.29</v>
      </c>
      <c r="Q72" s="2"/>
      <c r="R72" s="6">
        <f t="shared" si="25"/>
        <v>3.1953256194826302E-4</v>
      </c>
      <c r="S72" s="2"/>
      <c r="T72" s="7">
        <v>0</v>
      </c>
      <c r="U72" s="2"/>
      <c r="V72" s="6">
        <f t="shared" si="26"/>
        <v>0</v>
      </c>
      <c r="W72" s="2"/>
      <c r="X72" s="7">
        <f t="shared" si="27"/>
        <v>502.29</v>
      </c>
      <c r="Y72" s="2"/>
      <c r="Z72" s="6">
        <f t="shared" si="28"/>
        <v>0</v>
      </c>
    </row>
    <row r="73" spans="1:26" s="24" customFormat="1" hidden="1" outlineLevel="2" x14ac:dyDescent="0.25">
      <c r="A73" s="29"/>
      <c r="B73" s="11" t="str">
        <f>CONCATENATE("          ", "6007", " - ", "STUDENT HOURLY")</f>
        <v xml:space="preserve">          6007 - STUDENT HOURLY</v>
      </c>
      <c r="C73" s="11"/>
      <c r="D73" s="7">
        <v>2829.57</v>
      </c>
      <c r="E73" s="2"/>
      <c r="F73" s="6">
        <f t="shared" si="21"/>
        <v>0.15966164643508263</v>
      </c>
      <c r="G73" s="2"/>
      <c r="H73" s="7">
        <v>275</v>
      </c>
      <c r="I73" s="2"/>
      <c r="J73" s="6">
        <f t="shared" si="22"/>
        <v>4.8349948133692006E-3</v>
      </c>
      <c r="K73" s="2"/>
      <c r="L73" s="7">
        <f t="shared" si="23"/>
        <v>2554.5700000000002</v>
      </c>
      <c r="M73" s="2"/>
      <c r="N73" s="6">
        <f t="shared" si="24"/>
        <v>9.2893454545454546</v>
      </c>
      <c r="O73" s="11"/>
      <c r="P73" s="7">
        <v>16041.849999999999</v>
      </c>
      <c r="Q73" s="2"/>
      <c r="R73" s="6">
        <f t="shared" si="25"/>
        <v>1.020504773913425E-2</v>
      </c>
      <c r="S73" s="2"/>
      <c r="T73" s="7">
        <v>13662.5</v>
      </c>
      <c r="U73" s="2"/>
      <c r="V73" s="6">
        <f t="shared" si="26"/>
        <v>5.1740879403702695E-3</v>
      </c>
      <c r="W73" s="2"/>
      <c r="X73" s="7">
        <f t="shared" si="27"/>
        <v>2379.3499999999985</v>
      </c>
      <c r="Y73" s="2"/>
      <c r="Z73" s="6">
        <f t="shared" si="28"/>
        <v>0.17415187557182057</v>
      </c>
    </row>
    <row r="74" spans="1:26" s="24" customFormat="1" hidden="1" outlineLevel="2" x14ac:dyDescent="0.25">
      <c r="A74" s="29"/>
      <c r="B74" s="11" t="str">
        <f>CONCATENATE("          ", "6008", " - ", "STUDENT HOURLY-FICA EXEMPT")</f>
        <v xml:space="preserve">          6008 - STUDENT HOURLY-FICA EXEMPT</v>
      </c>
      <c r="C74" s="11"/>
      <c r="D74" s="7"/>
      <c r="E74" s="2"/>
      <c r="F74" s="6">
        <f t="shared" si="21"/>
        <v>0</v>
      </c>
      <c r="G74" s="2"/>
      <c r="H74" s="7">
        <v>1100</v>
      </c>
      <c r="I74" s="2"/>
      <c r="J74" s="6">
        <f t="shared" si="22"/>
        <v>1.9339979253476802E-2</v>
      </c>
      <c r="K74" s="2"/>
      <c r="L74" s="7">
        <f t="shared" si="23"/>
        <v>-1100</v>
      </c>
      <c r="M74" s="2"/>
      <c r="N74" s="6">
        <f t="shared" si="24"/>
        <v>-1</v>
      </c>
      <c r="O74" s="11"/>
      <c r="P74" s="7"/>
      <c r="Q74" s="2"/>
      <c r="R74" s="6">
        <f t="shared" si="25"/>
        <v>0</v>
      </c>
      <c r="S74" s="2"/>
      <c r="T74" s="7">
        <v>31128.75</v>
      </c>
      <c r="U74" s="2"/>
      <c r="V74" s="6">
        <f t="shared" si="26"/>
        <v>1.1788683621138227E-2</v>
      </c>
      <c r="W74" s="2"/>
      <c r="X74" s="7">
        <f t="shared" si="27"/>
        <v>-31128.75</v>
      </c>
      <c r="Y74" s="2"/>
      <c r="Z74" s="6">
        <f t="shared" si="28"/>
        <v>-1</v>
      </c>
    </row>
    <row r="75" spans="1:26" s="24" customFormat="1" hidden="1" outlineLevel="2" x14ac:dyDescent="0.25">
      <c r="A75" s="29"/>
      <c r="B75" s="11" t="str">
        <f>CONCATENATE("          ", "6009", " - ", "TEMPORARY-SEASONAL")</f>
        <v xml:space="preserve">          6009 - TEMPORARY-SEASONAL</v>
      </c>
      <c r="C75" s="11"/>
      <c r="D75" s="7"/>
      <c r="E75" s="2"/>
      <c r="F75" s="6">
        <f t="shared" si="21"/>
        <v>0</v>
      </c>
      <c r="G75" s="2"/>
      <c r="H75" s="7">
        <v>0</v>
      </c>
      <c r="I75" s="2"/>
      <c r="J75" s="6">
        <f t="shared" si="22"/>
        <v>0</v>
      </c>
      <c r="K75" s="2"/>
      <c r="L75" s="7">
        <f t="shared" si="23"/>
        <v>0</v>
      </c>
      <c r="M75" s="2"/>
      <c r="N75" s="6">
        <f t="shared" si="24"/>
        <v>0</v>
      </c>
      <c r="O75" s="11"/>
      <c r="P75" s="7"/>
      <c r="Q75" s="2"/>
      <c r="R75" s="6">
        <f t="shared" si="25"/>
        <v>0</v>
      </c>
      <c r="S75" s="2"/>
      <c r="T75" s="7">
        <v>0</v>
      </c>
      <c r="U75" s="2"/>
      <c r="V75" s="6">
        <f t="shared" si="26"/>
        <v>0</v>
      </c>
      <c r="W75" s="2"/>
      <c r="X75" s="7">
        <f t="shared" si="27"/>
        <v>0</v>
      </c>
      <c r="Y75" s="2"/>
      <c r="Z75" s="6">
        <f t="shared" si="28"/>
        <v>0</v>
      </c>
    </row>
    <row r="76" spans="1:26" s="24" customFormat="1" hidden="1" outlineLevel="2" x14ac:dyDescent="0.25">
      <c r="A76" s="29"/>
      <c r="B76" s="11" t="str">
        <f>CONCATENATE("          ", "6010", " - ", "GRATUITY")</f>
        <v xml:space="preserve">          6010 - GRATUITY</v>
      </c>
      <c r="C76" s="11"/>
      <c r="D76" s="7"/>
      <c r="E76" s="2"/>
      <c r="F76" s="6">
        <f t="shared" si="21"/>
        <v>0</v>
      </c>
      <c r="G76" s="2"/>
      <c r="H76" s="7">
        <v>0</v>
      </c>
      <c r="I76" s="2"/>
      <c r="J76" s="6">
        <f t="shared" si="22"/>
        <v>0</v>
      </c>
      <c r="K76" s="2"/>
      <c r="L76" s="7">
        <f t="shared" si="23"/>
        <v>0</v>
      </c>
      <c r="M76" s="2"/>
      <c r="N76" s="6">
        <f t="shared" si="24"/>
        <v>0</v>
      </c>
      <c r="O76" s="11"/>
      <c r="P76" s="7"/>
      <c r="Q76" s="2"/>
      <c r="R76" s="6">
        <f t="shared" si="25"/>
        <v>0</v>
      </c>
      <c r="S76" s="2"/>
      <c r="T76" s="7">
        <v>0</v>
      </c>
      <c r="U76" s="2"/>
      <c r="V76" s="6">
        <f t="shared" si="26"/>
        <v>0</v>
      </c>
      <c r="W76" s="2"/>
      <c r="X76" s="7">
        <f t="shared" si="27"/>
        <v>0</v>
      </c>
      <c r="Y76" s="2"/>
      <c r="Z76" s="6">
        <f t="shared" si="28"/>
        <v>0</v>
      </c>
    </row>
    <row r="77" spans="1:26" s="28" customFormat="1" outlineLevel="1" collapsed="1" x14ac:dyDescent="0.25">
      <c r="A77" s="27"/>
      <c r="B77" s="14" t="str">
        <f>CONCATENATE("     ","Advertising/Promo                                 ")</f>
        <v xml:space="preserve">     Advertising/Promo                                 </v>
      </c>
      <c r="C77" s="14"/>
      <c r="D77" s="1">
        <f>SUM(OSRRefD22_2x_0)</f>
        <v>70.56</v>
      </c>
      <c r="E77" s="1"/>
      <c r="F77" s="5">
        <f t="shared" ref="F77:F87" si="29">IF(D$12=0,0,D77/D$12)</f>
        <v>3.98142677949633E-3</v>
      </c>
      <c r="G77" s="1"/>
      <c r="H77" s="1">
        <f>SUM(OSRRefH22_2x_0)</f>
        <v>500</v>
      </c>
      <c r="I77" s="1"/>
      <c r="J77" s="5">
        <f t="shared" ref="J77:J87" si="30">IF(H$12=0,0,H77/H$12)</f>
        <v>8.7908996606712725E-3</v>
      </c>
      <c r="K77" s="1"/>
      <c r="L77" s="1">
        <f t="shared" ref="L77:L87" si="31">+D77-H77</f>
        <v>-429.44</v>
      </c>
      <c r="M77" s="1"/>
      <c r="N77" s="5">
        <f t="shared" ref="N77:N87" si="32">IF(H77=0,0,L77/H77)</f>
        <v>-0.85887999999999998</v>
      </c>
      <c r="O77" s="14"/>
      <c r="P77" s="1">
        <f>SUM(OSRRefP22_2x_0)</f>
        <v>1430.44</v>
      </c>
      <c r="Q77" s="1"/>
      <c r="R77" s="5">
        <f t="shared" ref="R77:R87" si="33">IF(P$12=0,0,P77/P$12)</f>
        <v>9.099766228936936E-4</v>
      </c>
      <c r="S77" s="1"/>
      <c r="T77" s="1">
        <f>SUM(OSRRefT22_2x_0)</f>
        <v>1850</v>
      </c>
      <c r="U77" s="1"/>
      <c r="V77" s="5">
        <f t="shared" ref="V77:V87" si="34">IF(T$12=0,0,T77/T$12)</f>
        <v>7.0060843108398895E-4</v>
      </c>
      <c r="W77" s="1"/>
      <c r="X77" s="1">
        <f t="shared" ref="X77:X87" si="35">+P77-T77</f>
        <v>-419.55999999999995</v>
      </c>
      <c r="Y77" s="1"/>
      <c r="Z77" s="5">
        <f t="shared" ref="Z77:Z87" si="36">IF(T77=0,0,X77/T77)</f>
        <v>-0.22678918918918917</v>
      </c>
    </row>
    <row r="78" spans="1:26" s="24" customFormat="1" hidden="1" outlineLevel="2" x14ac:dyDescent="0.25">
      <c r="A78" s="29"/>
      <c r="B78" s="11" t="str">
        <f>CONCATENATE("          ", "6362", " - ", "ADVERTISING EXPENSE")</f>
        <v xml:space="preserve">          6362 - ADVERTISING EXPENSE</v>
      </c>
      <c r="C78" s="11"/>
      <c r="D78" s="7">
        <v>70.56</v>
      </c>
      <c r="E78" s="2"/>
      <c r="F78" s="6">
        <f t="shared" si="29"/>
        <v>3.98142677949633E-3</v>
      </c>
      <c r="G78" s="2"/>
      <c r="H78" s="7">
        <v>500</v>
      </c>
      <c r="I78" s="2"/>
      <c r="J78" s="6">
        <f t="shared" si="30"/>
        <v>8.7908996606712725E-3</v>
      </c>
      <c r="K78" s="2"/>
      <c r="L78" s="7">
        <f t="shared" si="31"/>
        <v>-429.44</v>
      </c>
      <c r="M78" s="2"/>
      <c r="N78" s="6">
        <f t="shared" si="32"/>
        <v>-0.85887999999999998</v>
      </c>
      <c r="O78" s="11"/>
      <c r="P78" s="7">
        <v>1430.44</v>
      </c>
      <c r="Q78" s="2"/>
      <c r="R78" s="6">
        <f t="shared" si="33"/>
        <v>9.099766228936936E-4</v>
      </c>
      <c r="S78" s="2"/>
      <c r="T78" s="7">
        <v>1850</v>
      </c>
      <c r="U78" s="2"/>
      <c r="V78" s="6">
        <f t="shared" si="34"/>
        <v>7.0060843108398895E-4</v>
      </c>
      <c r="W78" s="2"/>
      <c r="X78" s="7">
        <f t="shared" si="35"/>
        <v>-419.55999999999995</v>
      </c>
      <c r="Y78" s="2"/>
      <c r="Z78" s="6">
        <f t="shared" si="36"/>
        <v>-0.22678918918918917</v>
      </c>
    </row>
    <row r="79" spans="1:26" s="28" customFormat="1" outlineLevel="1" collapsed="1" x14ac:dyDescent="0.25">
      <c r="A79" s="27"/>
      <c r="B79" s="14" t="str">
        <f>CONCATENATE("     ","Discounts and Markdowns                           ")</f>
        <v xml:space="preserve">     Discounts and Markdowns                           </v>
      </c>
      <c r="C79" s="14"/>
      <c r="D79" s="1">
        <f>SUM(OSRRefD22_3x_0)</f>
        <v>0</v>
      </c>
      <c r="E79" s="1"/>
      <c r="F79" s="5">
        <f t="shared" si="29"/>
        <v>0</v>
      </c>
      <c r="G79" s="1"/>
      <c r="H79" s="1">
        <f>SUM(OSRRefH22_3x_0)</f>
        <v>1200</v>
      </c>
      <c r="I79" s="1"/>
      <c r="J79" s="5">
        <f t="shared" si="30"/>
        <v>2.1098159185611056E-2</v>
      </c>
      <c r="K79" s="1"/>
      <c r="L79" s="1">
        <f t="shared" si="31"/>
        <v>-1200</v>
      </c>
      <c r="M79" s="1"/>
      <c r="N79" s="5">
        <f t="shared" si="32"/>
        <v>-1</v>
      </c>
      <c r="O79" s="14"/>
      <c r="P79" s="1">
        <f>SUM(OSRRefP22_3x_0)</f>
        <v>0</v>
      </c>
      <c r="Q79" s="1"/>
      <c r="R79" s="5">
        <f t="shared" si="33"/>
        <v>0</v>
      </c>
      <c r="S79" s="1"/>
      <c r="T79" s="1">
        <f>SUM(OSRRefT22_3x_0)</f>
        <v>10000</v>
      </c>
      <c r="U79" s="1"/>
      <c r="V79" s="5">
        <f t="shared" si="34"/>
        <v>3.7870726004539941E-3</v>
      </c>
      <c r="W79" s="1"/>
      <c r="X79" s="1">
        <f t="shared" si="35"/>
        <v>-10000</v>
      </c>
      <c r="Y79" s="1"/>
      <c r="Z79" s="5">
        <f t="shared" si="36"/>
        <v>-1</v>
      </c>
    </row>
    <row r="80" spans="1:26" s="24" customFormat="1" hidden="1" outlineLevel="2" x14ac:dyDescent="0.25">
      <c r="A80" s="29"/>
      <c r="B80" s="11" t="str">
        <f>CONCATENATE("          ", "6382", " - ", "DISCOUNTS/MARK DOWNS")</f>
        <v xml:space="preserve">          6382 - DISCOUNTS/MARK DOWNS</v>
      </c>
      <c r="C80" s="11"/>
      <c r="D80" s="7"/>
      <c r="E80" s="2"/>
      <c r="F80" s="6">
        <f t="shared" si="29"/>
        <v>0</v>
      </c>
      <c r="G80" s="2"/>
      <c r="H80" s="7">
        <v>1200</v>
      </c>
      <c r="I80" s="2"/>
      <c r="J80" s="6">
        <f t="shared" si="30"/>
        <v>2.1098159185611056E-2</v>
      </c>
      <c r="K80" s="2"/>
      <c r="L80" s="7">
        <f t="shared" si="31"/>
        <v>-1200</v>
      </c>
      <c r="M80" s="2"/>
      <c r="N80" s="6">
        <f t="shared" si="32"/>
        <v>-1</v>
      </c>
      <c r="O80" s="11"/>
      <c r="P80" s="7"/>
      <c r="Q80" s="2"/>
      <c r="R80" s="6">
        <f t="shared" si="33"/>
        <v>0</v>
      </c>
      <c r="S80" s="2"/>
      <c r="T80" s="7">
        <v>10000</v>
      </c>
      <c r="U80" s="2"/>
      <c r="V80" s="6">
        <f t="shared" si="34"/>
        <v>3.7870726004539941E-3</v>
      </c>
      <c r="W80" s="2"/>
      <c r="X80" s="7">
        <f t="shared" si="35"/>
        <v>-10000</v>
      </c>
      <c r="Y80" s="2"/>
      <c r="Z80" s="6">
        <f t="shared" si="36"/>
        <v>-1</v>
      </c>
    </row>
    <row r="81" spans="1:26" s="28" customFormat="1" outlineLevel="1" collapsed="1" x14ac:dyDescent="0.25">
      <c r="A81" s="27"/>
      <c r="B81" s="14" t="str">
        <f>CONCATENATE("     ","Employees' Appreciation                           ")</f>
        <v xml:space="preserve">     Employees' Appreciation                           </v>
      </c>
      <c r="C81" s="14"/>
      <c r="D81" s="1">
        <f>SUM(OSRRefD22_4x_0)</f>
        <v>0</v>
      </c>
      <c r="E81" s="1"/>
      <c r="F81" s="5">
        <f t="shared" si="29"/>
        <v>0</v>
      </c>
      <c r="G81" s="1"/>
      <c r="H81" s="1">
        <f>SUM(OSRRefH22_4x_0)</f>
        <v>75</v>
      </c>
      <c r="I81" s="1"/>
      <c r="J81" s="5">
        <f t="shared" si="30"/>
        <v>1.318634949100691E-3</v>
      </c>
      <c r="K81" s="1"/>
      <c r="L81" s="1">
        <f t="shared" si="31"/>
        <v>-75</v>
      </c>
      <c r="M81" s="1"/>
      <c r="N81" s="5">
        <f t="shared" si="32"/>
        <v>-1</v>
      </c>
      <c r="O81" s="14"/>
      <c r="P81" s="1">
        <f>SUM(OSRRefP22_4x_0)</f>
        <v>107.7</v>
      </c>
      <c r="Q81" s="1"/>
      <c r="R81" s="5">
        <f t="shared" si="33"/>
        <v>6.8513521913292978E-5</v>
      </c>
      <c r="S81" s="1"/>
      <c r="T81" s="1">
        <f>SUM(OSRRefT22_4x_0)</f>
        <v>450</v>
      </c>
      <c r="U81" s="1"/>
      <c r="V81" s="5">
        <f t="shared" si="34"/>
        <v>1.7041826702042975E-4</v>
      </c>
      <c r="W81" s="1"/>
      <c r="X81" s="1">
        <f t="shared" si="35"/>
        <v>-342.3</v>
      </c>
      <c r="Y81" s="1"/>
      <c r="Z81" s="5">
        <f t="shared" si="36"/>
        <v>-0.76066666666666671</v>
      </c>
    </row>
    <row r="82" spans="1:26" s="24" customFormat="1" hidden="1" outlineLevel="2" x14ac:dyDescent="0.25">
      <c r="A82" s="29"/>
      <c r="B82" s="11" t="str">
        <f>CONCATENATE("          ", "6277", " - ", "EMPLOYEE APPRECIATION")</f>
        <v xml:space="preserve">          6277 - EMPLOYEE APPRECIATION</v>
      </c>
      <c r="C82" s="11"/>
      <c r="D82" s="7"/>
      <c r="E82" s="2"/>
      <c r="F82" s="6">
        <f t="shared" si="29"/>
        <v>0</v>
      </c>
      <c r="G82" s="2"/>
      <c r="H82" s="7">
        <v>75</v>
      </c>
      <c r="I82" s="2"/>
      <c r="J82" s="6">
        <f t="shared" si="30"/>
        <v>1.318634949100691E-3</v>
      </c>
      <c r="K82" s="2"/>
      <c r="L82" s="7">
        <f t="shared" si="31"/>
        <v>-75</v>
      </c>
      <c r="M82" s="2"/>
      <c r="N82" s="6">
        <f t="shared" si="32"/>
        <v>-1</v>
      </c>
      <c r="O82" s="11"/>
      <c r="P82" s="7">
        <v>107.7</v>
      </c>
      <c r="Q82" s="2"/>
      <c r="R82" s="6">
        <f t="shared" si="33"/>
        <v>6.8513521913292978E-5</v>
      </c>
      <c r="S82" s="2"/>
      <c r="T82" s="7">
        <v>450</v>
      </c>
      <c r="U82" s="2"/>
      <c r="V82" s="6">
        <f t="shared" si="34"/>
        <v>1.7041826702042975E-4</v>
      </c>
      <c r="W82" s="2"/>
      <c r="X82" s="7">
        <f t="shared" si="35"/>
        <v>-342.3</v>
      </c>
      <c r="Y82" s="2"/>
      <c r="Z82" s="6">
        <f t="shared" si="36"/>
        <v>-0.76066666666666671</v>
      </c>
    </row>
    <row r="83" spans="1:26" s="28" customFormat="1" outlineLevel="1" collapsed="1" x14ac:dyDescent="0.25">
      <c r="A83" s="27"/>
      <c r="B83" s="14" t="str">
        <f>CONCATENATE("     ","Equipment Rental                                  ")</f>
        <v xml:space="preserve">     Equipment Rental                                  </v>
      </c>
      <c r="C83" s="14"/>
      <c r="D83" s="1">
        <f>SUM(OSRRefD22_5x_0)</f>
        <v>0</v>
      </c>
      <c r="E83" s="1"/>
      <c r="F83" s="5">
        <f t="shared" si="29"/>
        <v>0</v>
      </c>
      <c r="G83" s="1"/>
      <c r="H83" s="1">
        <f>SUM(OSRRefH22_5x_0)</f>
        <v>100</v>
      </c>
      <c r="I83" s="1"/>
      <c r="J83" s="5">
        <f t="shared" si="30"/>
        <v>1.7581799321342547E-3</v>
      </c>
      <c r="K83" s="1"/>
      <c r="L83" s="1">
        <f t="shared" si="31"/>
        <v>-100</v>
      </c>
      <c r="M83" s="1"/>
      <c r="N83" s="5">
        <f t="shared" si="32"/>
        <v>-1</v>
      </c>
      <c r="O83" s="14"/>
      <c r="P83" s="1">
        <f>SUM(OSRRefP22_5x_0)</f>
        <v>547.55999999999995</v>
      </c>
      <c r="Q83" s="1"/>
      <c r="R83" s="5">
        <f t="shared" si="33"/>
        <v>3.4833114260763881E-4</v>
      </c>
      <c r="S83" s="1"/>
      <c r="T83" s="1">
        <f>SUM(OSRRefT22_5x_0)</f>
        <v>600</v>
      </c>
      <c r="U83" s="1"/>
      <c r="V83" s="5">
        <f t="shared" si="34"/>
        <v>2.2722435602723966E-4</v>
      </c>
      <c r="W83" s="1"/>
      <c r="X83" s="1">
        <f t="shared" si="35"/>
        <v>-52.440000000000055</v>
      </c>
      <c r="Y83" s="1"/>
      <c r="Z83" s="5">
        <f t="shared" si="36"/>
        <v>-8.7400000000000089E-2</v>
      </c>
    </row>
    <row r="84" spans="1:26" s="24" customFormat="1" hidden="1" outlineLevel="2" x14ac:dyDescent="0.25">
      <c r="A84" s="29"/>
      <c r="B84" s="11" t="str">
        <f>CONCATENATE("          ", "6351", " - ", "EQUIPMENT RENTAL")</f>
        <v xml:space="preserve">          6351 - EQUIPMENT RENTAL</v>
      </c>
      <c r="C84" s="11"/>
      <c r="D84" s="7"/>
      <c r="E84" s="2"/>
      <c r="F84" s="6">
        <f t="shared" si="29"/>
        <v>0</v>
      </c>
      <c r="G84" s="2"/>
      <c r="H84" s="7">
        <v>100</v>
      </c>
      <c r="I84" s="2"/>
      <c r="J84" s="6">
        <f t="shared" si="30"/>
        <v>1.7581799321342547E-3</v>
      </c>
      <c r="K84" s="2"/>
      <c r="L84" s="7">
        <f t="shared" si="31"/>
        <v>-100</v>
      </c>
      <c r="M84" s="2"/>
      <c r="N84" s="6">
        <f t="shared" si="32"/>
        <v>-1</v>
      </c>
      <c r="O84" s="11"/>
      <c r="P84" s="7">
        <v>547.55999999999995</v>
      </c>
      <c r="Q84" s="2"/>
      <c r="R84" s="6">
        <f t="shared" si="33"/>
        <v>3.4833114260763881E-4</v>
      </c>
      <c r="S84" s="2"/>
      <c r="T84" s="7">
        <v>600</v>
      </c>
      <c r="U84" s="2"/>
      <c r="V84" s="6">
        <f t="shared" si="34"/>
        <v>2.2722435602723966E-4</v>
      </c>
      <c r="W84" s="2"/>
      <c r="X84" s="7">
        <f t="shared" si="35"/>
        <v>-52.440000000000055</v>
      </c>
      <c r="Y84" s="2"/>
      <c r="Z84" s="6">
        <f t="shared" si="36"/>
        <v>-8.7400000000000089E-2</v>
      </c>
    </row>
    <row r="85" spans="1:26" s="28" customFormat="1" outlineLevel="1" collapsed="1" x14ac:dyDescent="0.25">
      <c r="A85" s="27"/>
      <c r="B85" s="14" t="str">
        <f>CONCATENATE("     ","Freight out/Postage                               ")</f>
        <v xml:space="preserve">     Freight out/Postage                               </v>
      </c>
      <c r="C85" s="14"/>
      <c r="D85" s="1">
        <f>SUM(OSRRefD22_6x_0)</f>
        <v>4167.2</v>
      </c>
      <c r="E85" s="1"/>
      <c r="F85" s="5">
        <f t="shared" si="29"/>
        <v>0.2351389126348796</v>
      </c>
      <c r="G85" s="1"/>
      <c r="H85" s="1">
        <f>SUM(OSRRefH22_6x_0)</f>
        <v>1800</v>
      </c>
      <c r="I85" s="1"/>
      <c r="J85" s="5">
        <f t="shared" si="30"/>
        <v>3.1647238778416582E-2</v>
      </c>
      <c r="K85" s="1"/>
      <c r="L85" s="1">
        <f t="shared" si="31"/>
        <v>2367.1999999999998</v>
      </c>
      <c r="M85" s="1"/>
      <c r="N85" s="5">
        <f t="shared" si="32"/>
        <v>1.3151111111111111</v>
      </c>
      <c r="O85" s="14"/>
      <c r="P85" s="1">
        <f>SUM(OSRRefP22_6x_0)</f>
        <v>8898.0300000000007</v>
      </c>
      <c r="Q85" s="1"/>
      <c r="R85" s="5">
        <f t="shared" si="33"/>
        <v>5.6604955746530948E-3</v>
      </c>
      <c r="S85" s="1"/>
      <c r="T85" s="1">
        <f>SUM(OSRRefT22_6x_0)</f>
        <v>11500</v>
      </c>
      <c r="U85" s="1"/>
      <c r="V85" s="5">
        <f t="shared" si="34"/>
        <v>4.3551334905220932E-3</v>
      </c>
      <c r="W85" s="1"/>
      <c r="X85" s="1">
        <f t="shared" si="35"/>
        <v>-2601.9699999999993</v>
      </c>
      <c r="Y85" s="1"/>
      <c r="Z85" s="5">
        <f t="shared" si="36"/>
        <v>-0.22625826086956516</v>
      </c>
    </row>
    <row r="86" spans="1:26" s="24" customFormat="1" hidden="1" outlineLevel="2" x14ac:dyDescent="0.25">
      <c r="A86" s="29"/>
      <c r="B86" s="11" t="str">
        <f>CONCATENATE("          ", "6305", " - ", "FREIGHT OUT")</f>
        <v xml:space="preserve">          6305 - FREIGHT OUT</v>
      </c>
      <c r="C86" s="11"/>
      <c r="D86" s="7">
        <v>3867.2</v>
      </c>
      <c r="E86" s="2"/>
      <c r="F86" s="6">
        <f t="shared" si="29"/>
        <v>0.21821107768804146</v>
      </c>
      <c r="G86" s="2"/>
      <c r="H86" s="7">
        <v>1800</v>
      </c>
      <c r="I86" s="2"/>
      <c r="J86" s="6">
        <f t="shared" si="30"/>
        <v>3.1647238778416582E-2</v>
      </c>
      <c r="K86" s="2"/>
      <c r="L86" s="7">
        <f t="shared" si="31"/>
        <v>2067.1999999999998</v>
      </c>
      <c r="M86" s="2"/>
      <c r="N86" s="6">
        <f t="shared" si="32"/>
        <v>1.1484444444444444</v>
      </c>
      <c r="O86" s="11"/>
      <c r="P86" s="7">
        <v>8598.0300000000007</v>
      </c>
      <c r="Q86" s="2"/>
      <c r="R86" s="6">
        <f t="shared" si="33"/>
        <v>5.4696501097135607E-3</v>
      </c>
      <c r="S86" s="2"/>
      <c r="T86" s="7">
        <v>11500</v>
      </c>
      <c r="U86" s="2"/>
      <c r="V86" s="6">
        <f t="shared" si="34"/>
        <v>4.3551334905220932E-3</v>
      </c>
      <c r="W86" s="2"/>
      <c r="X86" s="7">
        <f t="shared" si="35"/>
        <v>-2901.9699999999993</v>
      </c>
      <c r="Y86" s="2"/>
      <c r="Z86" s="6">
        <f t="shared" si="36"/>
        <v>-0.25234521739130428</v>
      </c>
    </row>
    <row r="87" spans="1:26" s="24" customFormat="1" hidden="1" outlineLevel="2" x14ac:dyDescent="0.25">
      <c r="A87" s="29"/>
      <c r="B87" s="11" t="str">
        <f>CONCATENATE("          ", "6307", " - ", "POSTAGE")</f>
        <v xml:space="preserve">          6307 - POSTAGE</v>
      </c>
      <c r="C87" s="11"/>
      <c r="D87" s="7">
        <v>300</v>
      </c>
      <c r="E87" s="2"/>
      <c r="F87" s="6">
        <f t="shared" si="29"/>
        <v>1.6927834946838138E-2</v>
      </c>
      <c r="G87" s="2"/>
      <c r="H87" s="7"/>
      <c r="I87" s="2"/>
      <c r="J87" s="6">
        <f t="shared" si="30"/>
        <v>0</v>
      </c>
      <c r="K87" s="2"/>
      <c r="L87" s="7">
        <f t="shared" si="31"/>
        <v>300</v>
      </c>
      <c r="M87" s="2"/>
      <c r="N87" s="6">
        <f t="shared" si="32"/>
        <v>0</v>
      </c>
      <c r="O87" s="11"/>
      <c r="P87" s="7">
        <v>300</v>
      </c>
      <c r="Q87" s="2"/>
      <c r="R87" s="6">
        <f t="shared" si="33"/>
        <v>1.9084546493953474E-4</v>
      </c>
      <c r="S87" s="2"/>
      <c r="T87" s="7"/>
      <c r="U87" s="2"/>
      <c r="V87" s="6">
        <f t="shared" si="34"/>
        <v>0</v>
      </c>
      <c r="W87" s="2"/>
      <c r="X87" s="7">
        <f t="shared" si="35"/>
        <v>300</v>
      </c>
      <c r="Y87" s="2"/>
      <c r="Z87" s="6">
        <f t="shared" si="36"/>
        <v>0</v>
      </c>
    </row>
    <row r="88" spans="1:26" s="28" customFormat="1" outlineLevel="1" collapsed="1" x14ac:dyDescent="0.25">
      <c r="A88" s="27"/>
      <c r="B88" s="14" t="str">
        <f>CONCATENATE("     ","General                                           ")</f>
        <v xml:space="preserve">     General                                           </v>
      </c>
      <c r="C88" s="14"/>
      <c r="D88" s="1">
        <f>SUM(OSRRefD22_7x_0)</f>
        <v>-0.99</v>
      </c>
      <c r="E88" s="1"/>
      <c r="F88" s="5">
        <f t="shared" ref="F88:F90" si="37">IF(D$12=0,0,D88/D$12)</f>
        <v>-5.5861855324565852E-5</v>
      </c>
      <c r="G88" s="1"/>
      <c r="H88" s="1">
        <f>SUM(OSRRefH22_7x_0)</f>
        <v>0</v>
      </c>
      <c r="I88" s="1"/>
      <c r="J88" s="5">
        <f t="shared" ref="J88:J90" si="38">IF(H$12=0,0,H88/H$12)</f>
        <v>0</v>
      </c>
      <c r="K88" s="1"/>
      <c r="L88" s="1">
        <f t="shared" ref="L88:L90" si="39">+D88-H88</f>
        <v>-0.99</v>
      </c>
      <c r="M88" s="1"/>
      <c r="N88" s="5">
        <f t="shared" ref="N88:N90" si="40">IF(H88=0,0,L88/H88)</f>
        <v>0</v>
      </c>
      <c r="O88" s="14"/>
      <c r="P88" s="1">
        <f>SUM(OSRRefP22_7x_0)</f>
        <v>-1042.45</v>
      </c>
      <c r="Q88" s="1"/>
      <c r="R88" s="5">
        <f t="shared" ref="R88:R90" si="41">IF(P$12=0,0,P88/P$12)</f>
        <v>-6.6315618308739337E-4</v>
      </c>
      <c r="S88" s="1"/>
      <c r="T88" s="1">
        <f>SUM(OSRRefT22_7x_0)</f>
        <v>1375</v>
      </c>
      <c r="U88" s="1"/>
      <c r="V88" s="5">
        <f t="shared" ref="V88:V90" si="42">IF(T$12=0,0,T88/T$12)</f>
        <v>5.207224825624242E-4</v>
      </c>
      <c r="W88" s="1"/>
      <c r="X88" s="1">
        <f t="shared" ref="X88:X90" si="43">+P88-T88</f>
        <v>-2417.4499999999998</v>
      </c>
      <c r="Y88" s="1"/>
      <c r="Z88" s="5">
        <f t="shared" ref="Z88:Z90" si="44">IF(T88=0,0,X88/T88)</f>
        <v>-1.7581454545454545</v>
      </c>
    </row>
    <row r="89" spans="1:26" s="24" customFormat="1" hidden="1" outlineLevel="2" x14ac:dyDescent="0.25">
      <c r="A89" s="29"/>
      <c r="B89" s="11" t="str">
        <f>CONCATENATE("          ", "6269", " - ", "ENTERTAINMENT")</f>
        <v xml:space="preserve">          6269 - ENTERTAINMENT</v>
      </c>
      <c r="C89" s="11"/>
      <c r="D89" s="7"/>
      <c r="E89" s="2"/>
      <c r="F89" s="6">
        <f t="shared" si="37"/>
        <v>0</v>
      </c>
      <c r="G89" s="2"/>
      <c r="H89" s="7">
        <v>0</v>
      </c>
      <c r="I89" s="2"/>
      <c r="J89" s="6">
        <f t="shared" si="38"/>
        <v>0</v>
      </c>
      <c r="K89" s="2"/>
      <c r="L89" s="7">
        <f t="shared" si="39"/>
        <v>0</v>
      </c>
      <c r="M89" s="2"/>
      <c r="N89" s="6">
        <f t="shared" si="40"/>
        <v>0</v>
      </c>
      <c r="O89" s="11"/>
      <c r="P89" s="7"/>
      <c r="Q89" s="2"/>
      <c r="R89" s="6">
        <f t="shared" si="41"/>
        <v>0</v>
      </c>
      <c r="S89" s="2"/>
      <c r="T89" s="7">
        <v>1375</v>
      </c>
      <c r="U89" s="2"/>
      <c r="V89" s="6">
        <f t="shared" si="42"/>
        <v>5.207224825624242E-4</v>
      </c>
      <c r="W89" s="2"/>
      <c r="X89" s="7">
        <f t="shared" si="43"/>
        <v>-1375</v>
      </c>
      <c r="Y89" s="2"/>
      <c r="Z89" s="6">
        <f t="shared" si="44"/>
        <v>-1</v>
      </c>
    </row>
    <row r="90" spans="1:26" s="24" customFormat="1" hidden="1" outlineLevel="2" x14ac:dyDescent="0.25">
      <c r="A90" s="29"/>
      <c r="B90" s="11" t="str">
        <f>CONCATENATE("          ", "6279", " - ", "GENERAL EXPENSE")</f>
        <v xml:space="preserve">          6279 - GENERAL EXPENSE</v>
      </c>
      <c r="C90" s="11"/>
      <c r="D90" s="7">
        <v>-0.99</v>
      </c>
      <c r="E90" s="2"/>
      <c r="F90" s="6">
        <f t="shared" si="37"/>
        <v>-5.5861855324565852E-5</v>
      </c>
      <c r="G90" s="2"/>
      <c r="H90" s="7"/>
      <c r="I90" s="2"/>
      <c r="J90" s="6">
        <f t="shared" si="38"/>
        <v>0</v>
      </c>
      <c r="K90" s="2"/>
      <c r="L90" s="7">
        <f t="shared" si="39"/>
        <v>-0.99</v>
      </c>
      <c r="M90" s="2"/>
      <c r="N90" s="6">
        <f t="shared" si="40"/>
        <v>0</v>
      </c>
      <c r="O90" s="11"/>
      <c r="P90" s="7">
        <v>-1042.45</v>
      </c>
      <c r="Q90" s="2"/>
      <c r="R90" s="6">
        <f t="shared" si="41"/>
        <v>-6.6315618308739337E-4</v>
      </c>
      <c r="S90" s="2"/>
      <c r="T90" s="7"/>
      <c r="U90" s="2"/>
      <c r="V90" s="6">
        <f t="shared" si="42"/>
        <v>0</v>
      </c>
      <c r="W90" s="2"/>
      <c r="X90" s="7">
        <f t="shared" si="43"/>
        <v>-1042.45</v>
      </c>
      <c r="Y90" s="2"/>
      <c r="Z90" s="6">
        <f t="shared" si="44"/>
        <v>0</v>
      </c>
    </row>
    <row r="91" spans="1:26" s="28" customFormat="1" outlineLevel="1" collapsed="1" x14ac:dyDescent="0.25">
      <c r="A91" s="27"/>
      <c r="B91" s="14" t="str">
        <f>CONCATENATE("     ","Inventory Adjustment                              ")</f>
        <v xml:space="preserve">     Inventory Adjustment                              </v>
      </c>
      <c r="C91" s="14"/>
      <c r="D91" s="1">
        <f>SUM(OSRRefD22_8x_0)</f>
        <v>6000</v>
      </c>
      <c r="E91" s="1"/>
      <c r="F91" s="5">
        <f t="shared" ref="F91:F95" si="45">IF(D$12=0,0,D91/D$12)</f>
        <v>0.33855669893676271</v>
      </c>
      <c r="G91" s="1"/>
      <c r="H91" s="1">
        <f>SUM(OSRRefH22_8x_0)</f>
        <v>6000</v>
      </c>
      <c r="I91" s="1"/>
      <c r="J91" s="5">
        <f t="shared" ref="J91:J95" si="46">IF(H$12=0,0,H91/H$12)</f>
        <v>0.10549079592805528</v>
      </c>
      <c r="K91" s="1"/>
      <c r="L91" s="1">
        <f t="shared" ref="L91:L95" si="47">+D91-H91</f>
        <v>0</v>
      </c>
      <c r="M91" s="1"/>
      <c r="N91" s="5">
        <f t="shared" ref="N91:N95" si="48">IF(H91=0,0,L91/H91)</f>
        <v>0</v>
      </c>
      <c r="O91" s="14"/>
      <c r="P91" s="1">
        <f>SUM(OSRRefP22_8x_0)</f>
        <v>11000</v>
      </c>
      <c r="Q91" s="1"/>
      <c r="R91" s="5">
        <f t="shared" ref="R91:R95" si="49">IF(P$12=0,0,P91/P$12)</f>
        <v>6.9976670477829407E-3</v>
      </c>
      <c r="S91" s="1"/>
      <c r="T91" s="1">
        <f>SUM(OSRRefT22_8x_0)</f>
        <v>11000</v>
      </c>
      <c r="U91" s="1"/>
      <c r="V91" s="5">
        <f t="shared" ref="V91:V95" si="50">IF(T$12=0,0,T91/T$12)</f>
        <v>4.1657798604993936E-3</v>
      </c>
      <c r="W91" s="1"/>
      <c r="X91" s="1">
        <f t="shared" ref="X91:X95" si="51">+P91-T91</f>
        <v>0</v>
      </c>
      <c r="Y91" s="1"/>
      <c r="Z91" s="5">
        <f t="shared" ref="Z91:Z95" si="52">IF(T91=0,0,X91/T91)</f>
        <v>0</v>
      </c>
    </row>
    <row r="92" spans="1:26" s="24" customFormat="1" hidden="1" outlineLevel="2" x14ac:dyDescent="0.25">
      <c r="A92" s="29"/>
      <c r="B92" s="11" t="str">
        <f>CONCATENATE("          ", "6408", " - ", "INVENTORY ADJUSTMENT")</f>
        <v xml:space="preserve">          6408 - INVENTORY ADJUSTMENT</v>
      </c>
      <c r="C92" s="11"/>
      <c r="D92" s="7">
        <v>6000</v>
      </c>
      <c r="E92" s="2"/>
      <c r="F92" s="6">
        <f t="shared" si="45"/>
        <v>0.33855669893676271</v>
      </c>
      <c r="G92" s="2"/>
      <c r="H92" s="7">
        <v>6000</v>
      </c>
      <c r="I92" s="2"/>
      <c r="J92" s="6">
        <f t="shared" si="46"/>
        <v>0.10549079592805528</v>
      </c>
      <c r="K92" s="2"/>
      <c r="L92" s="7">
        <f t="shared" si="47"/>
        <v>0</v>
      </c>
      <c r="M92" s="2"/>
      <c r="N92" s="6">
        <f t="shared" si="48"/>
        <v>0</v>
      </c>
      <c r="O92" s="11"/>
      <c r="P92" s="7">
        <v>11000</v>
      </c>
      <c r="Q92" s="2"/>
      <c r="R92" s="6">
        <f t="shared" si="49"/>
        <v>6.9976670477829407E-3</v>
      </c>
      <c r="S92" s="2"/>
      <c r="T92" s="7">
        <v>11000</v>
      </c>
      <c r="U92" s="2"/>
      <c r="V92" s="6">
        <f t="shared" si="50"/>
        <v>4.1657798604993936E-3</v>
      </c>
      <c r="W92" s="2"/>
      <c r="X92" s="7">
        <f t="shared" si="51"/>
        <v>0</v>
      </c>
      <c r="Y92" s="2"/>
      <c r="Z92" s="6">
        <f t="shared" si="52"/>
        <v>0</v>
      </c>
    </row>
    <row r="93" spans="1:26" s="28" customFormat="1" outlineLevel="1" collapsed="1" x14ac:dyDescent="0.25">
      <c r="A93" s="27"/>
      <c r="B93" s="14" t="str">
        <f>CONCATENATE("     ","Repair and Maintenance                            ")</f>
        <v xml:space="preserve">     Repair and Maintenance                            </v>
      </c>
      <c r="C93" s="14"/>
      <c r="D93" s="1">
        <f>SUM(OSRRefD22_9x_0)</f>
        <v>15.84</v>
      </c>
      <c r="E93" s="1"/>
      <c r="F93" s="5">
        <f t="shared" si="45"/>
        <v>8.9378968519305364E-4</v>
      </c>
      <c r="G93" s="1"/>
      <c r="H93" s="1">
        <f>SUM(OSRRefH22_9x_0)</f>
        <v>140</v>
      </c>
      <c r="I93" s="1"/>
      <c r="J93" s="5">
        <f t="shared" si="46"/>
        <v>2.4614519049879565E-3</v>
      </c>
      <c r="K93" s="1"/>
      <c r="L93" s="1">
        <f t="shared" si="47"/>
        <v>-124.16</v>
      </c>
      <c r="M93" s="1"/>
      <c r="N93" s="5">
        <f t="shared" si="48"/>
        <v>-0.88685714285714279</v>
      </c>
      <c r="O93" s="14"/>
      <c r="P93" s="1">
        <f>SUM(OSRRefP22_9x_0)</f>
        <v>149.47</v>
      </c>
      <c r="Q93" s="1"/>
      <c r="R93" s="5">
        <f t="shared" si="49"/>
        <v>9.5085572148374199E-5</v>
      </c>
      <c r="S93" s="1"/>
      <c r="T93" s="1">
        <f>SUM(OSRRefT22_9x_0)</f>
        <v>840</v>
      </c>
      <c r="U93" s="1"/>
      <c r="V93" s="5">
        <f t="shared" si="50"/>
        <v>3.181140984381355E-4</v>
      </c>
      <c r="W93" s="1"/>
      <c r="X93" s="1">
        <f t="shared" si="51"/>
        <v>-690.53</v>
      </c>
      <c r="Y93" s="1"/>
      <c r="Z93" s="5">
        <f t="shared" si="52"/>
        <v>-0.82205952380952374</v>
      </c>
    </row>
    <row r="94" spans="1:26" s="24" customFormat="1" hidden="1" outlineLevel="2" x14ac:dyDescent="0.25">
      <c r="A94" s="29"/>
      <c r="B94" s="11" t="str">
        <f>CONCATENATE("          ", "6373", " - ", "MAINTENANCE CONTRACTS")</f>
        <v xml:space="preserve">          6373 - MAINTENANCE CONTRACTS</v>
      </c>
      <c r="C94" s="11"/>
      <c r="D94" s="7">
        <v>15.84</v>
      </c>
      <c r="E94" s="2"/>
      <c r="F94" s="6">
        <f t="shared" si="45"/>
        <v>8.9378968519305364E-4</v>
      </c>
      <c r="G94" s="2"/>
      <c r="H94" s="7">
        <v>40</v>
      </c>
      <c r="I94" s="2"/>
      <c r="J94" s="6">
        <f t="shared" si="46"/>
        <v>7.0327197285370189E-4</v>
      </c>
      <c r="K94" s="2"/>
      <c r="L94" s="7">
        <f t="shared" si="47"/>
        <v>-24.16</v>
      </c>
      <c r="M94" s="2"/>
      <c r="N94" s="6">
        <f t="shared" si="48"/>
        <v>-0.60399999999999998</v>
      </c>
      <c r="O94" s="11"/>
      <c r="P94" s="7">
        <v>124.36</v>
      </c>
      <c r="Q94" s="2"/>
      <c r="R94" s="6">
        <f t="shared" si="49"/>
        <v>7.9111806732935143E-5</v>
      </c>
      <c r="S94" s="2"/>
      <c r="T94" s="7">
        <v>240</v>
      </c>
      <c r="U94" s="2"/>
      <c r="V94" s="6">
        <f t="shared" si="50"/>
        <v>9.0889742410895865E-5</v>
      </c>
      <c r="W94" s="2"/>
      <c r="X94" s="7">
        <f t="shared" si="51"/>
        <v>-115.64</v>
      </c>
      <c r="Y94" s="2"/>
      <c r="Z94" s="6">
        <f t="shared" si="52"/>
        <v>-0.48183333333333334</v>
      </c>
    </row>
    <row r="95" spans="1:26" s="24" customFormat="1" hidden="1" outlineLevel="2" x14ac:dyDescent="0.25">
      <c r="A95" s="29"/>
      <c r="B95" s="11" t="str">
        <f>CONCATENATE("          ", "6375", " - ", "OUTSIDE REPAIRS &amp; MAINTENANCE")</f>
        <v xml:space="preserve">          6375 - OUTSIDE REPAIRS &amp; MAINTENANCE</v>
      </c>
      <c r="C95" s="11"/>
      <c r="D95" s="7"/>
      <c r="E95" s="2"/>
      <c r="F95" s="6">
        <f t="shared" si="45"/>
        <v>0</v>
      </c>
      <c r="G95" s="2"/>
      <c r="H95" s="7">
        <v>100</v>
      </c>
      <c r="I95" s="2"/>
      <c r="J95" s="6">
        <f t="shared" si="46"/>
        <v>1.7581799321342547E-3</v>
      </c>
      <c r="K95" s="2"/>
      <c r="L95" s="7">
        <f t="shared" si="47"/>
        <v>-100</v>
      </c>
      <c r="M95" s="2"/>
      <c r="N95" s="6">
        <f t="shared" si="48"/>
        <v>-1</v>
      </c>
      <c r="O95" s="11"/>
      <c r="P95" s="7">
        <v>25.11</v>
      </c>
      <c r="Q95" s="2"/>
      <c r="R95" s="6">
        <f t="shared" si="49"/>
        <v>1.5973765415439059E-5</v>
      </c>
      <c r="S95" s="2"/>
      <c r="T95" s="7">
        <v>600</v>
      </c>
      <c r="U95" s="2"/>
      <c r="V95" s="6">
        <f t="shared" si="50"/>
        <v>2.2722435602723966E-4</v>
      </c>
      <c r="W95" s="2"/>
      <c r="X95" s="7">
        <f t="shared" si="51"/>
        <v>-574.89</v>
      </c>
      <c r="Y95" s="2"/>
      <c r="Z95" s="6">
        <f t="shared" si="52"/>
        <v>-0.95814999999999995</v>
      </c>
    </row>
    <row r="96" spans="1:26" s="28" customFormat="1" outlineLevel="1" collapsed="1" x14ac:dyDescent="0.25">
      <c r="A96" s="27"/>
      <c r="B96" s="14" t="str">
        <f>CONCATENATE("     ","Subscriptions &amp; Dues                              ")</f>
        <v xml:space="preserve">     Subscriptions &amp; Dues                              </v>
      </c>
      <c r="C96" s="14"/>
      <c r="D96" s="1">
        <f>SUM(OSRRefD22_10x_0)</f>
        <v>141.16</v>
      </c>
      <c r="E96" s="1"/>
      <c r="F96" s="5">
        <f t="shared" ref="F96:F101" si="53">IF(D$12=0,0,D96/D$12)</f>
        <v>7.9651106036522385E-3</v>
      </c>
      <c r="G96" s="1"/>
      <c r="H96" s="1">
        <f>SUM(OSRRefH22_10x_0)</f>
        <v>300</v>
      </c>
      <c r="I96" s="1"/>
      <c r="J96" s="5">
        <f t="shared" ref="J96:J101" si="54">IF(H$12=0,0,H96/H$12)</f>
        <v>5.274539796402764E-3</v>
      </c>
      <c r="K96" s="1"/>
      <c r="L96" s="1">
        <f t="shared" ref="L96:L101" si="55">+D96-H96</f>
        <v>-158.84</v>
      </c>
      <c r="M96" s="1"/>
      <c r="N96" s="5">
        <f t="shared" ref="N96:N101" si="56">IF(H96=0,0,L96/H96)</f>
        <v>-0.52946666666666664</v>
      </c>
      <c r="O96" s="14"/>
      <c r="P96" s="1">
        <f>SUM(OSRRefP22_10x_0)</f>
        <v>1731.44</v>
      </c>
      <c r="Q96" s="1"/>
      <c r="R96" s="5">
        <f t="shared" ref="R96:R101" si="57">IF(P$12=0,0,P96/P$12)</f>
        <v>1.1014582393830269E-3</v>
      </c>
      <c r="S96" s="1"/>
      <c r="T96" s="1">
        <f>SUM(OSRRefT22_10x_0)</f>
        <v>1800</v>
      </c>
      <c r="U96" s="1"/>
      <c r="V96" s="5">
        <f t="shared" ref="V96:V101" si="58">IF(T$12=0,0,T96/T$12)</f>
        <v>6.8167306808171902E-4</v>
      </c>
      <c r="W96" s="1"/>
      <c r="X96" s="1">
        <f t="shared" ref="X96:X101" si="59">+P96-T96</f>
        <v>-68.559999999999945</v>
      </c>
      <c r="Y96" s="1"/>
      <c r="Z96" s="5">
        <f t="shared" ref="Z96:Z101" si="60">IF(T96=0,0,X96/T96)</f>
        <v>-3.808888888888886E-2</v>
      </c>
    </row>
    <row r="97" spans="1:26" s="24" customFormat="1" hidden="1" outlineLevel="2" x14ac:dyDescent="0.25">
      <c r="A97" s="29"/>
      <c r="B97" s="11" t="str">
        <f>CONCATENATE("          ", "6258", " - ", "MEMBERSHIP DUES")</f>
        <v xml:space="preserve">          6258 - MEMBERSHIP DUES</v>
      </c>
      <c r="C97" s="11"/>
      <c r="D97" s="7">
        <v>141.16</v>
      </c>
      <c r="E97" s="2"/>
      <c r="F97" s="6">
        <f t="shared" si="53"/>
        <v>7.9651106036522385E-3</v>
      </c>
      <c r="G97" s="2"/>
      <c r="H97" s="7">
        <v>300</v>
      </c>
      <c r="I97" s="2"/>
      <c r="J97" s="6">
        <f t="shared" si="54"/>
        <v>5.274539796402764E-3</v>
      </c>
      <c r="K97" s="2"/>
      <c r="L97" s="7">
        <f t="shared" si="55"/>
        <v>-158.84</v>
      </c>
      <c r="M97" s="2"/>
      <c r="N97" s="6">
        <f t="shared" si="56"/>
        <v>-0.52946666666666664</v>
      </c>
      <c r="O97" s="11"/>
      <c r="P97" s="7">
        <v>1731.44</v>
      </c>
      <c r="Q97" s="2"/>
      <c r="R97" s="6">
        <f t="shared" si="57"/>
        <v>1.1014582393830269E-3</v>
      </c>
      <c r="S97" s="2"/>
      <c r="T97" s="7">
        <v>1800</v>
      </c>
      <c r="U97" s="2"/>
      <c r="V97" s="6">
        <f t="shared" si="58"/>
        <v>6.8167306808171902E-4</v>
      </c>
      <c r="W97" s="2"/>
      <c r="X97" s="7">
        <f t="shared" si="59"/>
        <v>-68.559999999999945</v>
      </c>
      <c r="Y97" s="2"/>
      <c r="Z97" s="6">
        <f t="shared" si="60"/>
        <v>-3.808888888888886E-2</v>
      </c>
    </row>
    <row r="98" spans="1:26" s="28" customFormat="1" outlineLevel="1" collapsed="1" x14ac:dyDescent="0.25">
      <c r="A98" s="27"/>
      <c r="B98" s="14" t="str">
        <f>CONCATENATE("     ","Supplies                                          ")</f>
        <v xml:space="preserve">     Supplies                                          </v>
      </c>
      <c r="C98" s="14"/>
      <c r="D98" s="1">
        <f>SUM(OSRRefD22_11x_0)</f>
        <v>522.95000000000005</v>
      </c>
      <c r="E98" s="1"/>
      <c r="F98" s="5">
        <f t="shared" si="53"/>
        <v>2.9508037618163348E-2</v>
      </c>
      <c r="G98" s="1"/>
      <c r="H98" s="1">
        <f>SUM(OSRRefH22_11x_0)</f>
        <v>1400</v>
      </c>
      <c r="I98" s="1"/>
      <c r="J98" s="5">
        <f t="shared" si="54"/>
        <v>2.4614519049879564E-2</v>
      </c>
      <c r="K98" s="1"/>
      <c r="L98" s="1">
        <f t="shared" si="55"/>
        <v>-877.05</v>
      </c>
      <c r="M98" s="1"/>
      <c r="N98" s="5">
        <f t="shared" si="56"/>
        <v>-0.6264642857142857</v>
      </c>
      <c r="O98" s="14"/>
      <c r="P98" s="1">
        <f>SUM(OSRRefP22_11x_0)</f>
        <v>2069.64</v>
      </c>
      <c r="Q98" s="1"/>
      <c r="R98" s="5">
        <f t="shared" si="57"/>
        <v>1.3166046935248622E-3</v>
      </c>
      <c r="S98" s="1"/>
      <c r="T98" s="1">
        <f>SUM(OSRRefT22_11x_0)</f>
        <v>6600</v>
      </c>
      <c r="U98" s="1"/>
      <c r="V98" s="5">
        <f t="shared" si="58"/>
        <v>2.499467916299636E-3</v>
      </c>
      <c r="W98" s="1"/>
      <c r="X98" s="1">
        <f t="shared" si="59"/>
        <v>-4530.3600000000006</v>
      </c>
      <c r="Y98" s="1"/>
      <c r="Z98" s="5">
        <f t="shared" si="60"/>
        <v>-0.68641818181818193</v>
      </c>
    </row>
    <row r="99" spans="1:26" s="24" customFormat="1" hidden="1" outlineLevel="2" x14ac:dyDescent="0.25">
      <c r="A99" s="29"/>
      <c r="B99" s="11" t="str">
        <f>CONCATENATE("          ", "6241", " - ", "OFFICE EXPENSE")</f>
        <v xml:space="preserve">          6241 - OFFICE EXPENSE</v>
      </c>
      <c r="C99" s="11"/>
      <c r="D99" s="7">
        <v>210.77</v>
      </c>
      <c r="E99" s="2"/>
      <c r="F99" s="6">
        <f t="shared" si="53"/>
        <v>1.1892932572483582E-2</v>
      </c>
      <c r="G99" s="2"/>
      <c r="H99" s="7">
        <v>800</v>
      </c>
      <c r="I99" s="2"/>
      <c r="J99" s="6">
        <f t="shared" si="54"/>
        <v>1.4065439457074037E-2</v>
      </c>
      <c r="K99" s="2"/>
      <c r="L99" s="7">
        <f t="shared" si="55"/>
        <v>-589.23</v>
      </c>
      <c r="M99" s="2"/>
      <c r="N99" s="6">
        <f t="shared" si="56"/>
        <v>-0.73653750000000007</v>
      </c>
      <c r="O99" s="11"/>
      <c r="P99" s="7">
        <v>1124.3599999999999</v>
      </c>
      <c r="Q99" s="2"/>
      <c r="R99" s="6">
        <f t="shared" si="57"/>
        <v>7.1526335653138422E-4</v>
      </c>
      <c r="S99" s="2"/>
      <c r="T99" s="7">
        <v>2600</v>
      </c>
      <c r="U99" s="2"/>
      <c r="V99" s="6">
        <f t="shared" si="58"/>
        <v>9.846388761180385E-4</v>
      </c>
      <c r="W99" s="2"/>
      <c r="X99" s="7">
        <f t="shared" si="59"/>
        <v>-1475.64</v>
      </c>
      <c r="Y99" s="2"/>
      <c r="Z99" s="6">
        <f t="shared" si="60"/>
        <v>-0.56755384615384619</v>
      </c>
    </row>
    <row r="100" spans="1:26" s="24" customFormat="1" hidden="1" outlineLevel="2" x14ac:dyDescent="0.25">
      <c r="A100" s="29"/>
      <c r="B100" s="11" t="str">
        <f>CONCATENATE("          ", "6245", " - ", "PRINTING")</f>
        <v xml:space="preserve">          6245 - PRINTING</v>
      </c>
      <c r="C100" s="11"/>
      <c r="D100" s="7"/>
      <c r="E100" s="2"/>
      <c r="F100" s="6">
        <f t="shared" si="53"/>
        <v>0</v>
      </c>
      <c r="G100" s="2"/>
      <c r="H100" s="7">
        <v>400</v>
      </c>
      <c r="I100" s="2"/>
      <c r="J100" s="6">
        <f t="shared" si="54"/>
        <v>7.0327197285370187E-3</v>
      </c>
      <c r="K100" s="2"/>
      <c r="L100" s="7">
        <f t="shared" si="55"/>
        <v>-400</v>
      </c>
      <c r="M100" s="2"/>
      <c r="N100" s="6">
        <f t="shared" si="56"/>
        <v>-1</v>
      </c>
      <c r="O100" s="11"/>
      <c r="P100" s="7"/>
      <c r="Q100" s="2"/>
      <c r="R100" s="6">
        <f t="shared" si="57"/>
        <v>0</v>
      </c>
      <c r="S100" s="2"/>
      <c r="T100" s="7">
        <v>1200</v>
      </c>
      <c r="U100" s="2"/>
      <c r="V100" s="6">
        <f t="shared" si="58"/>
        <v>4.5444871205447933E-4</v>
      </c>
      <c r="W100" s="2"/>
      <c r="X100" s="7">
        <f t="shared" si="59"/>
        <v>-1200</v>
      </c>
      <c r="Y100" s="2"/>
      <c r="Z100" s="6">
        <f t="shared" si="60"/>
        <v>-1</v>
      </c>
    </row>
    <row r="101" spans="1:26" s="24" customFormat="1" hidden="1" outlineLevel="2" x14ac:dyDescent="0.25">
      <c r="A101" s="29"/>
      <c r="B101" s="11" t="str">
        <f>CONCATENATE("          ", "6247", " - ", "STORE SUPPLIES")</f>
        <v xml:space="preserve">          6247 - STORE SUPPLIES</v>
      </c>
      <c r="C101" s="11"/>
      <c r="D101" s="7">
        <v>312.18</v>
      </c>
      <c r="E101" s="2"/>
      <c r="F101" s="6">
        <f t="shared" si="53"/>
        <v>1.7615105045679764E-2</v>
      </c>
      <c r="G101" s="2"/>
      <c r="H101" s="7">
        <v>200</v>
      </c>
      <c r="I101" s="2"/>
      <c r="J101" s="6">
        <f t="shared" si="54"/>
        <v>3.5163598642685093E-3</v>
      </c>
      <c r="K101" s="2"/>
      <c r="L101" s="7">
        <f t="shared" si="55"/>
        <v>112.18</v>
      </c>
      <c r="M101" s="2"/>
      <c r="N101" s="6">
        <f t="shared" si="56"/>
        <v>0.56090000000000007</v>
      </c>
      <c r="O101" s="11"/>
      <c r="P101" s="7">
        <v>945.28</v>
      </c>
      <c r="Q101" s="2"/>
      <c r="R101" s="6">
        <f t="shared" si="57"/>
        <v>6.0134133699347796E-4</v>
      </c>
      <c r="S101" s="2"/>
      <c r="T101" s="7">
        <v>2800</v>
      </c>
      <c r="U101" s="2"/>
      <c r="V101" s="6">
        <f t="shared" si="58"/>
        <v>1.0603803281271184E-3</v>
      </c>
      <c r="W101" s="2"/>
      <c r="X101" s="7">
        <f t="shared" si="59"/>
        <v>-1854.72</v>
      </c>
      <c r="Y101" s="2"/>
      <c r="Z101" s="6">
        <f t="shared" si="60"/>
        <v>-0.66239999999999999</v>
      </c>
    </row>
    <row r="102" spans="1:26" s="28" customFormat="1" outlineLevel="1" collapsed="1" x14ac:dyDescent="0.25">
      <c r="A102" s="27"/>
      <c r="B102" s="14" t="str">
        <f>CONCATENATE("     ","Telephone/Data Lines                              ")</f>
        <v xml:space="preserve">     Telephone/Data Lines                              </v>
      </c>
      <c r="C102" s="14"/>
      <c r="D102" s="1">
        <f>SUM(OSRRefD22_12x_0)</f>
        <v>462</v>
      </c>
      <c r="E102" s="1"/>
      <c r="F102" s="5">
        <f t="shared" ref="F102:F104" si="61">IF(D$12=0,0,D102/D$12)</f>
        <v>2.606886581813073E-2</v>
      </c>
      <c r="G102" s="1"/>
      <c r="H102" s="1">
        <f>SUM(OSRRefH22_12x_0)</f>
        <v>900</v>
      </c>
      <c r="I102" s="1"/>
      <c r="J102" s="5">
        <f t="shared" ref="J102:J104" si="62">IF(H$12=0,0,H102/H$12)</f>
        <v>1.5823619389208291E-2</v>
      </c>
      <c r="K102" s="1"/>
      <c r="L102" s="1">
        <f t="shared" ref="L102:L104" si="63">+D102-H102</f>
        <v>-438</v>
      </c>
      <c r="M102" s="1"/>
      <c r="N102" s="5">
        <f t="shared" ref="N102:N104" si="64">IF(H102=0,0,L102/H102)</f>
        <v>-0.48666666666666669</v>
      </c>
      <c r="O102" s="14"/>
      <c r="P102" s="1">
        <f>SUM(OSRRefP22_12x_0)</f>
        <v>5042.5</v>
      </c>
      <c r="Q102" s="1"/>
      <c r="R102" s="5">
        <f t="shared" ref="R102:R104" si="65">IF(P$12=0,0,P102/P$12)</f>
        <v>3.2077941898586799E-3</v>
      </c>
      <c r="S102" s="1"/>
      <c r="T102" s="1">
        <f>SUM(OSRRefT22_12x_0)</f>
        <v>5400</v>
      </c>
      <c r="U102" s="1"/>
      <c r="V102" s="5">
        <f t="shared" ref="V102:V104" si="66">IF(T$12=0,0,T102/T$12)</f>
        <v>2.0450192042451567E-3</v>
      </c>
      <c r="W102" s="1"/>
      <c r="X102" s="1">
        <f t="shared" ref="X102:X104" si="67">+P102-T102</f>
        <v>-357.5</v>
      </c>
      <c r="Y102" s="1"/>
      <c r="Z102" s="5">
        <f t="shared" ref="Z102:Z104" si="68">IF(T102=0,0,X102/T102)</f>
        <v>-6.6203703703703709E-2</v>
      </c>
    </row>
    <row r="103" spans="1:26" s="24" customFormat="1" hidden="1" outlineLevel="2" x14ac:dyDescent="0.25">
      <c r="A103" s="29"/>
      <c r="B103" s="11" t="str">
        <f>CONCATENATE("          ", "6303", " - ", "DATA PHONE LINES")</f>
        <v xml:space="preserve">          6303 - DATA PHONE LINES</v>
      </c>
      <c r="C103" s="11"/>
      <c r="D103" s="7"/>
      <c r="E103" s="2"/>
      <c r="F103" s="6">
        <f t="shared" si="61"/>
        <v>0</v>
      </c>
      <c r="G103" s="2"/>
      <c r="H103" s="7">
        <v>300</v>
      </c>
      <c r="I103" s="2"/>
      <c r="J103" s="6">
        <f t="shared" si="62"/>
        <v>5.274539796402764E-3</v>
      </c>
      <c r="K103" s="2"/>
      <c r="L103" s="7">
        <f t="shared" si="63"/>
        <v>-300</v>
      </c>
      <c r="M103" s="2"/>
      <c r="N103" s="6">
        <f t="shared" si="64"/>
        <v>-1</v>
      </c>
      <c r="O103" s="11"/>
      <c r="P103" s="7">
        <v>2065</v>
      </c>
      <c r="Q103" s="2"/>
      <c r="R103" s="6">
        <f t="shared" si="65"/>
        <v>1.3136529503337976E-3</v>
      </c>
      <c r="S103" s="2"/>
      <c r="T103" s="7">
        <v>1800</v>
      </c>
      <c r="U103" s="2"/>
      <c r="V103" s="6">
        <f t="shared" si="66"/>
        <v>6.8167306808171902E-4</v>
      </c>
      <c r="W103" s="2"/>
      <c r="X103" s="7">
        <f t="shared" si="67"/>
        <v>265</v>
      </c>
      <c r="Y103" s="2"/>
      <c r="Z103" s="6">
        <f t="shared" si="68"/>
        <v>0.14722222222222223</v>
      </c>
    </row>
    <row r="104" spans="1:26" s="24" customFormat="1" hidden="1" outlineLevel="2" x14ac:dyDescent="0.25">
      <c r="A104" s="29"/>
      <c r="B104" s="11" t="str">
        <f>CONCATENATE("          ", "6309", " - ", "TELEPHONE")</f>
        <v xml:space="preserve">          6309 - TELEPHONE</v>
      </c>
      <c r="C104" s="11"/>
      <c r="D104" s="7">
        <v>462</v>
      </c>
      <c r="E104" s="2"/>
      <c r="F104" s="6">
        <f t="shared" si="61"/>
        <v>2.606886581813073E-2</v>
      </c>
      <c r="G104" s="2"/>
      <c r="H104" s="7">
        <v>600</v>
      </c>
      <c r="I104" s="2"/>
      <c r="J104" s="6">
        <f t="shared" si="62"/>
        <v>1.0549079592805528E-2</v>
      </c>
      <c r="K104" s="2"/>
      <c r="L104" s="7">
        <f t="shared" si="63"/>
        <v>-138</v>
      </c>
      <c r="M104" s="2"/>
      <c r="N104" s="6">
        <f t="shared" si="64"/>
        <v>-0.23</v>
      </c>
      <c r="O104" s="11"/>
      <c r="P104" s="7">
        <v>2977.5</v>
      </c>
      <c r="Q104" s="2"/>
      <c r="R104" s="6">
        <f t="shared" si="65"/>
        <v>1.8941412395248824E-3</v>
      </c>
      <c r="S104" s="2"/>
      <c r="T104" s="7">
        <v>3600</v>
      </c>
      <c r="U104" s="2"/>
      <c r="V104" s="6">
        <f t="shared" si="66"/>
        <v>1.363346136163438E-3</v>
      </c>
      <c r="W104" s="2"/>
      <c r="X104" s="7">
        <f t="shared" si="67"/>
        <v>-622.5</v>
      </c>
      <c r="Y104" s="2"/>
      <c r="Z104" s="6">
        <f t="shared" si="68"/>
        <v>-0.17291666666666666</v>
      </c>
    </row>
    <row r="105" spans="1:26" s="28" customFormat="1" outlineLevel="1" collapsed="1" x14ac:dyDescent="0.25">
      <c r="A105" s="27"/>
      <c r="B105" s="14" t="str">
        <f>CONCATENATE("     ","Travel                                            ")</f>
        <v xml:space="preserve">     Travel                                            </v>
      </c>
      <c r="C105" s="14"/>
      <c r="D105" s="1">
        <f>SUM(OSRRefD22_13x_0)</f>
        <v>0</v>
      </c>
      <c r="E105" s="1"/>
      <c r="F105" s="5">
        <f t="shared" ref="F105:F106" si="69">IF(D$12=0,0,D105/D$12)</f>
        <v>0</v>
      </c>
      <c r="G105" s="1"/>
      <c r="H105" s="1">
        <f>SUM(OSRRefH22_13x_0)</f>
        <v>0</v>
      </c>
      <c r="I105" s="1"/>
      <c r="J105" s="5">
        <f t="shared" ref="J105:J106" si="70">IF(H$12=0,0,H105/H$12)</f>
        <v>0</v>
      </c>
      <c r="K105" s="1"/>
      <c r="L105" s="1">
        <f t="shared" ref="L105:L106" si="71">+D105-H105</f>
        <v>0</v>
      </c>
      <c r="M105" s="1"/>
      <c r="N105" s="5">
        <f t="shared" ref="N105:N106" si="72">IF(H105=0,0,L105/H105)</f>
        <v>0</v>
      </c>
      <c r="O105" s="14"/>
      <c r="P105" s="1">
        <f>SUM(OSRRefP22_13x_0)</f>
        <v>0.16</v>
      </c>
      <c r="Q105" s="1"/>
      <c r="R105" s="5">
        <f t="shared" ref="R105:R106" si="73">IF(P$12=0,0,P105/P$12)</f>
        <v>1.0178424796775187E-7</v>
      </c>
      <c r="S105" s="1"/>
      <c r="T105" s="1">
        <f>SUM(OSRRefT22_13x_0)</f>
        <v>0</v>
      </c>
      <c r="U105" s="1"/>
      <c r="V105" s="5">
        <f t="shared" ref="V105:V106" si="74">IF(T$12=0,0,T105/T$12)</f>
        <v>0</v>
      </c>
      <c r="W105" s="1"/>
      <c r="X105" s="1">
        <f t="shared" ref="X105:X106" si="75">+P105-T105</f>
        <v>0.16</v>
      </c>
      <c r="Y105" s="1"/>
      <c r="Z105" s="5">
        <f t="shared" ref="Z105:Z106" si="76">IF(T105=0,0,X105/T105)</f>
        <v>0</v>
      </c>
    </row>
    <row r="106" spans="1:26" s="24" customFormat="1" hidden="1" outlineLevel="2" x14ac:dyDescent="0.25">
      <c r="A106" s="29"/>
      <c r="B106" s="11" t="str">
        <f>CONCATENATE("          ", "6292", " - ", "TRAVEL/CONFERENCE")</f>
        <v xml:space="preserve">          6292 - TRAVEL/CONFERENCE</v>
      </c>
      <c r="C106" s="11"/>
      <c r="D106" s="7"/>
      <c r="E106" s="2"/>
      <c r="F106" s="6">
        <f t="shared" si="69"/>
        <v>0</v>
      </c>
      <c r="G106" s="2"/>
      <c r="H106" s="7"/>
      <c r="I106" s="2"/>
      <c r="J106" s="6">
        <f t="shared" si="70"/>
        <v>0</v>
      </c>
      <c r="K106" s="2"/>
      <c r="L106" s="7">
        <f t="shared" si="71"/>
        <v>0</v>
      </c>
      <c r="M106" s="2"/>
      <c r="N106" s="6">
        <f t="shared" si="72"/>
        <v>0</v>
      </c>
      <c r="O106" s="11"/>
      <c r="P106" s="7">
        <v>0.16</v>
      </c>
      <c r="Q106" s="2"/>
      <c r="R106" s="6">
        <f t="shared" si="73"/>
        <v>1.0178424796775187E-7</v>
      </c>
      <c r="S106" s="2"/>
      <c r="T106" s="7"/>
      <c r="U106" s="2"/>
      <c r="V106" s="6">
        <f t="shared" si="74"/>
        <v>0</v>
      </c>
      <c r="W106" s="2"/>
      <c r="X106" s="7">
        <f t="shared" si="75"/>
        <v>0.16</v>
      </c>
      <c r="Y106" s="2"/>
      <c r="Z106" s="6">
        <f t="shared" si="76"/>
        <v>0</v>
      </c>
    </row>
    <row r="107" spans="1:26" s="53" customFormat="1" x14ac:dyDescent="0.25">
      <c r="A107" s="36"/>
      <c r="B107" s="36"/>
      <c r="C107" s="36"/>
      <c r="D107" s="1"/>
      <c r="E107" s="1"/>
      <c r="F107" s="5"/>
      <c r="G107" s="1"/>
      <c r="H107" s="1"/>
      <c r="I107" s="1"/>
      <c r="J107" s="5"/>
      <c r="K107" s="1"/>
      <c r="L107" s="1"/>
      <c r="M107" s="1"/>
      <c r="N107" s="5"/>
      <c r="O107" s="36"/>
      <c r="P107" s="1"/>
      <c r="Q107" s="1"/>
      <c r="R107" s="5"/>
      <c r="S107" s="1"/>
      <c r="T107" s="1"/>
      <c r="U107" s="1"/>
      <c r="V107" s="5"/>
      <c r="W107" s="1"/>
      <c r="X107" s="1"/>
      <c r="Y107" s="1"/>
      <c r="Z107" s="5"/>
    </row>
    <row r="108" spans="1:26" s="23" customFormat="1" collapsed="1" x14ac:dyDescent="0.25">
      <c r="A108" s="10"/>
      <c r="B108" s="26" t="s">
        <v>0</v>
      </c>
      <c r="C108" s="10"/>
      <c r="D108" s="4">
        <f>SUM(OSRRefD25x_0)</f>
        <v>11680.240000000002</v>
      </c>
      <c r="E108" s="4"/>
      <c r="F108" s="12">
        <f t="shared" ref="F108:F111" si="77">IF(D$12=0,0,D108/D$12)</f>
        <v>0.65907058286485565</v>
      </c>
      <c r="G108" s="4"/>
      <c r="H108" s="4">
        <f>SUM(OSRRefH25x_0)</f>
        <v>5500</v>
      </c>
      <c r="I108" s="4"/>
      <c r="J108" s="12">
        <f t="shared" ref="J108:J111" si="78">IF(H$12=0,0,H108/H$12)</f>
        <v>9.6699896267383997E-2</v>
      </c>
      <c r="K108" s="4"/>
      <c r="L108" s="4">
        <f t="shared" ref="L108:L111" si="79">+D108-H108</f>
        <v>6180.2400000000016</v>
      </c>
      <c r="M108" s="4"/>
      <c r="N108" s="12">
        <f t="shared" ref="N108:N111" si="80">IF(H108=0,0,L108/H108)</f>
        <v>1.1236800000000002</v>
      </c>
      <c r="O108" s="10"/>
      <c r="P108" s="4">
        <f>SUM(OSRRefP25x_0)</f>
        <v>173765.81</v>
      </c>
      <c r="Q108" s="4"/>
      <c r="R108" s="12">
        <f t="shared" ref="R108:R111" si="81">IF(P$12=0,0,P108/P$12)</f>
        <v>0.11054138933348286</v>
      </c>
      <c r="S108" s="4"/>
      <c r="T108" s="4">
        <f>SUM(OSRRefT25x_0)</f>
        <v>108259</v>
      </c>
      <c r="U108" s="4"/>
      <c r="V108" s="12">
        <f t="shared" ref="V108:V111" si="82">IF(T$12=0,0,T108/T$12)</f>
        <v>4.0998469265254897E-2</v>
      </c>
      <c r="W108" s="4"/>
      <c r="X108" s="4">
        <f t="shared" ref="X108:X111" si="83">+P108-T108</f>
        <v>65506.81</v>
      </c>
      <c r="Y108" s="4"/>
      <c r="Z108" s="12">
        <f t="shared" ref="Z108:Z111" si="84">IF(T108=0,0,X108/T108)</f>
        <v>0.6050934333404151</v>
      </c>
    </row>
    <row r="109" spans="1:26" s="24" customFormat="1" hidden="1" outlineLevel="1" x14ac:dyDescent="0.25">
      <c r="A109" s="51"/>
      <c r="B109" s="11" t="str">
        <f>CONCATENATE("          ", "9150", " - ", "MISC. INCOME")</f>
        <v xml:space="preserve">          9150 - MISC. INCOME</v>
      </c>
      <c r="C109" s="11"/>
      <c r="D109" s="2">
        <f>--11200.54</f>
        <v>11200.54</v>
      </c>
      <c r="E109" s="2"/>
      <c r="F109" s="22">
        <f t="shared" si="77"/>
        <v>0.63200297478486145</v>
      </c>
      <c r="G109" s="2"/>
      <c r="H109" s="2">
        <v>5500</v>
      </c>
      <c r="I109" s="2"/>
      <c r="J109" s="22">
        <f t="shared" si="78"/>
        <v>9.6699896267383997E-2</v>
      </c>
      <c r="K109" s="2"/>
      <c r="L109" s="2">
        <f t="shared" si="79"/>
        <v>5700.5400000000009</v>
      </c>
      <c r="M109" s="2"/>
      <c r="N109" s="22">
        <f t="shared" si="80"/>
        <v>1.0364618181818184</v>
      </c>
      <c r="O109" s="11"/>
      <c r="P109" s="2">
        <f>--23394.49</f>
        <v>23394.49</v>
      </c>
      <c r="Q109" s="2"/>
      <c r="R109" s="22">
        <f t="shared" si="81"/>
        <v>1.4882441070244322E-2</v>
      </c>
      <c r="S109" s="2"/>
      <c r="T109" s="2">
        <v>16000</v>
      </c>
      <c r="U109" s="2"/>
      <c r="V109" s="22">
        <f t="shared" si="82"/>
        <v>6.0593161607263909E-3</v>
      </c>
      <c r="W109" s="2"/>
      <c r="X109" s="2">
        <f t="shared" si="83"/>
        <v>7394.4900000000016</v>
      </c>
      <c r="Y109" s="2"/>
      <c r="Z109" s="22">
        <f t="shared" si="84"/>
        <v>0.46215562500000013</v>
      </c>
    </row>
    <row r="110" spans="1:26" s="24" customFormat="1" hidden="1" outlineLevel="1" x14ac:dyDescent="0.25">
      <c r="A110" s="51"/>
      <c r="B110" s="11" t="str">
        <f>CONCATENATE("          ", "9151", " - ", "MISC. INCOME")</f>
        <v xml:space="preserve">          9151 - MISC. INCOME</v>
      </c>
      <c r="C110" s="11"/>
      <c r="D110" s="2">
        <f>0</f>
        <v>0</v>
      </c>
      <c r="E110" s="2"/>
      <c r="F110" s="22">
        <f t="shared" si="77"/>
        <v>0</v>
      </c>
      <c r="G110" s="2"/>
      <c r="H110" s="2"/>
      <c r="I110" s="2"/>
      <c r="J110" s="22">
        <f t="shared" si="78"/>
        <v>0</v>
      </c>
      <c r="K110" s="2"/>
      <c r="L110" s="2">
        <f t="shared" si="79"/>
        <v>0</v>
      </c>
      <c r="M110" s="2"/>
      <c r="N110" s="22">
        <f t="shared" si="80"/>
        <v>0</v>
      </c>
      <c r="O110" s="11"/>
      <c r="P110" s="2">
        <f>--147285.39</f>
        <v>147285.39000000001</v>
      </c>
      <c r="Q110" s="2"/>
      <c r="R110" s="22">
        <f t="shared" si="81"/>
        <v>9.3695829111169013E-2</v>
      </c>
      <c r="S110" s="2"/>
      <c r="T110" s="2">
        <v>92259</v>
      </c>
      <c r="U110" s="2"/>
      <c r="V110" s="22">
        <f t="shared" si="82"/>
        <v>3.4939153104528504E-2</v>
      </c>
      <c r="W110" s="2"/>
      <c r="X110" s="2">
        <f t="shared" si="83"/>
        <v>55026.390000000014</v>
      </c>
      <c r="Y110" s="2"/>
      <c r="Z110" s="22">
        <f t="shared" si="84"/>
        <v>0.59643384385263243</v>
      </c>
    </row>
    <row r="111" spans="1:26" s="24" customFormat="1" hidden="1" outlineLevel="1" x14ac:dyDescent="0.25">
      <c r="A111" s="51"/>
      <c r="B111" s="11" t="str">
        <f>CONCATENATE("          ", "9152", " - ", "MISC. INCOME")</f>
        <v xml:space="preserve">          9152 - MISC. INCOME</v>
      </c>
      <c r="C111" s="11"/>
      <c r="D111" s="2">
        <f>--479.7</f>
        <v>479.7</v>
      </c>
      <c r="E111" s="2"/>
      <c r="F111" s="22">
        <f t="shared" si="77"/>
        <v>2.7067608079994181E-2</v>
      </c>
      <c r="G111" s="2"/>
      <c r="H111" s="2"/>
      <c r="I111" s="2"/>
      <c r="J111" s="22">
        <f t="shared" si="78"/>
        <v>0</v>
      </c>
      <c r="K111" s="2"/>
      <c r="L111" s="2">
        <f t="shared" si="79"/>
        <v>479.7</v>
      </c>
      <c r="M111" s="2"/>
      <c r="N111" s="22">
        <f t="shared" si="80"/>
        <v>0</v>
      </c>
      <c r="O111" s="11"/>
      <c r="P111" s="2">
        <f>--3085.93</f>
        <v>3085.93</v>
      </c>
      <c r="Q111" s="2"/>
      <c r="R111" s="22">
        <f t="shared" si="81"/>
        <v>1.9631191520695281E-3</v>
      </c>
      <c r="S111" s="2"/>
      <c r="T111" s="2"/>
      <c r="U111" s="2"/>
      <c r="V111" s="22">
        <f t="shared" si="82"/>
        <v>0</v>
      </c>
      <c r="W111" s="2"/>
      <c r="X111" s="2">
        <f t="shared" si="83"/>
        <v>3085.93</v>
      </c>
      <c r="Y111" s="2"/>
      <c r="Z111" s="22">
        <f t="shared" si="84"/>
        <v>0</v>
      </c>
    </row>
    <row r="112" spans="1:26" x14ac:dyDescent="0.2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x14ac:dyDescent="0.25">
      <c r="A113" s="10"/>
      <c r="B113" s="25" t="s">
        <v>3</v>
      </c>
      <c r="C113" s="25"/>
      <c r="D113" s="21">
        <f>+D52-D54+D108</f>
        <v>-31233.929999999982</v>
      </c>
      <c r="E113" s="13"/>
      <c r="F113" s="19">
        <f>IF(D$12=0,0,D113/D$12)</f>
        <v>-1.7624093726036527</v>
      </c>
      <c r="G113" s="13"/>
      <c r="H113" s="21">
        <f>+H52-H54+H108</f>
        <v>-26401.28612386153</v>
      </c>
      <c r="I113" s="13"/>
      <c r="J113" s="19">
        <f>IF(H$12=0,0,H113/H$12)</f>
        <v>-0.46418211445507901</v>
      </c>
      <c r="K113" s="16"/>
      <c r="L113" s="21">
        <f>+D113-H113</f>
        <v>-4832.6438761384525</v>
      </c>
      <c r="M113" s="16"/>
      <c r="N113" s="19">
        <f>IF(H113=0,0,L113/H113)</f>
        <v>0.18304577487119841</v>
      </c>
      <c r="O113" s="26"/>
      <c r="P113" s="21">
        <f>+P52-P54+P108</f>
        <v>358909.61999999965</v>
      </c>
      <c r="Q113" s="13"/>
      <c r="R113" s="19">
        <f>IF(P$12=0,0,P113/P$12)</f>
        <v>0.22832091100057225</v>
      </c>
      <c r="S113" s="13"/>
      <c r="T113" s="21">
        <f>+T52-T54+T108</f>
        <v>515302.98976989998</v>
      </c>
      <c r="U113" s="13"/>
      <c r="V113" s="19">
        <f>IF(T$12=0,0,T113/T$12)</f>
        <v>0.1951489833489613</v>
      </c>
      <c r="W113" s="16"/>
      <c r="X113" s="21">
        <f>+P113-T113</f>
        <v>-156393.36976990034</v>
      </c>
      <c r="Y113" s="16"/>
      <c r="Z113" s="19">
        <f>IF(T113=0,0,X113/T113)</f>
        <v>-0.303497889348042</v>
      </c>
    </row>
    <row r="114" spans="1:26" x14ac:dyDescent="0.25">
      <c r="A114" s="9"/>
      <c r="B114" s="10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25">
      <c r="A115" s="52"/>
      <c r="B115" s="10" t="s">
        <v>14</v>
      </c>
      <c r="C115" s="10"/>
      <c r="D115" s="4">
        <v>38147.009999999995</v>
      </c>
      <c r="E115" s="4"/>
      <c r="F115" s="12">
        <f>IF(D$12=0,0,D115/D$12)</f>
        <v>2.1524876299846127</v>
      </c>
      <c r="G115" s="4"/>
      <c r="H115" s="4">
        <v>40090</v>
      </c>
      <c r="I115" s="4"/>
      <c r="J115" s="12">
        <f>IF(H$12=0,0,H115/H$12)</f>
        <v>0.70485433479262272</v>
      </c>
      <c r="K115" s="4"/>
      <c r="L115" s="4">
        <f>+D115-H115</f>
        <v>-1942.9900000000052</v>
      </c>
      <c r="M115" s="4"/>
      <c r="N115" s="12">
        <f>IF(H115=0,0,L115/H115)</f>
        <v>-4.8465702170117364E-2</v>
      </c>
      <c r="O115" s="10"/>
      <c r="P115" s="4">
        <v>285107.87</v>
      </c>
      <c r="Q115" s="4"/>
      <c r="R115" s="12">
        <f>IF(P$12=0,0,P115/P$12)</f>
        <v>0.18137181336023478</v>
      </c>
      <c r="S115" s="4"/>
      <c r="T115" s="4">
        <v>500891.00000000006</v>
      </c>
      <c r="U115" s="4"/>
      <c r="V115" s="12">
        <f>IF(T$12=0,0,T115/T$12)</f>
        <v>0.1896910581914002</v>
      </c>
      <c r="W115" s="4"/>
      <c r="X115" s="4">
        <f>+P115-T115</f>
        <v>-215783.13000000006</v>
      </c>
      <c r="Y115" s="4"/>
      <c r="Z115" s="12">
        <f>IF(T115=0,0,X115/T115)</f>
        <v>-0.43079857693590029</v>
      </c>
    </row>
    <row r="116" spans="1:26" x14ac:dyDescent="0.25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.75" thickBot="1" x14ac:dyDescent="0.3">
      <c r="A117" s="10"/>
      <c r="B117" s="25" t="s">
        <v>4</v>
      </c>
      <c r="C117" s="25"/>
      <c r="D117" s="34">
        <f>+D113-D115</f>
        <v>-69380.939999999973</v>
      </c>
      <c r="E117" s="13"/>
      <c r="F117" s="31">
        <f>IF(D$12=0,0,D117/D$12)</f>
        <v>-3.914897002588265</v>
      </c>
      <c r="G117" s="13"/>
      <c r="H117" s="34">
        <f>+H113-H115</f>
        <v>-66491.28612386153</v>
      </c>
      <c r="I117" s="13"/>
      <c r="J117" s="31">
        <f>IF(H$12=0,0,H117/H$12)</f>
        <v>-1.1690364492477017</v>
      </c>
      <c r="K117" s="16"/>
      <c r="L117" s="34">
        <f>D117-H117</f>
        <v>-2889.6538761384436</v>
      </c>
      <c r="M117" s="16"/>
      <c r="N117" s="31">
        <f>IF(H117=0,0,L117/H117)</f>
        <v>4.345913644617324E-2</v>
      </c>
      <c r="O117" s="26"/>
      <c r="P117" s="34">
        <f>+P113-P115</f>
        <v>73801.749999999651</v>
      </c>
      <c r="Q117" s="13"/>
      <c r="R117" s="31">
        <f>IF(P$12=0,0,P117/P$12)</f>
        <v>4.6949097640337473E-2</v>
      </c>
      <c r="S117" s="13"/>
      <c r="T117" s="34">
        <f>+T113-T115</f>
        <v>14411.989769899927</v>
      </c>
      <c r="U117" s="13"/>
      <c r="V117" s="31">
        <f>IF(T$12=0,0,T117/T$12)</f>
        <v>5.457925157561128E-3</v>
      </c>
      <c r="W117" s="16"/>
      <c r="X117" s="34">
        <f>P117-T117</f>
        <v>59389.760230099724</v>
      </c>
      <c r="Y117" s="16"/>
      <c r="Z117" s="31">
        <f>IF(T117=0,0,X117/T117)</f>
        <v>4.1208577842691678</v>
      </c>
    </row>
    <row r="118" spans="1:26" ht="15.75" thickTop="1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ht="15.75" thickBot="1" x14ac:dyDescent="0.3">
      <c r="A120" s="10"/>
      <c r="B120" s="25" t="s">
        <v>5</v>
      </c>
      <c r="C120" s="25"/>
      <c r="D120" s="33">
        <f>SUM(D117:D119)</f>
        <v>-69380.939999999973</v>
      </c>
      <c r="E120" s="13"/>
      <c r="F120" s="32">
        <f>IF(D$12=0,0,D120/D$12)</f>
        <v>-3.914897002588265</v>
      </c>
      <c r="G120" s="13"/>
      <c r="H120" s="33">
        <f>SUM(H117:H119)</f>
        <v>-66491.28612386153</v>
      </c>
      <c r="I120" s="13"/>
      <c r="J120" s="32">
        <f>IF(H$12=0,0,H120/H$12)</f>
        <v>-1.1690364492477017</v>
      </c>
      <c r="K120" s="16"/>
      <c r="L120" s="33">
        <f>+D120-H120</f>
        <v>-2889.6538761384436</v>
      </c>
      <c r="M120" s="16"/>
      <c r="N120" s="32">
        <f>IF(H120=0,0,L120/H120)</f>
        <v>4.345913644617324E-2</v>
      </c>
      <c r="O120" s="26"/>
      <c r="P120" s="33">
        <f>SUM(P117:P119)</f>
        <v>73801.749999999651</v>
      </c>
      <c r="Q120" s="13"/>
      <c r="R120" s="32">
        <f>IF(P$12=0,0,P120/P$12)</f>
        <v>4.6949097640337473E-2</v>
      </c>
      <c r="S120" s="13"/>
      <c r="T120" s="33">
        <f>SUM(T117:T119)</f>
        <v>14411.989769899927</v>
      </c>
      <c r="U120" s="13"/>
      <c r="V120" s="32">
        <f>IF(T$12=0,0,T120/T$12)</f>
        <v>5.457925157561128E-3</v>
      </c>
      <c r="W120" s="16"/>
      <c r="X120" s="33">
        <f>+P120-T120</f>
        <v>59389.760230099724</v>
      </c>
      <c r="Y120" s="16"/>
      <c r="Z120" s="32">
        <f>IF(T120=0,0,X120/T120)</f>
        <v>4.1208577842691678</v>
      </c>
    </row>
    <row r="121" spans="1:26" ht="15.75" thickTop="1" x14ac:dyDescent="0.25">
      <c r="A121" s="9"/>
      <c r="C121" s="9"/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  <row r="122" spans="1:26" x14ac:dyDescent="0.25">
      <c r="A122" s="9"/>
      <c r="B122" s="63">
        <v>44209.51813452546</v>
      </c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25">
      <c r="A123" s="9"/>
      <c r="B123" s="60" t="s">
        <v>314</v>
      </c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  <row r="124" spans="1:26" x14ac:dyDescent="0.25">
      <c r="A124" s="9"/>
      <c r="B124" s="58"/>
      <c r="D124" s="18"/>
      <c r="E124" s="18"/>
      <c r="G124" s="18"/>
      <c r="H124" s="18"/>
      <c r="I124" s="18"/>
      <c r="J124" s="43"/>
      <c r="K124" s="18"/>
      <c r="L124" s="18"/>
      <c r="M124" s="18"/>
      <c r="P124" s="18"/>
      <c r="Q124" s="18"/>
      <c r="R124" s="43"/>
      <c r="S124" s="18"/>
      <c r="T124" s="18"/>
      <c r="U124" s="18"/>
      <c r="V124" s="43"/>
      <c r="W124" s="18"/>
      <c r="X124" s="18"/>
    </row>
    <row r="125" spans="1:26" x14ac:dyDescent="0.25">
      <c r="D125" s="18"/>
      <c r="E125" s="18"/>
      <c r="G125" s="18"/>
      <c r="H125" s="18"/>
      <c r="I125" s="18"/>
      <c r="J125" s="43"/>
      <c r="K125" s="18"/>
      <c r="L125" s="18"/>
      <c r="M125" s="18"/>
      <c r="P125" s="18"/>
      <c r="Q125" s="18"/>
      <c r="R125" s="43"/>
      <c r="S125" s="18"/>
      <c r="T125" s="18"/>
      <c r="U125" s="18"/>
      <c r="V125" s="43"/>
      <c r="W125" s="18"/>
      <c r="X125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4"/>
  <sheetViews>
    <sheetView zoomScale="80" workbookViewId="0">
      <pane xSplit="3" ySplit="10" topLeftCell="D12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","311", " - ", "Textbooks")</f>
        <v>Department 311 - Textbooks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13645.83</v>
      </c>
      <c r="E12" s="4"/>
      <c r="F12" s="12"/>
      <c r="G12" s="4"/>
      <c r="H12" s="4">
        <f>SUM(OSRRefH13x_0)</f>
        <v>56738</v>
      </c>
      <c r="I12" s="4"/>
      <c r="J12" s="12"/>
      <c r="K12" s="4"/>
      <c r="L12" s="4">
        <f t="shared" ref="L12:L32" si="0">+D12-H12</f>
        <v>-43092.17</v>
      </c>
      <c r="M12" s="4"/>
      <c r="N12" s="12">
        <f t="shared" ref="N12:N32" si="1">IF(H12=0,0,L12/H12)</f>
        <v>-0.75949398991857309</v>
      </c>
      <c r="O12" s="10"/>
      <c r="P12" s="4">
        <f>SUM(OSRRefP13x_0)</f>
        <v>1095754.0699999998</v>
      </c>
      <c r="Q12" s="4"/>
      <c r="R12" s="12"/>
      <c r="S12" s="4"/>
      <c r="T12" s="4">
        <f>SUM(OSRRefT13x_0)</f>
        <v>1827889</v>
      </c>
      <c r="U12" s="4"/>
      <c r="V12" s="12"/>
      <c r="W12" s="4"/>
      <c r="X12" s="4">
        <f t="shared" ref="X12:X32" si="2">+P12-T12</f>
        <v>-732134.93000000017</v>
      </c>
      <c r="Y12" s="4"/>
      <c r="Z12" s="12">
        <f t="shared" ref="Z12:Z32" si="3">IF(T12=0,0,X12/T12)</f>
        <v>-0.40053577104517846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-325.86</f>
        <v>-325.86</v>
      </c>
      <c r="E13" s="2"/>
      <c r="F13" s="22"/>
      <c r="G13" s="2"/>
      <c r="H13" s="2">
        <v>56738</v>
      </c>
      <c r="I13" s="2"/>
      <c r="J13" s="22"/>
      <c r="K13" s="2"/>
      <c r="L13" s="2">
        <f t="shared" si="0"/>
        <v>-57063.86</v>
      </c>
      <c r="M13" s="2"/>
      <c r="N13" s="22">
        <f t="shared" si="1"/>
        <v>-1.0057432408615037</v>
      </c>
      <c r="O13" s="11"/>
      <c r="P13" s="2">
        <f>-6925.73</f>
        <v>-6925.73</v>
      </c>
      <c r="Q13" s="2"/>
      <c r="R13" s="22"/>
      <c r="S13" s="2"/>
      <c r="T13" s="2">
        <v>1827889</v>
      </c>
      <c r="U13" s="2"/>
      <c r="V13" s="22"/>
      <c r="W13" s="2"/>
      <c r="X13" s="2">
        <f t="shared" si="2"/>
        <v>-1834814.73</v>
      </c>
      <c r="Y13" s="2"/>
      <c r="Z13" s="22">
        <f t="shared" si="3"/>
        <v>-1.0037889226315164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--8412.79</f>
        <v>8412.7900000000009</v>
      </c>
      <c r="E14" s="2"/>
      <c r="F14" s="22"/>
      <c r="G14" s="2"/>
      <c r="H14" s="2"/>
      <c r="I14" s="2"/>
      <c r="J14" s="22"/>
      <c r="K14" s="2"/>
      <c r="L14" s="2">
        <f t="shared" si="0"/>
        <v>8412.7900000000009</v>
      </c>
      <c r="M14" s="2"/>
      <c r="N14" s="22">
        <f t="shared" si="1"/>
        <v>0</v>
      </c>
      <c r="O14" s="11"/>
      <c r="P14" s="2">
        <f>--554846.8</f>
        <v>554846.80000000005</v>
      </c>
      <c r="Q14" s="2"/>
      <c r="R14" s="22"/>
      <c r="S14" s="2"/>
      <c r="T14" s="2"/>
      <c r="U14" s="2"/>
      <c r="V14" s="22"/>
      <c r="W14" s="2"/>
      <c r="X14" s="2">
        <f t="shared" si="2"/>
        <v>554846.80000000005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--1629.44</f>
        <v>1629.44</v>
      </c>
      <c r="E15" s="2"/>
      <c r="F15" s="22"/>
      <c r="G15" s="2"/>
      <c r="H15" s="2"/>
      <c r="I15" s="2"/>
      <c r="J15" s="22"/>
      <c r="K15" s="2"/>
      <c r="L15" s="2">
        <f t="shared" si="0"/>
        <v>1629.44</v>
      </c>
      <c r="M15" s="2"/>
      <c r="N15" s="22">
        <f t="shared" si="1"/>
        <v>0</v>
      </c>
      <c r="O15" s="11"/>
      <c r="P15" s="2">
        <f>--188662.55</f>
        <v>188662.55</v>
      </c>
      <c r="Q15" s="2"/>
      <c r="R15" s="22"/>
      <c r="S15" s="2"/>
      <c r="T15" s="2"/>
      <c r="U15" s="2"/>
      <c r="V15" s="22"/>
      <c r="W15" s="2"/>
      <c r="X15" s="2">
        <f t="shared" si="2"/>
        <v>188662.55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ref="D16:D17" si="4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--10665.63</f>
        <v>10665.63</v>
      </c>
      <c r="Q16" s="2"/>
      <c r="R16" s="22"/>
      <c r="S16" s="2"/>
      <c r="T16" s="2"/>
      <c r="U16" s="2"/>
      <c r="V16" s="22"/>
      <c r="W16" s="2"/>
      <c r="X16" s="2">
        <f t="shared" si="2"/>
        <v>10665.63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--2459.56</f>
        <v>2459.56</v>
      </c>
      <c r="Q17" s="2"/>
      <c r="R17" s="22"/>
      <c r="S17" s="2"/>
      <c r="T17" s="2"/>
      <c r="U17" s="2"/>
      <c r="V17" s="22"/>
      <c r="W17" s="2"/>
      <c r="X17" s="2">
        <f t="shared" si="2"/>
        <v>2459.56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--78.85</f>
        <v>78.849999999999994</v>
      </c>
      <c r="E18" s="2"/>
      <c r="F18" s="22"/>
      <c r="G18" s="2"/>
      <c r="H18" s="2"/>
      <c r="I18" s="2"/>
      <c r="J18" s="22"/>
      <c r="K18" s="2"/>
      <c r="L18" s="2">
        <f t="shared" si="0"/>
        <v>78.849999999999994</v>
      </c>
      <c r="M18" s="2"/>
      <c r="N18" s="22">
        <f t="shared" si="1"/>
        <v>0</v>
      </c>
      <c r="O18" s="11"/>
      <c r="P18" s="2">
        <f>--583.97</f>
        <v>583.97</v>
      </c>
      <c r="Q18" s="2"/>
      <c r="R18" s="22"/>
      <c r="S18" s="2"/>
      <c r="T18" s="2"/>
      <c r="U18" s="2"/>
      <c r="V18" s="22"/>
      <c r="W18" s="2"/>
      <c r="X18" s="2">
        <f t="shared" si="2"/>
        <v>583.97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--35.82</f>
        <v>35.82</v>
      </c>
      <c r="E19" s="2"/>
      <c r="F19" s="22"/>
      <c r="G19" s="2"/>
      <c r="H19" s="2"/>
      <c r="I19" s="2"/>
      <c r="J19" s="22"/>
      <c r="K19" s="2"/>
      <c r="L19" s="2">
        <f t="shared" si="0"/>
        <v>35.82</v>
      </c>
      <c r="M19" s="2"/>
      <c r="N19" s="22">
        <f t="shared" si="1"/>
        <v>0</v>
      </c>
      <c r="O19" s="11"/>
      <c r="P19" s="2">
        <f>--376.06</f>
        <v>376.06</v>
      </c>
      <c r="Q19" s="2"/>
      <c r="R19" s="22"/>
      <c r="S19" s="2"/>
      <c r="T19" s="2"/>
      <c r="U19" s="2"/>
      <c r="V19" s="22"/>
      <c r="W19" s="2"/>
      <c r="X19" s="2">
        <f t="shared" si="2"/>
        <v>376.06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--6.95</f>
        <v>6.95</v>
      </c>
      <c r="E20" s="2"/>
      <c r="F20" s="22"/>
      <c r="G20" s="2"/>
      <c r="H20" s="2"/>
      <c r="I20" s="2"/>
      <c r="J20" s="22"/>
      <c r="K20" s="2"/>
      <c r="L20" s="2">
        <f t="shared" si="0"/>
        <v>6.95</v>
      </c>
      <c r="M20" s="2"/>
      <c r="N20" s="22">
        <f t="shared" si="1"/>
        <v>0</v>
      </c>
      <c r="O20" s="11"/>
      <c r="P20" s="2">
        <f>--190.84</f>
        <v>190.84</v>
      </c>
      <c r="Q20" s="2"/>
      <c r="R20" s="22"/>
      <c r="S20" s="2"/>
      <c r="T20" s="2"/>
      <c r="U20" s="2"/>
      <c r="V20" s="22"/>
      <c r="W20" s="2"/>
      <c r="X20" s="2">
        <f t="shared" si="2"/>
        <v>190.84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"4101", " - ", "NON-TAXABLE SALES-NEW TEXT")</f>
        <v xml:space="preserve">          4101 - NON-TAXABLE SALES-NEW TEXT</v>
      </c>
      <c r="C21" s="11"/>
      <c r="D21" s="2">
        <f>--3205.21</f>
        <v>3205.21</v>
      </c>
      <c r="E21" s="2"/>
      <c r="F21" s="22"/>
      <c r="G21" s="2"/>
      <c r="H21" s="2"/>
      <c r="I21" s="2"/>
      <c r="J21" s="22"/>
      <c r="K21" s="2"/>
      <c r="L21" s="2">
        <f t="shared" si="0"/>
        <v>3205.21</v>
      </c>
      <c r="M21" s="2"/>
      <c r="N21" s="22">
        <f t="shared" si="1"/>
        <v>0</v>
      </c>
      <c r="O21" s="11"/>
      <c r="P21" s="2">
        <f>--82140.93</f>
        <v>82140.929999999993</v>
      </c>
      <c r="Q21" s="2"/>
      <c r="R21" s="22"/>
      <c r="S21" s="2"/>
      <c r="T21" s="2"/>
      <c r="U21" s="2"/>
      <c r="V21" s="22"/>
      <c r="W21" s="2"/>
      <c r="X21" s="2">
        <f t="shared" si="2"/>
        <v>82140.929999999993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"4102", " - ", "NON-TAXABLE SALES-USED TEXT")</f>
        <v xml:space="preserve">          4102 - NON-TAXABLE SALES-USED TEXT</v>
      </c>
      <c r="C22" s="11"/>
      <c r="D22" s="2">
        <f>--598.12</f>
        <v>598.12</v>
      </c>
      <c r="E22" s="2"/>
      <c r="F22" s="22"/>
      <c r="G22" s="2"/>
      <c r="H22" s="2"/>
      <c r="I22" s="2"/>
      <c r="J22" s="22"/>
      <c r="K22" s="2"/>
      <c r="L22" s="2">
        <f t="shared" si="0"/>
        <v>598.12</v>
      </c>
      <c r="M22" s="2"/>
      <c r="N22" s="22">
        <f t="shared" si="1"/>
        <v>0</v>
      </c>
      <c r="O22" s="11"/>
      <c r="P22" s="2">
        <f>--33631.31</f>
        <v>33631.31</v>
      </c>
      <c r="Q22" s="2"/>
      <c r="R22" s="22"/>
      <c r="S22" s="2"/>
      <c r="T22" s="2"/>
      <c r="U22" s="2"/>
      <c r="V22" s="22"/>
      <c r="W22" s="2"/>
      <c r="X22" s="2">
        <f t="shared" si="2"/>
        <v>33631.31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0</f>
        <v>0</v>
      </c>
      <c r="E23" s="2"/>
      <c r="F23" s="22"/>
      <c r="G23" s="2"/>
      <c r="H23" s="2"/>
      <c r="I23" s="2"/>
      <c r="J23" s="22"/>
      <c r="K23" s="2"/>
      <c r="L23" s="2">
        <f t="shared" si="0"/>
        <v>0</v>
      </c>
      <c r="M23" s="2"/>
      <c r="N23" s="22">
        <f t="shared" si="1"/>
        <v>0</v>
      </c>
      <c r="O23" s="11"/>
      <c r="P23" s="2">
        <f>--284.97</f>
        <v>284.97000000000003</v>
      </c>
      <c r="Q23" s="2"/>
      <c r="R23" s="22"/>
      <c r="S23" s="2"/>
      <c r="T23" s="2"/>
      <c r="U23" s="2"/>
      <c r="V23" s="22"/>
      <c r="W23" s="2"/>
      <c r="X23" s="2">
        <f t="shared" si="2"/>
        <v>284.97000000000003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--1301.3</f>
        <v>1301.3</v>
      </c>
      <c r="E24" s="2"/>
      <c r="F24" s="22"/>
      <c r="G24" s="2"/>
      <c r="H24" s="2"/>
      <c r="I24" s="2"/>
      <c r="J24" s="22"/>
      <c r="K24" s="2"/>
      <c r="L24" s="2">
        <f t="shared" si="0"/>
        <v>1301.3</v>
      </c>
      <c r="M24" s="2"/>
      <c r="N24" s="22">
        <f t="shared" si="1"/>
        <v>0</v>
      </c>
      <c r="O24" s="11"/>
      <c r="P24" s="2">
        <f>--296191.01</f>
        <v>296191.01</v>
      </c>
      <c r="Q24" s="2"/>
      <c r="R24" s="22"/>
      <c r="S24" s="2"/>
      <c r="T24" s="2"/>
      <c r="U24" s="2"/>
      <c r="V24" s="22"/>
      <c r="W24" s="2"/>
      <c r="X24" s="2">
        <f t="shared" si="2"/>
        <v>296191.01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"4113", " - ", "NON-TAXABLE SALES-TRADE BOOKS")</f>
        <v xml:space="preserve">          4113 - NON-TAXABLE SALES-TRADE BOOKS</v>
      </c>
      <c r="C25" s="11"/>
      <c r="D25" s="2">
        <f>--41.55</f>
        <v>41.55</v>
      </c>
      <c r="E25" s="2"/>
      <c r="F25" s="22"/>
      <c r="G25" s="2"/>
      <c r="H25" s="2"/>
      <c r="I25" s="2"/>
      <c r="J25" s="22"/>
      <c r="K25" s="2"/>
      <c r="L25" s="2">
        <f t="shared" si="0"/>
        <v>41.55</v>
      </c>
      <c r="M25" s="2"/>
      <c r="N25" s="22">
        <f t="shared" si="1"/>
        <v>0</v>
      </c>
      <c r="O25" s="11"/>
      <c r="P25" s="2">
        <f>--2327.5</f>
        <v>2327.5</v>
      </c>
      <c r="Q25" s="2"/>
      <c r="R25" s="22"/>
      <c r="S25" s="2"/>
      <c r="T25" s="2"/>
      <c r="U25" s="2"/>
      <c r="V25" s="22"/>
      <c r="W25" s="2"/>
      <c r="X25" s="2">
        <f t="shared" si="2"/>
        <v>2327.5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"4118", " - ", "NON-TAXABLE SALES-STUDY GUIDES")</f>
        <v xml:space="preserve">          4118 - NON-TAXABLE SALES-STUDY GUIDES</v>
      </c>
      <c r="C26" s="11"/>
      <c r="D26" s="2">
        <f>0</f>
        <v>0</v>
      </c>
      <c r="E26" s="2"/>
      <c r="F26" s="22"/>
      <c r="G26" s="2"/>
      <c r="H26" s="2"/>
      <c r="I26" s="2"/>
      <c r="J26" s="22"/>
      <c r="K26" s="2"/>
      <c r="L26" s="2">
        <f t="shared" si="0"/>
        <v>0</v>
      </c>
      <c r="M26" s="2"/>
      <c r="N26" s="22">
        <f t="shared" si="1"/>
        <v>0</v>
      </c>
      <c r="O26" s="11"/>
      <c r="P26" s="2">
        <f>--233.43</f>
        <v>233.43</v>
      </c>
      <c r="Q26" s="2"/>
      <c r="R26" s="22"/>
      <c r="S26" s="2"/>
      <c r="T26" s="2"/>
      <c r="U26" s="2"/>
      <c r="V26" s="22"/>
      <c r="W26" s="2"/>
      <c r="X26" s="2">
        <f t="shared" si="2"/>
        <v>233.43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"4201", " - ", "SALES RETURN TAXABLE-NEW TEXT")</f>
        <v xml:space="preserve">          4201 - SALES RETURN TAXABLE-NEW TEXT</v>
      </c>
      <c r="C27" s="11"/>
      <c r="D27" s="2">
        <f>-681.18</f>
        <v>-681.18</v>
      </c>
      <c r="E27" s="2"/>
      <c r="F27" s="22"/>
      <c r="G27" s="2"/>
      <c r="H27" s="2"/>
      <c r="I27" s="2"/>
      <c r="J27" s="22"/>
      <c r="K27" s="2"/>
      <c r="L27" s="2">
        <f t="shared" si="0"/>
        <v>-681.18</v>
      </c>
      <c r="M27" s="2"/>
      <c r="N27" s="22">
        <f t="shared" si="1"/>
        <v>0</v>
      </c>
      <c r="O27" s="11"/>
      <c r="P27" s="2">
        <f>-35775.84</f>
        <v>-35775.839999999997</v>
      </c>
      <c r="Q27" s="2"/>
      <c r="R27" s="22"/>
      <c r="S27" s="2"/>
      <c r="T27" s="2"/>
      <c r="U27" s="2"/>
      <c r="V27" s="22"/>
      <c r="W27" s="2"/>
      <c r="X27" s="2">
        <f t="shared" si="2"/>
        <v>-35775.839999999997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"4202", " - ", "SALES RETURN TAXABLE-USED TEXT")</f>
        <v xml:space="preserve">          4202 - SALES RETURN TAXABLE-USED TEXT</v>
      </c>
      <c r="C28" s="11"/>
      <c r="D28" s="2">
        <f>-62.65</f>
        <v>-62.65</v>
      </c>
      <c r="E28" s="2"/>
      <c r="F28" s="22"/>
      <c r="G28" s="2"/>
      <c r="H28" s="2"/>
      <c r="I28" s="2"/>
      <c r="J28" s="22"/>
      <c r="K28" s="2"/>
      <c r="L28" s="2">
        <f t="shared" si="0"/>
        <v>-62.65</v>
      </c>
      <c r="M28" s="2"/>
      <c r="N28" s="22">
        <f t="shared" si="1"/>
        <v>0</v>
      </c>
      <c r="O28" s="11"/>
      <c r="P28" s="2">
        <f>-13866</f>
        <v>-13866</v>
      </c>
      <c r="Q28" s="2"/>
      <c r="R28" s="22"/>
      <c r="S28" s="2"/>
      <c r="T28" s="2"/>
      <c r="U28" s="2"/>
      <c r="V28" s="22"/>
      <c r="W28" s="2"/>
      <c r="X28" s="2">
        <f t="shared" si="2"/>
        <v>-13866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"4204", " - ", "SALES RETURN TAXABLE-DIGITAL T")</f>
        <v xml:space="preserve">          4204 - SALES RETURN TAXABLE-DIGITAL T</v>
      </c>
      <c r="C29" s="11"/>
      <c r="D29" s="2">
        <f>0</f>
        <v>0</v>
      </c>
      <c r="E29" s="2"/>
      <c r="F29" s="22"/>
      <c r="G29" s="2"/>
      <c r="H29" s="2"/>
      <c r="I29" s="2"/>
      <c r="J29" s="22"/>
      <c r="K29" s="2"/>
      <c r="L29" s="2">
        <f t="shared" si="0"/>
        <v>0</v>
      </c>
      <c r="M29" s="2"/>
      <c r="N29" s="22">
        <f t="shared" si="1"/>
        <v>0</v>
      </c>
      <c r="O29" s="11"/>
      <c r="P29" s="2">
        <f>-1630.85</f>
        <v>-1630.85</v>
      </c>
      <c r="Q29" s="2"/>
      <c r="R29" s="22"/>
      <c r="S29" s="2"/>
      <c r="T29" s="2"/>
      <c r="U29" s="2"/>
      <c r="V29" s="22"/>
      <c r="W29" s="2"/>
      <c r="X29" s="2">
        <f t="shared" si="2"/>
        <v>-1630.85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"4301", " - ", "SALES RETURN NON TAXABLE-NEW T")</f>
        <v xml:space="preserve">          4301 - SALES RETURN NON TAXABLE-NEW T</v>
      </c>
      <c r="C30" s="11"/>
      <c r="D30" s="2">
        <f>-372.93</f>
        <v>-372.93</v>
      </c>
      <c r="E30" s="2"/>
      <c r="F30" s="22"/>
      <c r="G30" s="2"/>
      <c r="H30" s="2"/>
      <c r="I30" s="2"/>
      <c r="J30" s="22"/>
      <c r="K30" s="2"/>
      <c r="L30" s="2">
        <f t="shared" si="0"/>
        <v>-372.93</v>
      </c>
      <c r="M30" s="2"/>
      <c r="N30" s="22">
        <f t="shared" si="1"/>
        <v>0</v>
      </c>
      <c r="O30" s="11"/>
      <c r="P30" s="2">
        <f>-2749.1</f>
        <v>-2749.1</v>
      </c>
      <c r="Q30" s="2"/>
      <c r="R30" s="22"/>
      <c r="S30" s="2"/>
      <c r="T30" s="2"/>
      <c r="U30" s="2"/>
      <c r="V30" s="22"/>
      <c r="W30" s="2"/>
      <c r="X30" s="2">
        <f t="shared" si="2"/>
        <v>-2749.1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"4302", " - ", "SALES RETURN NON TAXABLE-TEXT")</f>
        <v xml:space="preserve">          4302 - SALES RETURN NON TAXABLE-TEXT</v>
      </c>
      <c r="C31" s="11"/>
      <c r="D31" s="2">
        <f>-77.35</f>
        <v>-77.349999999999994</v>
      </c>
      <c r="E31" s="2"/>
      <c r="F31" s="22"/>
      <c r="G31" s="2"/>
      <c r="H31" s="2"/>
      <c r="I31" s="2"/>
      <c r="J31" s="22"/>
      <c r="K31" s="2"/>
      <c r="L31" s="2">
        <f t="shared" si="0"/>
        <v>-77.349999999999994</v>
      </c>
      <c r="M31" s="2"/>
      <c r="N31" s="22">
        <f t="shared" si="1"/>
        <v>0</v>
      </c>
      <c r="O31" s="11"/>
      <c r="P31" s="2">
        <f>-1470.2</f>
        <v>-1470.2</v>
      </c>
      <c r="Q31" s="2"/>
      <c r="R31" s="22"/>
      <c r="S31" s="2"/>
      <c r="T31" s="2"/>
      <c r="U31" s="2"/>
      <c r="V31" s="22"/>
      <c r="W31" s="2"/>
      <c r="X31" s="2">
        <f t="shared" si="2"/>
        <v>-1470.2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"4304", " - ", "SALES RETURN NON TAXABLE-DIGIT")</f>
        <v xml:space="preserve">          4304 - SALES RETURN NON TAXABLE-DIGIT</v>
      </c>
      <c r="C32" s="11"/>
      <c r="D32" s="2">
        <f>-144.23</f>
        <v>-144.22999999999999</v>
      </c>
      <c r="E32" s="2"/>
      <c r="F32" s="22"/>
      <c r="G32" s="2"/>
      <c r="H32" s="2"/>
      <c r="I32" s="2"/>
      <c r="J32" s="22"/>
      <c r="K32" s="2"/>
      <c r="L32" s="2">
        <f t="shared" si="0"/>
        <v>-144.22999999999999</v>
      </c>
      <c r="M32" s="2"/>
      <c r="N32" s="22">
        <f t="shared" si="1"/>
        <v>0</v>
      </c>
      <c r="O32" s="11"/>
      <c r="P32" s="2">
        <f>-14422.77</f>
        <v>-14422.77</v>
      </c>
      <c r="Q32" s="2"/>
      <c r="R32" s="22"/>
      <c r="S32" s="2"/>
      <c r="T32" s="2"/>
      <c r="U32" s="2"/>
      <c r="V32" s="22"/>
      <c r="W32" s="2"/>
      <c r="X32" s="2">
        <f t="shared" si="2"/>
        <v>-14422.77</v>
      </c>
      <c r="Y32" s="2"/>
      <c r="Z32" s="22">
        <f t="shared" si="3"/>
        <v>0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6" t="s">
        <v>8</v>
      </c>
      <c r="C34" s="10"/>
      <c r="D34" s="4">
        <f>SUM(OSRRefD16x_0)</f>
        <v>10618.999999999985</v>
      </c>
      <c r="E34" s="4"/>
      <c r="F34" s="12">
        <f t="shared" ref="F34:F49" si="5">IF(D$12=0,0,D34/D$12)</f>
        <v>0.77818644963333017</v>
      </c>
      <c r="G34" s="4"/>
      <c r="H34" s="4">
        <f>SUM(OSRRefH16x_0)</f>
        <v>41419</v>
      </c>
      <c r="I34" s="4"/>
      <c r="J34" s="12">
        <f t="shared" ref="J34:J49" si="6">IF(H$12=0,0,H34/H$12)</f>
        <v>0.73000458246677713</v>
      </c>
      <c r="K34" s="4"/>
      <c r="L34" s="4">
        <f t="shared" ref="L34:L49" si="7">+D34-H34</f>
        <v>-30800.000000000015</v>
      </c>
      <c r="M34" s="4"/>
      <c r="N34" s="12">
        <f t="shared" ref="N34:N49" si="8">IF(H34=0,0,L34/H34)</f>
        <v>-0.74362007774209937</v>
      </c>
      <c r="O34" s="10"/>
      <c r="P34" s="4">
        <f>SUM(OSRRefP16x_0)</f>
        <v>779696.99999999977</v>
      </c>
      <c r="Q34" s="4"/>
      <c r="R34" s="12">
        <f t="shared" ref="R34:R49" si="9">IF(P$12=0,0,P34/P$12)</f>
        <v>0.71156203873374602</v>
      </c>
      <c r="S34" s="4"/>
      <c r="T34" s="4">
        <f>SUM(OSRRefT16x_0)</f>
        <v>1330544</v>
      </c>
      <c r="U34" s="4"/>
      <c r="V34" s="12">
        <f t="shared" ref="V34:V49" si="10">IF(T$12=0,0,T34/T$12)</f>
        <v>0.72791290937250563</v>
      </c>
      <c r="W34" s="4"/>
      <c r="X34" s="4">
        <f t="shared" ref="X34:X49" si="11">+P34-T34</f>
        <v>-550847.00000000023</v>
      </c>
      <c r="Y34" s="4"/>
      <c r="Z34" s="12">
        <f t="shared" ref="Z34:Z49" si="12">IF(T34=0,0,X34/T34)</f>
        <v>-0.41400134080496415</v>
      </c>
    </row>
    <row r="35" spans="1:26" s="24" customFormat="1" hidden="1" outlineLevel="1" x14ac:dyDescent="0.25">
      <c r="A35" s="51"/>
      <c r="B35" s="11" t="str">
        <f>CONCATENATE("          ", "5000", " - ", "PURCHASES @ COST")</f>
        <v xml:space="preserve">          5000 - PURCHASES @ COST</v>
      </c>
      <c r="C35" s="11"/>
      <c r="D35" s="2"/>
      <c r="E35" s="2"/>
      <c r="F35" s="22">
        <f t="shared" si="5"/>
        <v>0</v>
      </c>
      <c r="G35" s="2"/>
      <c r="H35" s="2">
        <v>41419</v>
      </c>
      <c r="I35" s="2"/>
      <c r="J35" s="22">
        <f t="shared" si="6"/>
        <v>0.73000458246677713</v>
      </c>
      <c r="K35" s="2"/>
      <c r="L35" s="2">
        <f t="shared" si="7"/>
        <v>-41419</v>
      </c>
      <c r="M35" s="2"/>
      <c r="N35" s="22">
        <f t="shared" si="8"/>
        <v>-1</v>
      </c>
      <c r="O35" s="11"/>
      <c r="P35" s="2"/>
      <c r="Q35" s="2"/>
      <c r="R35" s="22">
        <f t="shared" si="9"/>
        <v>0</v>
      </c>
      <c r="S35" s="2"/>
      <c r="T35" s="2">
        <v>1330544</v>
      </c>
      <c r="U35" s="2"/>
      <c r="V35" s="22">
        <f t="shared" si="10"/>
        <v>0.72791290937250563</v>
      </c>
      <c r="W35" s="2"/>
      <c r="X35" s="2">
        <f t="shared" si="11"/>
        <v>-1330544</v>
      </c>
      <c r="Y35" s="2"/>
      <c r="Z35" s="22">
        <f t="shared" si="12"/>
        <v>-1</v>
      </c>
    </row>
    <row r="36" spans="1:26" s="24" customFormat="1" hidden="1" outlineLevel="1" x14ac:dyDescent="0.25">
      <c r="A36" s="51"/>
      <c r="B36" s="11" t="str">
        <f>CONCATENATE("          ", "5001", " - ", "PURCHASES @ COST-NEW TEXT")</f>
        <v xml:space="preserve">          5001 - PURCHASES @ COST-NEW TEXT</v>
      </c>
      <c r="C36" s="11"/>
      <c r="D36" s="2">
        <v>37326.239999999998</v>
      </c>
      <c r="E36" s="2"/>
      <c r="F36" s="22">
        <f t="shared" si="5"/>
        <v>2.7353587139807543</v>
      </c>
      <c r="G36" s="2"/>
      <c r="H36" s="2"/>
      <c r="I36" s="2"/>
      <c r="J36" s="22">
        <f t="shared" si="6"/>
        <v>0</v>
      </c>
      <c r="K36" s="2"/>
      <c r="L36" s="2">
        <f t="shared" si="7"/>
        <v>37326.239999999998</v>
      </c>
      <c r="M36" s="2"/>
      <c r="N36" s="22">
        <f t="shared" si="8"/>
        <v>0</v>
      </c>
      <c r="O36" s="11"/>
      <c r="P36" s="2">
        <v>1073541.68</v>
      </c>
      <c r="Q36" s="2"/>
      <c r="R36" s="22">
        <f t="shared" si="9"/>
        <v>0.97972867214629655</v>
      </c>
      <c r="S36" s="2"/>
      <c r="T36" s="2"/>
      <c r="U36" s="2"/>
      <c r="V36" s="22">
        <f t="shared" si="10"/>
        <v>0</v>
      </c>
      <c r="W36" s="2"/>
      <c r="X36" s="2">
        <f t="shared" si="11"/>
        <v>1073541.68</v>
      </c>
      <c r="Y36" s="2"/>
      <c r="Z36" s="22">
        <f t="shared" si="12"/>
        <v>0</v>
      </c>
    </row>
    <row r="37" spans="1:26" s="24" customFormat="1" hidden="1" outlineLevel="1" x14ac:dyDescent="0.25">
      <c r="A37" s="51"/>
      <c r="B37" s="11" t="str">
        <f>CONCATENATE("          ", "5002", " - ", "PURCHASES @ COST-USED TEXT")</f>
        <v xml:space="preserve">          5002 - PURCHASES @ COST-USED TEXT</v>
      </c>
      <c r="C37" s="11"/>
      <c r="D37" s="2">
        <v>71384.87</v>
      </c>
      <c r="E37" s="2"/>
      <c r="F37" s="22">
        <f t="shared" si="5"/>
        <v>5.2312589267197378</v>
      </c>
      <c r="G37" s="2"/>
      <c r="H37" s="2"/>
      <c r="I37" s="2"/>
      <c r="J37" s="22">
        <f t="shared" si="6"/>
        <v>0</v>
      </c>
      <c r="K37" s="2"/>
      <c r="L37" s="2">
        <f t="shared" si="7"/>
        <v>71384.87</v>
      </c>
      <c r="M37" s="2"/>
      <c r="N37" s="22">
        <f t="shared" si="8"/>
        <v>0</v>
      </c>
      <c r="O37" s="11"/>
      <c r="P37" s="2">
        <v>25837.129999999997</v>
      </c>
      <c r="Q37" s="2"/>
      <c r="R37" s="22">
        <f t="shared" si="9"/>
        <v>2.3579314654062843E-2</v>
      </c>
      <c r="S37" s="2"/>
      <c r="T37" s="2"/>
      <c r="U37" s="2"/>
      <c r="V37" s="22">
        <f t="shared" si="10"/>
        <v>0</v>
      </c>
      <c r="W37" s="2"/>
      <c r="X37" s="2">
        <f t="shared" si="11"/>
        <v>25837.129999999997</v>
      </c>
      <c r="Y37" s="2"/>
      <c r="Z37" s="22">
        <f t="shared" si="12"/>
        <v>0</v>
      </c>
    </row>
    <row r="38" spans="1:26" s="24" customFormat="1" hidden="1" outlineLevel="1" x14ac:dyDescent="0.25">
      <c r="A38" s="51"/>
      <c r="B38" s="11" t="str">
        <f>CONCATENATE("          ", "5003", " - ", "PURCHASES @ COST-RENTAL TEXT")</f>
        <v xml:space="preserve">          5003 - PURCHASES @ COST-RENTAL TEXT</v>
      </c>
      <c r="C38" s="11"/>
      <c r="D38" s="2"/>
      <c r="E38" s="2"/>
      <c r="F38" s="22">
        <f t="shared" si="5"/>
        <v>0</v>
      </c>
      <c r="G38" s="2"/>
      <c r="H38" s="2"/>
      <c r="I38" s="2"/>
      <c r="J38" s="22">
        <f t="shared" si="6"/>
        <v>0</v>
      </c>
      <c r="K38" s="2"/>
      <c r="L38" s="2">
        <f t="shared" si="7"/>
        <v>0</v>
      </c>
      <c r="M38" s="2"/>
      <c r="N38" s="22">
        <f t="shared" si="8"/>
        <v>0</v>
      </c>
      <c r="O38" s="11"/>
      <c r="P38" s="2">
        <v>32.520000000000003</v>
      </c>
      <c r="Q38" s="2"/>
      <c r="R38" s="22">
        <f t="shared" si="9"/>
        <v>2.9678192297291679E-5</v>
      </c>
      <c r="S38" s="2"/>
      <c r="T38" s="2"/>
      <c r="U38" s="2"/>
      <c r="V38" s="22">
        <f t="shared" si="10"/>
        <v>0</v>
      </c>
      <c r="W38" s="2"/>
      <c r="X38" s="2">
        <f t="shared" si="11"/>
        <v>32.520000000000003</v>
      </c>
      <c r="Y38" s="2"/>
      <c r="Z38" s="22">
        <f t="shared" si="12"/>
        <v>0</v>
      </c>
    </row>
    <row r="39" spans="1:26" s="24" customFormat="1" hidden="1" outlineLevel="1" x14ac:dyDescent="0.25">
      <c r="A39" s="51"/>
      <c r="B39" s="11" t="str">
        <f>CONCATENATE("          ", "5004", " - ", "PURCHASES @ COST-DIGITAL TEXT")</f>
        <v xml:space="preserve">          5004 - PURCHASES @ COST-DIGITAL TEXT</v>
      </c>
      <c r="C39" s="11"/>
      <c r="D39" s="2">
        <v>900</v>
      </c>
      <c r="E39" s="2"/>
      <c r="F39" s="22">
        <f t="shared" si="5"/>
        <v>6.5954214584235629E-2</v>
      </c>
      <c r="G39" s="2"/>
      <c r="H39" s="2"/>
      <c r="I39" s="2"/>
      <c r="J39" s="22">
        <f t="shared" si="6"/>
        <v>0</v>
      </c>
      <c r="K39" s="2"/>
      <c r="L39" s="2">
        <f t="shared" si="7"/>
        <v>900</v>
      </c>
      <c r="M39" s="2"/>
      <c r="N39" s="22">
        <f t="shared" si="8"/>
        <v>0</v>
      </c>
      <c r="O39" s="11"/>
      <c r="P39" s="2">
        <v>197838.11000000002</v>
      </c>
      <c r="Q39" s="2"/>
      <c r="R39" s="22">
        <f t="shared" si="9"/>
        <v>0.18054973777099459</v>
      </c>
      <c r="S39" s="2"/>
      <c r="T39" s="2"/>
      <c r="U39" s="2"/>
      <c r="V39" s="22">
        <f t="shared" si="10"/>
        <v>0</v>
      </c>
      <c r="W39" s="2"/>
      <c r="X39" s="2">
        <f t="shared" si="11"/>
        <v>197838.11000000002</v>
      </c>
      <c r="Y39" s="2"/>
      <c r="Z39" s="22">
        <f t="shared" si="12"/>
        <v>0</v>
      </c>
    </row>
    <row r="40" spans="1:26" s="24" customFormat="1" hidden="1" outlineLevel="1" x14ac:dyDescent="0.25">
      <c r="A40" s="51"/>
      <c r="B40" s="11" t="str">
        <f>CONCATENATE("          ", "5011", " - ", "PURCHASES @ COST-NO VALUE TEXT")</f>
        <v xml:space="preserve">          5011 - PURCHASES @ COST-NO VALUE TEXT</v>
      </c>
      <c r="C40" s="11"/>
      <c r="D40" s="2"/>
      <c r="E40" s="2"/>
      <c r="F40" s="22">
        <f t="shared" si="5"/>
        <v>0</v>
      </c>
      <c r="G40" s="2"/>
      <c r="H40" s="2"/>
      <c r="I40" s="2"/>
      <c r="J40" s="22">
        <f t="shared" si="6"/>
        <v>0</v>
      </c>
      <c r="K40" s="2"/>
      <c r="L40" s="2">
        <f t="shared" si="7"/>
        <v>0</v>
      </c>
      <c r="M40" s="2"/>
      <c r="N40" s="22">
        <f t="shared" si="8"/>
        <v>0</v>
      </c>
      <c r="O40" s="11"/>
      <c r="P40" s="2">
        <v>67.17</v>
      </c>
      <c r="Q40" s="2"/>
      <c r="R40" s="22">
        <f t="shared" si="9"/>
        <v>6.1300251433243609E-5</v>
      </c>
      <c r="S40" s="2"/>
      <c r="T40" s="2"/>
      <c r="U40" s="2"/>
      <c r="V40" s="22">
        <f t="shared" si="10"/>
        <v>0</v>
      </c>
      <c r="W40" s="2"/>
      <c r="X40" s="2">
        <f t="shared" si="11"/>
        <v>67.17</v>
      </c>
      <c r="Y40" s="2"/>
      <c r="Z40" s="22">
        <f t="shared" si="12"/>
        <v>0</v>
      </c>
    </row>
    <row r="41" spans="1:26" s="24" customFormat="1" hidden="1" outlineLevel="1" x14ac:dyDescent="0.25">
      <c r="A41" s="51"/>
      <c r="B41" s="11" t="str">
        <f>CONCATENATE("          ", "5013", " - ", "PURCHASES @ COST-TRADE BOOKS")</f>
        <v xml:space="preserve">          5013 - PURCHASES @ COST-TRADE BOOKS</v>
      </c>
      <c r="C41" s="11"/>
      <c r="D41" s="2">
        <v>31.11</v>
      </c>
      <c r="E41" s="2"/>
      <c r="F41" s="22">
        <f t="shared" si="5"/>
        <v>2.2798173507950778E-3</v>
      </c>
      <c r="G41" s="2"/>
      <c r="H41" s="2"/>
      <c r="I41" s="2"/>
      <c r="J41" s="22">
        <f t="shared" si="6"/>
        <v>0</v>
      </c>
      <c r="K41" s="2"/>
      <c r="L41" s="2">
        <f t="shared" si="7"/>
        <v>31.11</v>
      </c>
      <c r="M41" s="2"/>
      <c r="N41" s="22">
        <f t="shared" si="8"/>
        <v>0</v>
      </c>
      <c r="O41" s="11"/>
      <c r="P41" s="2">
        <v>2125.85</v>
      </c>
      <c r="Q41" s="2"/>
      <c r="R41" s="22">
        <f t="shared" si="9"/>
        <v>1.940079492472248E-3</v>
      </c>
      <c r="S41" s="2"/>
      <c r="T41" s="2"/>
      <c r="U41" s="2"/>
      <c r="V41" s="22">
        <f t="shared" si="10"/>
        <v>0</v>
      </c>
      <c r="W41" s="2"/>
      <c r="X41" s="2">
        <f t="shared" si="11"/>
        <v>2125.85</v>
      </c>
      <c r="Y41" s="2"/>
      <c r="Z41" s="22">
        <f t="shared" si="12"/>
        <v>0</v>
      </c>
    </row>
    <row r="42" spans="1:26" s="24" customFormat="1" hidden="1" outlineLevel="1" x14ac:dyDescent="0.25">
      <c r="A42" s="51"/>
      <c r="B42" s="11" t="str">
        <f>CONCATENATE("          ", "5014", " - ", "PURCHASES @ COST-REMAINDERS")</f>
        <v xml:space="preserve">          5014 - PURCHASES @ COST-REMAINDERS</v>
      </c>
      <c r="C42" s="11"/>
      <c r="D42" s="2"/>
      <c r="E42" s="2"/>
      <c r="F42" s="22">
        <f t="shared" si="5"/>
        <v>0</v>
      </c>
      <c r="G42" s="2"/>
      <c r="H42" s="2"/>
      <c r="I42" s="2"/>
      <c r="J42" s="22">
        <f t="shared" si="6"/>
        <v>0</v>
      </c>
      <c r="K42" s="2"/>
      <c r="L42" s="2">
        <f t="shared" si="7"/>
        <v>0</v>
      </c>
      <c r="M42" s="2"/>
      <c r="N42" s="22">
        <f t="shared" si="8"/>
        <v>0</v>
      </c>
      <c r="O42" s="11"/>
      <c r="P42" s="2">
        <v>90.41</v>
      </c>
      <c r="Q42" s="2"/>
      <c r="R42" s="22">
        <f t="shared" si="9"/>
        <v>8.2509390086043673E-5</v>
      </c>
      <c r="S42" s="2"/>
      <c r="T42" s="2"/>
      <c r="U42" s="2"/>
      <c r="V42" s="22">
        <f t="shared" si="10"/>
        <v>0</v>
      </c>
      <c r="W42" s="2"/>
      <c r="X42" s="2">
        <f t="shared" si="11"/>
        <v>90.41</v>
      </c>
      <c r="Y42" s="2"/>
      <c r="Z42" s="22">
        <f t="shared" si="12"/>
        <v>0</v>
      </c>
    </row>
    <row r="43" spans="1:26" s="24" customFormat="1" hidden="1" outlineLevel="1" x14ac:dyDescent="0.25">
      <c r="A43" s="51"/>
      <c r="B43" s="11" t="str">
        <f>CONCATENATE("          ", "5018", " - ", "PURCHASES @ COST-STUDY GUIDES")</f>
        <v xml:space="preserve">          5018 - PURCHASES @ COST-STUDY GUIDES</v>
      </c>
      <c r="C43" s="11"/>
      <c r="D43" s="2"/>
      <c r="E43" s="2"/>
      <c r="F43" s="22">
        <f t="shared" si="5"/>
        <v>0</v>
      </c>
      <c r="G43" s="2"/>
      <c r="H43" s="2"/>
      <c r="I43" s="2"/>
      <c r="J43" s="22">
        <f t="shared" si="6"/>
        <v>0</v>
      </c>
      <c r="K43" s="2"/>
      <c r="L43" s="2">
        <f t="shared" si="7"/>
        <v>0</v>
      </c>
      <c r="M43" s="2"/>
      <c r="N43" s="22">
        <f t="shared" si="8"/>
        <v>0</v>
      </c>
      <c r="O43" s="11"/>
      <c r="P43" s="2">
        <v>106.34</v>
      </c>
      <c r="Q43" s="2"/>
      <c r="R43" s="22">
        <f t="shared" si="9"/>
        <v>9.7047323766728076E-5</v>
      </c>
      <c r="S43" s="2"/>
      <c r="T43" s="2"/>
      <c r="U43" s="2"/>
      <c r="V43" s="22">
        <f t="shared" si="10"/>
        <v>0</v>
      </c>
      <c r="W43" s="2"/>
      <c r="X43" s="2">
        <f t="shared" si="11"/>
        <v>106.34</v>
      </c>
      <c r="Y43" s="2"/>
      <c r="Z43" s="22">
        <f t="shared" si="12"/>
        <v>0</v>
      </c>
    </row>
    <row r="44" spans="1:26" s="24" customFormat="1" hidden="1" outlineLevel="1" x14ac:dyDescent="0.25">
      <c r="A44" s="51"/>
      <c r="B44" s="11" t="str">
        <f>CONCATENATE("          ", "5200", " - ", "PURCHASES OFFSET")</f>
        <v xml:space="preserve">          5200 - PURCHASES OFFSET</v>
      </c>
      <c r="C44" s="11"/>
      <c r="D44" s="2">
        <v>-114446.47</v>
      </c>
      <c r="E44" s="2"/>
      <c r="F44" s="22">
        <f t="shared" si="5"/>
        <v>-8.3869189342092056</v>
      </c>
      <c r="G44" s="2"/>
      <c r="H44" s="2"/>
      <c r="I44" s="2"/>
      <c r="J44" s="22">
        <f t="shared" si="6"/>
        <v>0</v>
      </c>
      <c r="K44" s="2"/>
      <c r="L44" s="2">
        <f t="shared" si="7"/>
        <v>-114446.47</v>
      </c>
      <c r="M44" s="2"/>
      <c r="N44" s="22">
        <f t="shared" si="8"/>
        <v>0</v>
      </c>
      <c r="O44" s="11"/>
      <c r="P44" s="2">
        <v>-1350673.8</v>
      </c>
      <c r="Q44" s="2"/>
      <c r="R44" s="22">
        <f t="shared" si="9"/>
        <v>-1.2326431970268659</v>
      </c>
      <c r="S44" s="2"/>
      <c r="T44" s="2"/>
      <c r="U44" s="2"/>
      <c r="V44" s="22">
        <f t="shared" si="10"/>
        <v>0</v>
      </c>
      <c r="W44" s="2"/>
      <c r="X44" s="2">
        <f t="shared" si="11"/>
        <v>-1350673.8</v>
      </c>
      <c r="Y44" s="2"/>
      <c r="Z44" s="22">
        <f t="shared" si="12"/>
        <v>0</v>
      </c>
    </row>
    <row r="45" spans="1:26" s="24" customFormat="1" hidden="1" outlineLevel="1" x14ac:dyDescent="0.25">
      <c r="A45" s="51"/>
      <c r="B45" s="11" t="str">
        <f>CONCATENATE("          ", "5300", " - ", "COG$ OFFSET")</f>
        <v xml:space="preserve">          5300 - COG$ OFFSET</v>
      </c>
      <c r="C45" s="11"/>
      <c r="D45" s="2">
        <v>10619</v>
      </c>
      <c r="E45" s="2"/>
      <c r="F45" s="22">
        <f t="shared" si="5"/>
        <v>0.77818644963333117</v>
      </c>
      <c r="G45" s="2"/>
      <c r="H45" s="2"/>
      <c r="I45" s="2"/>
      <c r="J45" s="22">
        <f t="shared" si="6"/>
        <v>0</v>
      </c>
      <c r="K45" s="2"/>
      <c r="L45" s="2">
        <f t="shared" si="7"/>
        <v>10619</v>
      </c>
      <c r="M45" s="2"/>
      <c r="N45" s="22">
        <f t="shared" si="8"/>
        <v>0</v>
      </c>
      <c r="O45" s="11"/>
      <c r="P45" s="2">
        <v>779697</v>
      </c>
      <c r="Q45" s="2"/>
      <c r="R45" s="22">
        <f t="shared" si="9"/>
        <v>0.71156203873374624</v>
      </c>
      <c r="S45" s="2"/>
      <c r="T45" s="2"/>
      <c r="U45" s="2"/>
      <c r="V45" s="22">
        <f t="shared" si="10"/>
        <v>0</v>
      </c>
      <c r="W45" s="2"/>
      <c r="X45" s="2">
        <f t="shared" si="11"/>
        <v>779697</v>
      </c>
      <c r="Y45" s="2"/>
      <c r="Z45" s="22">
        <f t="shared" si="12"/>
        <v>0</v>
      </c>
    </row>
    <row r="46" spans="1:26" s="24" customFormat="1" hidden="1" outlineLevel="1" x14ac:dyDescent="0.25">
      <c r="A46" s="51"/>
      <c r="B46" s="11" t="str">
        <f>CONCATENATE("          ", "5501", " - ", "FREIGHT-IN-NEW TEXT")</f>
        <v xml:space="preserve">          5501 - FREIGHT-IN-NEW TEXT</v>
      </c>
      <c r="C46" s="11"/>
      <c r="D46" s="2">
        <v>2414.77</v>
      </c>
      <c r="E46" s="2"/>
      <c r="F46" s="22">
        <f t="shared" si="5"/>
        <v>0.17696028750174961</v>
      </c>
      <c r="G46" s="2"/>
      <c r="H46" s="2"/>
      <c r="I46" s="2"/>
      <c r="J46" s="22">
        <f t="shared" si="6"/>
        <v>0</v>
      </c>
      <c r="K46" s="2"/>
      <c r="L46" s="2">
        <f t="shared" si="7"/>
        <v>2414.77</v>
      </c>
      <c r="M46" s="2"/>
      <c r="N46" s="22">
        <f t="shared" si="8"/>
        <v>0</v>
      </c>
      <c r="O46" s="11"/>
      <c r="P46" s="2">
        <v>37463.58</v>
      </c>
      <c r="Q46" s="2"/>
      <c r="R46" s="22">
        <f t="shared" si="9"/>
        <v>3.418977033779122E-2</v>
      </c>
      <c r="S46" s="2"/>
      <c r="T46" s="2"/>
      <c r="U46" s="2"/>
      <c r="V46" s="22">
        <f t="shared" si="10"/>
        <v>0</v>
      </c>
      <c r="W46" s="2"/>
      <c r="X46" s="2">
        <f t="shared" si="11"/>
        <v>37463.58</v>
      </c>
      <c r="Y46" s="2"/>
      <c r="Z46" s="22">
        <f t="shared" si="12"/>
        <v>0</v>
      </c>
    </row>
    <row r="47" spans="1:26" s="24" customFormat="1" hidden="1" outlineLevel="1" x14ac:dyDescent="0.25">
      <c r="A47" s="51"/>
      <c r="B47" s="11" t="str">
        <f>CONCATENATE("          ", "5502", " - ", "FREIGHT-IN-USED TEXT")</f>
        <v xml:space="preserve">          5502 - FREIGHT-IN-USED TEXT</v>
      </c>
      <c r="C47" s="11"/>
      <c r="D47" s="2">
        <v>2389.48</v>
      </c>
      <c r="E47" s="2"/>
      <c r="F47" s="22">
        <f t="shared" si="5"/>
        <v>0.1751069740719326</v>
      </c>
      <c r="G47" s="2"/>
      <c r="H47" s="2"/>
      <c r="I47" s="2"/>
      <c r="J47" s="22">
        <f t="shared" si="6"/>
        <v>0</v>
      </c>
      <c r="K47" s="2"/>
      <c r="L47" s="2">
        <f t="shared" si="7"/>
        <v>2389.48</v>
      </c>
      <c r="M47" s="2"/>
      <c r="N47" s="22">
        <f t="shared" si="8"/>
        <v>0</v>
      </c>
      <c r="O47" s="11"/>
      <c r="P47" s="2">
        <v>13522.57</v>
      </c>
      <c r="Q47" s="2"/>
      <c r="R47" s="22">
        <f t="shared" si="9"/>
        <v>1.2340880467822495E-2</v>
      </c>
      <c r="S47" s="2"/>
      <c r="T47" s="2"/>
      <c r="U47" s="2"/>
      <c r="V47" s="22">
        <f t="shared" si="10"/>
        <v>0</v>
      </c>
      <c r="W47" s="2"/>
      <c r="X47" s="2">
        <f t="shared" si="11"/>
        <v>13522.57</v>
      </c>
      <c r="Y47" s="2"/>
      <c r="Z47" s="22">
        <f t="shared" si="12"/>
        <v>0</v>
      </c>
    </row>
    <row r="48" spans="1:26" s="24" customFormat="1" hidden="1" outlineLevel="1" x14ac:dyDescent="0.25">
      <c r="A48" s="51"/>
      <c r="B48" s="11" t="str">
        <f>CONCATENATE("          ", "5504", " - ", "FREIGHT-IN-DIGITAL TEXT")</f>
        <v xml:space="preserve">          5504 - FREIGHT-IN-DIGITAL TEXT</v>
      </c>
      <c r="C48" s="11"/>
      <c r="D48" s="2"/>
      <c r="E48" s="2"/>
      <c r="F48" s="22">
        <f t="shared" si="5"/>
        <v>0</v>
      </c>
      <c r="G48" s="2"/>
      <c r="H48" s="2"/>
      <c r="I48" s="2"/>
      <c r="J48" s="22">
        <f t="shared" si="6"/>
        <v>0</v>
      </c>
      <c r="K48" s="2"/>
      <c r="L48" s="2">
        <f t="shared" si="7"/>
        <v>0</v>
      </c>
      <c r="M48" s="2"/>
      <c r="N48" s="22">
        <f t="shared" si="8"/>
        <v>0</v>
      </c>
      <c r="O48" s="11"/>
      <c r="P48" s="2">
        <v>21.98</v>
      </c>
      <c r="Q48" s="2"/>
      <c r="R48" s="22">
        <f t="shared" si="9"/>
        <v>2.0059245593310919E-5</v>
      </c>
      <c r="S48" s="2"/>
      <c r="T48" s="2"/>
      <c r="U48" s="2"/>
      <c r="V48" s="22">
        <f t="shared" si="10"/>
        <v>0</v>
      </c>
      <c r="W48" s="2"/>
      <c r="X48" s="2">
        <f t="shared" si="11"/>
        <v>21.98</v>
      </c>
      <c r="Y48" s="2"/>
      <c r="Z48" s="22">
        <f t="shared" si="12"/>
        <v>0</v>
      </c>
    </row>
    <row r="49" spans="1:26" s="24" customFormat="1" hidden="1" outlineLevel="1" x14ac:dyDescent="0.25">
      <c r="A49" s="51"/>
      <c r="B49" s="11" t="str">
        <f>CONCATENATE("          ", "5513", " - ", "FREIGHT-IN-TRADE BOOKS")</f>
        <v xml:space="preserve">          5513 - FREIGHT-IN-TRADE BOOKS</v>
      </c>
      <c r="C49" s="11"/>
      <c r="D49" s="2"/>
      <c r="E49" s="2"/>
      <c r="F49" s="22">
        <f t="shared" si="5"/>
        <v>0</v>
      </c>
      <c r="G49" s="2"/>
      <c r="H49" s="2"/>
      <c r="I49" s="2"/>
      <c r="J49" s="22">
        <f t="shared" si="6"/>
        <v>0</v>
      </c>
      <c r="K49" s="2"/>
      <c r="L49" s="2">
        <f t="shared" si="7"/>
        <v>0</v>
      </c>
      <c r="M49" s="2"/>
      <c r="N49" s="22">
        <f t="shared" si="8"/>
        <v>0</v>
      </c>
      <c r="O49" s="11"/>
      <c r="P49" s="2">
        <v>26.46</v>
      </c>
      <c r="Q49" s="2"/>
      <c r="R49" s="22">
        <f t="shared" si="9"/>
        <v>2.4147754249272381E-5</v>
      </c>
      <c r="S49" s="2"/>
      <c r="T49" s="2"/>
      <c r="U49" s="2"/>
      <c r="V49" s="22">
        <f t="shared" si="10"/>
        <v>0</v>
      </c>
      <c r="W49" s="2"/>
      <c r="X49" s="2">
        <f t="shared" si="11"/>
        <v>26.46</v>
      </c>
      <c r="Y49" s="2"/>
      <c r="Z49" s="22">
        <f t="shared" si="12"/>
        <v>0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5" t="s">
        <v>6</v>
      </c>
      <c r="C51" s="25"/>
      <c r="D51" s="21">
        <f>D12-D34</f>
        <v>3026.8300000000145</v>
      </c>
      <c r="E51" s="13"/>
      <c r="F51" s="19">
        <f>IF(D$12=0,0,D51/D$12)</f>
        <v>0.22181355036666986</v>
      </c>
      <c r="G51" s="13"/>
      <c r="H51" s="21">
        <f>H12-H34</f>
        <v>15319</v>
      </c>
      <c r="I51" s="13"/>
      <c r="J51" s="19">
        <f>IF(H$12=0,0,H51/H$12)</f>
        <v>0.26999541753322287</v>
      </c>
      <c r="K51" s="16"/>
      <c r="L51" s="21">
        <f>+D51-H51</f>
        <v>-12292.169999999986</v>
      </c>
      <c r="M51" s="16"/>
      <c r="N51" s="19">
        <f>IF(H51=0,0,L51/H51)</f>
        <v>-0.80241334290749955</v>
      </c>
      <c r="O51" s="26"/>
      <c r="P51" s="21">
        <f>P12-P34</f>
        <v>316057.07000000007</v>
      </c>
      <c r="Q51" s="13"/>
      <c r="R51" s="19">
        <f>IF(P$12=0,0,P51/P$12)</f>
        <v>0.28843796126625393</v>
      </c>
      <c r="S51" s="13"/>
      <c r="T51" s="21">
        <f>T12-T34</f>
        <v>497345</v>
      </c>
      <c r="U51" s="13"/>
      <c r="V51" s="19">
        <f>IF(T$12=0,0,T51/T$12)</f>
        <v>0.27208709062749437</v>
      </c>
      <c r="W51" s="16"/>
      <c r="X51" s="21">
        <f>+P51-T51</f>
        <v>-181287.92999999993</v>
      </c>
      <c r="Y51" s="16"/>
      <c r="Z51" s="19">
        <f>IF(T51=0,0,X51/T51)</f>
        <v>-0.36451141561692574</v>
      </c>
    </row>
    <row r="52" spans="1:26" x14ac:dyDescent="0.25">
      <c r="A52" s="9"/>
      <c r="B52" s="10"/>
      <c r="C52" s="9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6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x14ac:dyDescent="0.25">
      <c r="A53" s="10"/>
      <c r="B53" s="26" t="s">
        <v>9</v>
      </c>
      <c r="C53" s="10"/>
      <c r="D53" s="20">
        <f>SUM(OSRRefD22x_0)</f>
        <v>51172.139999999992</v>
      </c>
      <c r="E53" s="20"/>
      <c r="F53" s="30">
        <f t="shared" ref="F53:F64" si="13">IF(D$12=0,0,D53/D$12)</f>
        <v>3.7500203358828297</v>
      </c>
      <c r="G53" s="20"/>
      <c r="H53" s="20">
        <f>SUM(OSRRefH22x_0)</f>
        <v>47259.28612386153</v>
      </c>
      <c r="I53" s="20"/>
      <c r="J53" s="30">
        <f t="shared" ref="J53:J64" si="14">IF(H$12=0,0,H53/H$12)</f>
        <v>0.8329388791261858</v>
      </c>
      <c r="K53" s="4"/>
      <c r="L53" s="20">
        <f t="shared" ref="L53:L64" si="15">+D53-H53</f>
        <v>3912.8538761384625</v>
      </c>
      <c r="M53" s="4"/>
      <c r="N53" s="30">
        <f t="shared" ref="N53:N64" si="16">IF(H53=0,0,L53/H53)</f>
        <v>8.2795450313897914E-2</v>
      </c>
      <c r="O53" s="10"/>
      <c r="P53" s="20">
        <f>SUM(OSRRefP22x_0)</f>
        <v>264104.50999999995</v>
      </c>
      <c r="Q53" s="20"/>
      <c r="R53" s="30">
        <f t="shared" ref="R53:R64" si="17">IF(P$12=0,0,P53/P$12)</f>
        <v>0.24102535161014732</v>
      </c>
      <c r="S53" s="20"/>
      <c r="T53" s="20">
        <f>SUM(OSRRefT22x_0)</f>
        <v>310301.01023010002</v>
      </c>
      <c r="U53" s="20"/>
      <c r="V53" s="30">
        <f t="shared" ref="V53:V64" si="18">IF(T$12=0,0,T53/T$12)</f>
        <v>0.16975921964085347</v>
      </c>
      <c r="W53" s="4"/>
      <c r="X53" s="20">
        <f t="shared" ref="X53:X64" si="19">+P53-T53</f>
        <v>-46196.500230100064</v>
      </c>
      <c r="Y53" s="4"/>
      <c r="Z53" s="30">
        <f t="shared" ref="Z53:Z64" si="20">IF(T53=0,0,X53/T53)</f>
        <v>-0.14887640938018087</v>
      </c>
    </row>
    <row r="54" spans="1:26" s="28" customFormat="1" outlineLevel="1" collapsed="1" x14ac:dyDescent="0.25">
      <c r="A54" s="27"/>
      <c r="B54" s="14" t="str">
        <f>CONCATENATE("     ","*Benefits                                         ")</f>
        <v xml:space="preserve">     *Benefits                                         </v>
      </c>
      <c r="C54" s="14"/>
      <c r="D54" s="1">
        <f>SUM(OSRRefD22_0x_0)</f>
        <v>11725.109999999999</v>
      </c>
      <c r="E54" s="1"/>
      <c r="F54" s="5">
        <f t="shared" si="13"/>
        <v>0.85924491218196319</v>
      </c>
      <c r="G54" s="1"/>
      <c r="H54" s="1">
        <f>SUM(OSRRefH22_0x_0)</f>
        <v>11257.28398016923</v>
      </c>
      <c r="I54" s="1"/>
      <c r="J54" s="5">
        <f t="shared" si="14"/>
        <v>0.19840819169109292</v>
      </c>
      <c r="K54" s="1"/>
      <c r="L54" s="1">
        <f t="shared" si="15"/>
        <v>467.82601983076893</v>
      </c>
      <c r="M54" s="1"/>
      <c r="N54" s="5">
        <f t="shared" si="16"/>
        <v>4.1557627990453885E-2</v>
      </c>
      <c r="O54" s="14"/>
      <c r="P54" s="1">
        <f>SUM(OSRRefP22_0x_0)</f>
        <v>68762.950000000012</v>
      </c>
      <c r="Q54" s="1"/>
      <c r="R54" s="5">
        <f t="shared" si="17"/>
        <v>6.2753999170635094E-2</v>
      </c>
      <c r="S54" s="1"/>
      <c r="T54" s="1">
        <f>SUM(OSRRefT22_0x_0)</f>
        <v>73621.246296099998</v>
      </c>
      <c r="U54" s="1"/>
      <c r="V54" s="5">
        <f t="shared" si="18"/>
        <v>4.0276650439988425E-2</v>
      </c>
      <c r="W54" s="1"/>
      <c r="X54" s="1">
        <f t="shared" si="19"/>
        <v>-4858.2962960999866</v>
      </c>
      <c r="Y54" s="1"/>
      <c r="Z54" s="5">
        <f t="shared" si="20"/>
        <v>-6.5990410927848547E-2</v>
      </c>
    </row>
    <row r="55" spans="1:26" s="24" customFormat="1" hidden="1" outlineLevel="2" x14ac:dyDescent="0.25">
      <c r="A55" s="29"/>
      <c r="B55" s="11" t="str">
        <f>CONCATENATE("          ", "6111", " - ", "F.I.C.A.")</f>
        <v xml:space="preserve">          6111 - F.I.C.A.</v>
      </c>
      <c r="C55" s="11"/>
      <c r="D55" s="7">
        <v>1995.53</v>
      </c>
      <c r="E55" s="2"/>
      <c r="F55" s="6">
        <f t="shared" si="13"/>
        <v>0.14623734869919969</v>
      </c>
      <c r="G55" s="2"/>
      <c r="H55" s="7">
        <v>1589.3629129384599</v>
      </c>
      <c r="I55" s="2"/>
      <c r="J55" s="6">
        <f t="shared" si="14"/>
        <v>2.8012318251233036E-2</v>
      </c>
      <c r="K55" s="2"/>
      <c r="L55" s="7">
        <f t="shared" si="15"/>
        <v>406.16708706154009</v>
      </c>
      <c r="M55" s="2"/>
      <c r="N55" s="6">
        <f t="shared" si="16"/>
        <v>0.25555339422800971</v>
      </c>
      <c r="O55" s="11"/>
      <c r="P55" s="7">
        <v>12943</v>
      </c>
      <c r="Q55" s="2"/>
      <c r="R55" s="6">
        <f t="shared" si="17"/>
        <v>1.1811957038863658E-2</v>
      </c>
      <c r="S55" s="2"/>
      <c r="T55" s="7">
        <v>11239.6526841</v>
      </c>
      <c r="U55" s="2"/>
      <c r="V55" s="6">
        <f t="shared" si="18"/>
        <v>6.1489798801240116E-3</v>
      </c>
      <c r="W55" s="2"/>
      <c r="X55" s="7">
        <f t="shared" si="19"/>
        <v>1703.3473159000005</v>
      </c>
      <c r="Y55" s="2"/>
      <c r="Z55" s="6">
        <f t="shared" si="20"/>
        <v>0.1515480383401539</v>
      </c>
    </row>
    <row r="56" spans="1:26" s="24" customFormat="1" hidden="1" outlineLevel="2" x14ac:dyDescent="0.25">
      <c r="A56" s="29"/>
      <c r="B56" s="11" t="str">
        <f>CONCATENATE("          ", "6112", " - ", "COMPENSATION INSURANCE")</f>
        <v xml:space="preserve">          6112 - COMPENSATION INSURANCE</v>
      </c>
      <c r="C56" s="11"/>
      <c r="D56" s="7">
        <v>314.69</v>
      </c>
      <c r="E56" s="2"/>
      <c r="F56" s="6">
        <f t="shared" si="13"/>
        <v>2.3061257541681233E-2</v>
      </c>
      <c r="G56" s="2"/>
      <c r="H56" s="7">
        <v>475.20656846153901</v>
      </c>
      <c r="I56" s="2"/>
      <c r="J56" s="6">
        <f t="shared" si="14"/>
        <v>8.3754550470855338E-3</v>
      </c>
      <c r="K56" s="2"/>
      <c r="L56" s="7">
        <f t="shared" si="15"/>
        <v>-160.51656846153901</v>
      </c>
      <c r="M56" s="2"/>
      <c r="N56" s="6">
        <f t="shared" si="16"/>
        <v>-0.33778272253517994</v>
      </c>
      <c r="O56" s="11"/>
      <c r="P56" s="7">
        <v>982.04</v>
      </c>
      <c r="Q56" s="2"/>
      <c r="R56" s="6">
        <f t="shared" si="17"/>
        <v>8.9622300011169486E-4</v>
      </c>
      <c r="S56" s="2"/>
      <c r="T56" s="7">
        <v>3679.9038200000014</v>
      </c>
      <c r="U56" s="2"/>
      <c r="V56" s="6">
        <f t="shared" si="18"/>
        <v>2.0131987336211342E-3</v>
      </c>
      <c r="W56" s="2"/>
      <c r="X56" s="7">
        <f t="shared" si="19"/>
        <v>-2697.8638200000014</v>
      </c>
      <c r="Y56" s="2"/>
      <c r="Z56" s="6">
        <f t="shared" si="20"/>
        <v>-0.73313432958147273</v>
      </c>
    </row>
    <row r="57" spans="1:26" s="24" customFormat="1" hidden="1" outlineLevel="2" x14ac:dyDescent="0.25">
      <c r="A57" s="29"/>
      <c r="B57" s="11" t="str">
        <f>CONCATENATE("          ", "6113", " - ", "GROUP INSURANCE")</f>
        <v xml:space="preserve">          6113 - GROUP INSURANCE</v>
      </c>
      <c r="C57" s="11"/>
      <c r="D57" s="7">
        <v>4281.38</v>
      </c>
      <c r="E57" s="2"/>
      <c r="F57" s="6">
        <f t="shared" si="13"/>
        <v>0.31375006137406081</v>
      </c>
      <c r="G57" s="2"/>
      <c r="H57" s="7">
        <v>4662.6923076923094</v>
      </c>
      <c r="I57" s="2"/>
      <c r="J57" s="6">
        <f t="shared" si="14"/>
        <v>8.2179356122745059E-2</v>
      </c>
      <c r="K57" s="2"/>
      <c r="L57" s="7">
        <f t="shared" si="15"/>
        <v>-381.31230769230933</v>
      </c>
      <c r="M57" s="2"/>
      <c r="N57" s="6">
        <f t="shared" si="16"/>
        <v>-8.1779427534438995E-2</v>
      </c>
      <c r="O57" s="11"/>
      <c r="P57" s="7">
        <v>25388.22</v>
      </c>
      <c r="Q57" s="2"/>
      <c r="R57" s="6">
        <f t="shared" si="17"/>
        <v>2.3169633310145956E-2</v>
      </c>
      <c r="S57" s="2"/>
      <c r="T57" s="7">
        <v>28590</v>
      </c>
      <c r="U57" s="2"/>
      <c r="V57" s="6">
        <f t="shared" si="18"/>
        <v>1.5640993517658894E-2</v>
      </c>
      <c r="W57" s="2"/>
      <c r="X57" s="7">
        <f t="shared" si="19"/>
        <v>-3201.7799999999988</v>
      </c>
      <c r="Y57" s="2"/>
      <c r="Z57" s="6">
        <f t="shared" si="20"/>
        <v>-0.11198950682056659</v>
      </c>
    </row>
    <row r="58" spans="1:26" s="24" customFormat="1" hidden="1" outlineLevel="2" x14ac:dyDescent="0.25">
      <c r="A58" s="29"/>
      <c r="B58" s="11" t="str">
        <f>CONCATENATE("          ", "6114", " - ", "STATE UNEMPLOYMENT INSURANCE")</f>
        <v xml:space="preserve">          6114 - STATE UNEMPLOYMENT INSURANCE</v>
      </c>
      <c r="C58" s="11"/>
      <c r="D58" s="7"/>
      <c r="E58" s="2"/>
      <c r="F58" s="6">
        <f t="shared" si="13"/>
        <v>0</v>
      </c>
      <c r="G58" s="2"/>
      <c r="H58" s="7">
        <v>66.785787999999997</v>
      </c>
      <c r="I58" s="2"/>
      <c r="J58" s="6">
        <f t="shared" si="14"/>
        <v>1.1770909795903979E-3</v>
      </c>
      <c r="K58" s="2"/>
      <c r="L58" s="7">
        <f t="shared" si="15"/>
        <v>-66.785787999999997</v>
      </c>
      <c r="M58" s="2"/>
      <c r="N58" s="6">
        <f t="shared" si="16"/>
        <v>-1</v>
      </c>
      <c r="O58" s="11"/>
      <c r="P58" s="7">
        <v>382.75</v>
      </c>
      <c r="Q58" s="2"/>
      <c r="R58" s="6">
        <f t="shared" si="17"/>
        <v>3.4930283215831454E-4</v>
      </c>
      <c r="S58" s="2"/>
      <c r="T58" s="7">
        <v>517.17567199999996</v>
      </c>
      <c r="U58" s="2"/>
      <c r="V58" s="6">
        <f t="shared" si="18"/>
        <v>2.8293603823864577E-4</v>
      </c>
      <c r="W58" s="2"/>
      <c r="X58" s="7">
        <f t="shared" si="19"/>
        <v>-134.42567199999996</v>
      </c>
      <c r="Y58" s="2"/>
      <c r="Z58" s="6">
        <f t="shared" si="20"/>
        <v>-0.2599226515821107</v>
      </c>
    </row>
    <row r="59" spans="1:26" s="24" customFormat="1" hidden="1" outlineLevel="2" x14ac:dyDescent="0.25">
      <c r="A59" s="29"/>
      <c r="B59" s="11" t="str">
        <f>CONCATENATE("          ", "6115", " - ", "P.E.R.S.")</f>
        <v xml:space="preserve">          6115 - P.E.R.S.</v>
      </c>
      <c r="C59" s="11"/>
      <c r="D59" s="7">
        <v>1783.22</v>
      </c>
      <c r="E59" s="2"/>
      <c r="F59" s="6">
        <f t="shared" si="13"/>
        <v>0.1306787494787785</v>
      </c>
      <c r="G59" s="2"/>
      <c r="H59" s="7">
        <v>1268.5379723076899</v>
      </c>
      <c r="I59" s="2"/>
      <c r="J59" s="6">
        <f t="shared" si="14"/>
        <v>2.2357819667730441E-2</v>
      </c>
      <c r="K59" s="2"/>
      <c r="L59" s="7">
        <f t="shared" si="15"/>
        <v>514.68202769231016</v>
      </c>
      <c r="M59" s="2"/>
      <c r="N59" s="6">
        <f t="shared" si="16"/>
        <v>0.40572851497382817</v>
      </c>
      <c r="O59" s="11"/>
      <c r="P59" s="7">
        <v>10486.24</v>
      </c>
      <c r="Q59" s="2"/>
      <c r="R59" s="6">
        <f t="shared" si="17"/>
        <v>9.5698846001092217E-3</v>
      </c>
      <c r="S59" s="2"/>
      <c r="T59" s="7">
        <v>8245.4968200000003</v>
      </c>
      <c r="U59" s="2"/>
      <c r="V59" s="6">
        <f t="shared" si="18"/>
        <v>4.5109395701817779E-3</v>
      </c>
      <c r="W59" s="2"/>
      <c r="X59" s="7">
        <f t="shared" si="19"/>
        <v>2240.7431799999995</v>
      </c>
      <c r="Y59" s="2"/>
      <c r="Z59" s="6">
        <f t="shared" si="20"/>
        <v>0.2717535679069002</v>
      </c>
    </row>
    <row r="60" spans="1:26" s="24" customFormat="1" hidden="1" outlineLevel="2" x14ac:dyDescent="0.25">
      <c r="A60" s="29"/>
      <c r="B60" s="11" t="str">
        <f>CONCATENATE("          ", "6116", " - ", "EDUCATIONAL BENEFITS")</f>
        <v xml:space="preserve">          6116 - EDUCATIONAL BENEFITS</v>
      </c>
      <c r="C60" s="11"/>
      <c r="D60" s="7"/>
      <c r="E60" s="2"/>
      <c r="F60" s="6">
        <f t="shared" si="13"/>
        <v>0</v>
      </c>
      <c r="G60" s="2"/>
      <c r="H60" s="7">
        <v>0</v>
      </c>
      <c r="I60" s="2"/>
      <c r="J60" s="6">
        <f t="shared" si="14"/>
        <v>0</v>
      </c>
      <c r="K60" s="2"/>
      <c r="L60" s="7">
        <f t="shared" si="15"/>
        <v>0</v>
      </c>
      <c r="M60" s="2"/>
      <c r="N60" s="6">
        <f t="shared" si="16"/>
        <v>0</v>
      </c>
      <c r="O60" s="11"/>
      <c r="P60" s="7"/>
      <c r="Q60" s="2"/>
      <c r="R60" s="6">
        <f t="shared" si="17"/>
        <v>0</v>
      </c>
      <c r="S60" s="2"/>
      <c r="T60" s="7">
        <v>0</v>
      </c>
      <c r="U60" s="2"/>
      <c r="V60" s="6">
        <f t="shared" si="18"/>
        <v>0</v>
      </c>
      <c r="W60" s="2"/>
      <c r="X60" s="7">
        <f t="shared" si="19"/>
        <v>0</v>
      </c>
      <c r="Y60" s="2"/>
      <c r="Z60" s="6">
        <f t="shared" si="20"/>
        <v>0</v>
      </c>
    </row>
    <row r="61" spans="1:26" s="24" customFormat="1" hidden="1" outlineLevel="2" x14ac:dyDescent="0.25">
      <c r="A61" s="29"/>
      <c r="B61" s="11" t="str">
        <f>CONCATENATE("          ", "6117", " - ", "RETIREMENT STAFF HOURLY")</f>
        <v xml:space="preserve">          6117 - RETIREMENT STAFF HOURLY</v>
      </c>
      <c r="C61" s="11"/>
      <c r="D61" s="7">
        <v>250.51</v>
      </c>
      <c r="E61" s="2"/>
      <c r="F61" s="6">
        <f t="shared" si="13"/>
        <v>1.8357989217218741E-2</v>
      </c>
      <c r="G61" s="2"/>
      <c r="H61" s="7"/>
      <c r="I61" s="2"/>
      <c r="J61" s="6">
        <f t="shared" si="14"/>
        <v>0</v>
      </c>
      <c r="K61" s="2"/>
      <c r="L61" s="7">
        <f t="shared" si="15"/>
        <v>250.51</v>
      </c>
      <c r="M61" s="2"/>
      <c r="N61" s="6">
        <f t="shared" si="16"/>
        <v>0</v>
      </c>
      <c r="O61" s="11"/>
      <c r="P61" s="7">
        <v>1544.16</v>
      </c>
      <c r="Q61" s="2"/>
      <c r="R61" s="6">
        <f t="shared" si="17"/>
        <v>1.4092213228101451E-3</v>
      </c>
      <c r="S61" s="2"/>
      <c r="T61" s="7"/>
      <c r="U61" s="2"/>
      <c r="V61" s="6">
        <f t="shared" si="18"/>
        <v>0</v>
      </c>
      <c r="W61" s="2"/>
      <c r="X61" s="7">
        <f t="shared" si="19"/>
        <v>1544.16</v>
      </c>
      <c r="Y61" s="2"/>
      <c r="Z61" s="6">
        <f t="shared" si="20"/>
        <v>0</v>
      </c>
    </row>
    <row r="62" spans="1:26" s="24" customFormat="1" hidden="1" outlineLevel="2" x14ac:dyDescent="0.25">
      <c r="A62" s="29"/>
      <c r="B62" s="11" t="str">
        <f>CONCATENATE("          ", "6118", " - ", "VACATION")</f>
        <v xml:space="preserve">          6118 - VACATION</v>
      </c>
      <c r="C62" s="11"/>
      <c r="D62" s="7">
        <v>1613.8</v>
      </c>
      <c r="E62" s="2"/>
      <c r="F62" s="6">
        <f t="shared" si="13"/>
        <v>0.11826323499559939</v>
      </c>
      <c r="G62" s="2"/>
      <c r="H62" s="7">
        <v>1346.2077200000001</v>
      </c>
      <c r="I62" s="2"/>
      <c r="J62" s="6">
        <f t="shared" si="14"/>
        <v>2.3726739046141917E-2</v>
      </c>
      <c r="K62" s="2"/>
      <c r="L62" s="7">
        <f t="shared" si="15"/>
        <v>267.59227999999985</v>
      </c>
      <c r="M62" s="2"/>
      <c r="N62" s="6">
        <f t="shared" si="16"/>
        <v>0.19877488148708569</v>
      </c>
      <c r="O62" s="11"/>
      <c r="P62" s="7">
        <v>7776.65</v>
      </c>
      <c r="Q62" s="2"/>
      <c r="R62" s="6">
        <f t="shared" si="17"/>
        <v>7.097076080219351E-3</v>
      </c>
      <c r="S62" s="2"/>
      <c r="T62" s="7">
        <v>8750.3501799999995</v>
      </c>
      <c r="U62" s="2"/>
      <c r="V62" s="6">
        <f t="shared" si="18"/>
        <v>4.7871343281785704E-3</v>
      </c>
      <c r="W62" s="2"/>
      <c r="X62" s="7">
        <f t="shared" si="19"/>
        <v>-973.70017999999982</v>
      </c>
      <c r="Y62" s="2"/>
      <c r="Z62" s="6">
        <f t="shared" si="20"/>
        <v>-0.11127556725964079</v>
      </c>
    </row>
    <row r="63" spans="1:26" s="24" customFormat="1" hidden="1" outlineLevel="2" x14ac:dyDescent="0.25">
      <c r="A63" s="29"/>
      <c r="B63" s="11" t="str">
        <f>CONCATENATE("          ", "6119", " - ", "SICK LEAVE")</f>
        <v xml:space="preserve">          6119 - SICK LEAVE</v>
      </c>
      <c r="C63" s="11"/>
      <c r="D63" s="7">
        <v>1147.56</v>
      </c>
      <c r="E63" s="2"/>
      <c r="F63" s="6">
        <f t="shared" si="13"/>
        <v>8.4096020542539368E-2</v>
      </c>
      <c r="G63" s="2"/>
      <c r="H63" s="7">
        <v>1098.49071076923</v>
      </c>
      <c r="I63" s="2"/>
      <c r="J63" s="6">
        <f t="shared" si="14"/>
        <v>1.9360758411809193E-2</v>
      </c>
      <c r="K63" s="2"/>
      <c r="L63" s="7">
        <f t="shared" si="15"/>
        <v>49.069289230769982</v>
      </c>
      <c r="M63" s="2"/>
      <c r="N63" s="6">
        <f t="shared" si="16"/>
        <v>4.4669735255575063E-2</v>
      </c>
      <c r="O63" s="11"/>
      <c r="P63" s="7">
        <v>6444.34</v>
      </c>
      <c r="Q63" s="2"/>
      <c r="R63" s="6">
        <f t="shared" si="17"/>
        <v>5.8811919357050629E-3</v>
      </c>
      <c r="S63" s="2"/>
      <c r="T63" s="7">
        <v>8098.6671200000001</v>
      </c>
      <c r="U63" s="2"/>
      <c r="V63" s="6">
        <f t="shared" si="18"/>
        <v>4.4306120995312075E-3</v>
      </c>
      <c r="W63" s="2"/>
      <c r="X63" s="7">
        <f t="shared" si="19"/>
        <v>-1654.3271199999999</v>
      </c>
      <c r="Y63" s="2"/>
      <c r="Z63" s="6">
        <f t="shared" si="20"/>
        <v>-0.20427152956003949</v>
      </c>
    </row>
    <row r="64" spans="1:26" s="24" customFormat="1" hidden="1" outlineLevel="2" x14ac:dyDescent="0.25">
      <c r="A64" s="29"/>
      <c r="B64" s="11" t="str">
        <f>CONCATENATE("          ", "6156", " - ", "EMPLOYEE MEALS")</f>
        <v xml:space="preserve">          6156 - EMPLOYEE MEALS</v>
      </c>
      <c r="C64" s="11"/>
      <c r="D64" s="7">
        <v>338.42</v>
      </c>
      <c r="E64" s="2"/>
      <c r="F64" s="6">
        <f t="shared" si="13"/>
        <v>2.480025033288558E-2</v>
      </c>
      <c r="G64" s="2"/>
      <c r="H64" s="7">
        <v>750</v>
      </c>
      <c r="I64" s="2"/>
      <c r="J64" s="6">
        <f t="shared" si="14"/>
        <v>1.3218654164757305E-2</v>
      </c>
      <c r="K64" s="2"/>
      <c r="L64" s="7">
        <f t="shared" si="15"/>
        <v>-411.58</v>
      </c>
      <c r="M64" s="2"/>
      <c r="N64" s="6">
        <f t="shared" si="16"/>
        <v>-0.54877333333333334</v>
      </c>
      <c r="O64" s="11"/>
      <c r="P64" s="7">
        <v>2815.55</v>
      </c>
      <c r="Q64" s="2"/>
      <c r="R64" s="6">
        <f t="shared" si="17"/>
        <v>2.5695090505116723E-3</v>
      </c>
      <c r="S64" s="2"/>
      <c r="T64" s="7">
        <v>4500</v>
      </c>
      <c r="U64" s="2"/>
      <c r="V64" s="6">
        <f t="shared" si="18"/>
        <v>2.4618562724541809E-3</v>
      </c>
      <c r="W64" s="2"/>
      <c r="X64" s="7">
        <f t="shared" si="19"/>
        <v>-1684.4499999999998</v>
      </c>
      <c r="Y64" s="2"/>
      <c r="Z64" s="6">
        <f t="shared" si="20"/>
        <v>-0.37432222222222217</v>
      </c>
    </row>
    <row r="65" spans="1:26" s="28" customFormat="1" outlineLevel="1" collapsed="1" x14ac:dyDescent="0.25">
      <c r="A65" s="27"/>
      <c r="B65" s="14" t="str">
        <f>CONCATENATE("     ","*Payroll                                          ")</f>
        <v xml:space="preserve">     *Payroll                                          </v>
      </c>
      <c r="C65" s="14"/>
      <c r="D65" s="1">
        <f>SUM(OSRRefD22_1x_0)</f>
        <v>28068.31</v>
      </c>
      <c r="E65" s="1"/>
      <c r="F65" s="5">
        <f t="shared" ref="F65:F75" si="21">IF(D$12=0,0,D65/D$12)</f>
        <v>2.0569148230631629</v>
      </c>
      <c r="G65" s="1"/>
      <c r="H65" s="1">
        <f>SUM(OSRRefH22_1x_0)</f>
        <v>23587.002143692298</v>
      </c>
      <c r="I65" s="1"/>
      <c r="J65" s="5">
        <f t="shared" ref="J65:J75" si="22">IF(H$12=0,0,H65/H$12)</f>
        <v>0.41571789882781024</v>
      </c>
      <c r="K65" s="1"/>
      <c r="L65" s="1">
        <f t="shared" ref="L65:L75" si="23">+D65-H65</f>
        <v>4481.3078563077033</v>
      </c>
      <c r="M65" s="1"/>
      <c r="N65" s="5">
        <f t="shared" ref="N65:N75" si="24">IF(H65=0,0,L65/H65)</f>
        <v>0.1899905646765758</v>
      </c>
      <c r="O65" s="14"/>
      <c r="P65" s="1">
        <f>SUM(OSRRefP22_1x_0)</f>
        <v>165407.07</v>
      </c>
      <c r="Q65" s="1"/>
      <c r="R65" s="5">
        <f t="shared" ref="R65:R75" si="25">IF(P$12=0,0,P65/P$12)</f>
        <v>0.15095273157415701</v>
      </c>
      <c r="S65" s="1"/>
      <c r="T65" s="1">
        <f>SUM(OSRRefT22_1x_0)</f>
        <v>185264.76393399999</v>
      </c>
      <c r="U65" s="1"/>
      <c r="V65" s="5">
        <f t="shared" ref="V65:V75" si="26">IF(T$12=0,0,T65/T$12)</f>
        <v>0.10135449359014688</v>
      </c>
      <c r="W65" s="1"/>
      <c r="X65" s="1">
        <f t="shared" ref="X65:X75" si="27">+P65-T65</f>
        <v>-19857.693933999981</v>
      </c>
      <c r="Y65" s="1"/>
      <c r="Z65" s="5">
        <f t="shared" ref="Z65:Z75" si="28">IF(T65=0,0,X65/T65)</f>
        <v>-0.10718548693411675</v>
      </c>
    </row>
    <row r="66" spans="1:26" s="24" customFormat="1" hidden="1" outlineLevel="2" x14ac:dyDescent="0.25">
      <c r="A66" s="29"/>
      <c r="B66" s="11" t="str">
        <f>CONCATENATE("          ", "6001", " - ", "ADMINISTRATIVE SALARIES")</f>
        <v xml:space="preserve">          6001 - ADMINISTRATIVE SALARIES</v>
      </c>
      <c r="C66" s="11"/>
      <c r="D66" s="7"/>
      <c r="E66" s="2"/>
      <c r="F66" s="6">
        <f t="shared" si="21"/>
        <v>0</v>
      </c>
      <c r="G66" s="2"/>
      <c r="H66" s="7">
        <v>0</v>
      </c>
      <c r="I66" s="2"/>
      <c r="J66" s="6">
        <f t="shared" si="22"/>
        <v>0</v>
      </c>
      <c r="K66" s="2"/>
      <c r="L66" s="7">
        <f t="shared" si="23"/>
        <v>0</v>
      </c>
      <c r="M66" s="2"/>
      <c r="N66" s="6">
        <f t="shared" si="24"/>
        <v>0</v>
      </c>
      <c r="O66" s="11"/>
      <c r="P66" s="7">
        <v>-311.32</v>
      </c>
      <c r="Q66" s="2"/>
      <c r="R66" s="6">
        <f t="shared" si="25"/>
        <v>-2.8411484704775043E-4</v>
      </c>
      <c r="S66" s="2"/>
      <c r="T66" s="7">
        <v>0</v>
      </c>
      <c r="U66" s="2"/>
      <c r="V66" s="6">
        <f t="shared" si="26"/>
        <v>0</v>
      </c>
      <c r="W66" s="2"/>
      <c r="X66" s="7">
        <f t="shared" si="27"/>
        <v>-311.32</v>
      </c>
      <c r="Y66" s="2"/>
      <c r="Z66" s="6">
        <f t="shared" si="28"/>
        <v>0</v>
      </c>
    </row>
    <row r="67" spans="1:26" s="24" customFormat="1" hidden="1" outlineLevel="2" x14ac:dyDescent="0.25">
      <c r="A67" s="29"/>
      <c r="B67" s="11" t="str">
        <f>CONCATENATE("          ", "6002", " - ", "STAFF SALARIES")</f>
        <v xml:space="preserve">          6002 - STAFF SALARIES</v>
      </c>
      <c r="C67" s="11"/>
      <c r="D67" s="7">
        <v>18082.7</v>
      </c>
      <c r="E67" s="2"/>
      <c r="F67" s="6">
        <f t="shared" si="21"/>
        <v>1.3251447511803973</v>
      </c>
      <c r="G67" s="2"/>
      <c r="H67" s="7">
        <v>13107.2520636923</v>
      </c>
      <c r="I67" s="2"/>
      <c r="J67" s="6">
        <f t="shared" si="22"/>
        <v>0.23101364277366668</v>
      </c>
      <c r="K67" s="2"/>
      <c r="L67" s="7">
        <f t="shared" si="23"/>
        <v>4975.4479363077007</v>
      </c>
      <c r="M67" s="2"/>
      <c r="N67" s="6">
        <f t="shared" si="24"/>
        <v>0.37959504495148327</v>
      </c>
      <c r="O67" s="11"/>
      <c r="P67" s="7">
        <v>96498.200000000012</v>
      </c>
      <c r="Q67" s="2"/>
      <c r="R67" s="6">
        <f t="shared" si="25"/>
        <v>8.8065563835870608E-2</v>
      </c>
      <c r="S67" s="2"/>
      <c r="T67" s="7">
        <v>85197.138414000001</v>
      </c>
      <c r="U67" s="2"/>
      <c r="V67" s="6">
        <f t="shared" si="26"/>
        <v>4.6609579911033983E-2</v>
      </c>
      <c r="W67" s="2"/>
      <c r="X67" s="7">
        <f t="shared" si="27"/>
        <v>11301.061586000011</v>
      </c>
      <c r="Y67" s="2"/>
      <c r="Z67" s="6">
        <f t="shared" si="28"/>
        <v>0.13264602305167289</v>
      </c>
    </row>
    <row r="68" spans="1:26" s="24" customFormat="1" hidden="1" outlineLevel="2" x14ac:dyDescent="0.25">
      <c r="A68" s="29"/>
      <c r="B68" s="11" t="str">
        <f>CONCATENATE("          ", "6003", " - ", "STAFF HOURLY-9 MONTH")</f>
        <v xml:space="preserve">          6003 - STAFF HOURLY-9 MONTH</v>
      </c>
      <c r="C68" s="11"/>
      <c r="D68" s="7"/>
      <c r="E68" s="2"/>
      <c r="F68" s="6">
        <f t="shared" si="21"/>
        <v>0</v>
      </c>
      <c r="G68" s="2"/>
      <c r="H68" s="7">
        <v>0</v>
      </c>
      <c r="I68" s="2"/>
      <c r="J68" s="6">
        <f t="shared" si="22"/>
        <v>0</v>
      </c>
      <c r="K68" s="2"/>
      <c r="L68" s="7">
        <f t="shared" si="23"/>
        <v>0</v>
      </c>
      <c r="M68" s="2"/>
      <c r="N68" s="6">
        <f t="shared" si="24"/>
        <v>0</v>
      </c>
      <c r="O68" s="11"/>
      <c r="P68" s="7"/>
      <c r="Q68" s="2"/>
      <c r="R68" s="6">
        <f t="shared" si="25"/>
        <v>0</v>
      </c>
      <c r="S68" s="2"/>
      <c r="T68" s="7">
        <v>0</v>
      </c>
      <c r="U68" s="2"/>
      <c r="V68" s="6">
        <f t="shared" si="26"/>
        <v>0</v>
      </c>
      <c r="W68" s="2"/>
      <c r="X68" s="7">
        <f t="shared" si="27"/>
        <v>0</v>
      </c>
      <c r="Y68" s="2"/>
      <c r="Z68" s="6">
        <f t="shared" si="28"/>
        <v>0</v>
      </c>
    </row>
    <row r="69" spans="1:26" s="24" customFormat="1" hidden="1" outlineLevel="2" x14ac:dyDescent="0.25">
      <c r="A69" s="29"/>
      <c r="B69" s="11" t="str">
        <f>CONCATENATE("          ", "6004", " - ", "STAFF HOURLY")</f>
        <v xml:space="preserve">          6004 - STAFF HOURLY</v>
      </c>
      <c r="C69" s="11"/>
      <c r="D69" s="7">
        <v>7156.04</v>
      </c>
      <c r="E69" s="2"/>
      <c r="F69" s="6">
        <f t="shared" si="21"/>
        <v>0.52441221970374829</v>
      </c>
      <c r="G69" s="2"/>
      <c r="H69" s="7">
        <v>5285.7500799999998</v>
      </c>
      <c r="I69" s="2"/>
      <c r="J69" s="6">
        <f t="shared" si="22"/>
        <v>9.3160669745144351E-2</v>
      </c>
      <c r="K69" s="2"/>
      <c r="L69" s="7">
        <f t="shared" si="23"/>
        <v>1870.2899200000002</v>
      </c>
      <c r="M69" s="2"/>
      <c r="N69" s="6">
        <f t="shared" si="24"/>
        <v>0.35383623737276665</v>
      </c>
      <c r="O69" s="11"/>
      <c r="P69" s="7">
        <v>39838.049999999996</v>
      </c>
      <c r="Q69" s="2"/>
      <c r="R69" s="6">
        <f t="shared" si="25"/>
        <v>3.6356743808398539E-2</v>
      </c>
      <c r="S69" s="2"/>
      <c r="T69" s="7">
        <v>34357.375519999994</v>
      </c>
      <c r="U69" s="2"/>
      <c r="V69" s="6">
        <f t="shared" si="26"/>
        <v>1.879620453977238E-2</v>
      </c>
      <c r="W69" s="2"/>
      <c r="X69" s="7">
        <f t="shared" si="27"/>
        <v>5480.6744800000015</v>
      </c>
      <c r="Y69" s="2"/>
      <c r="Z69" s="6">
        <f t="shared" si="28"/>
        <v>0.15951959068612825</v>
      </c>
    </row>
    <row r="70" spans="1:26" s="24" customFormat="1" hidden="1" outlineLevel="2" x14ac:dyDescent="0.25">
      <c r="A70" s="29"/>
      <c r="B70" s="11" t="str">
        <f>CONCATENATE("          ", "6005", " - ", "TEMPORARY WAGES-HOURLY")</f>
        <v xml:space="preserve">          6005 - TEMPORARY WAGES-HOURLY</v>
      </c>
      <c r="C70" s="11"/>
      <c r="D70" s="7"/>
      <c r="E70" s="2"/>
      <c r="F70" s="6">
        <f t="shared" si="21"/>
        <v>0</v>
      </c>
      <c r="G70" s="2"/>
      <c r="H70" s="7">
        <v>3819</v>
      </c>
      <c r="I70" s="2"/>
      <c r="J70" s="6">
        <f t="shared" si="22"/>
        <v>6.7309387006944194E-2</v>
      </c>
      <c r="K70" s="2"/>
      <c r="L70" s="7">
        <f t="shared" si="23"/>
        <v>-3819</v>
      </c>
      <c r="M70" s="2"/>
      <c r="N70" s="6">
        <f t="shared" si="24"/>
        <v>-1</v>
      </c>
      <c r="O70" s="11"/>
      <c r="P70" s="7">
        <v>12838</v>
      </c>
      <c r="Q70" s="2"/>
      <c r="R70" s="6">
        <f t="shared" si="25"/>
        <v>1.1716132617239562E-2</v>
      </c>
      <c r="S70" s="2"/>
      <c r="T70" s="7">
        <v>20919</v>
      </c>
      <c r="U70" s="2"/>
      <c r="V70" s="6">
        <f t="shared" si="26"/>
        <v>1.1444349191882001E-2</v>
      </c>
      <c r="W70" s="2"/>
      <c r="X70" s="7">
        <f t="shared" si="27"/>
        <v>-8081</v>
      </c>
      <c r="Y70" s="2"/>
      <c r="Z70" s="6">
        <f t="shared" si="28"/>
        <v>-0.38629953630670683</v>
      </c>
    </row>
    <row r="71" spans="1:26" s="24" customFormat="1" hidden="1" outlineLevel="2" x14ac:dyDescent="0.25">
      <c r="A71" s="29"/>
      <c r="B71" s="11" t="str">
        <f>CONCATENATE("          ", "6006", " - ", "TEMPORARY PART TIME")</f>
        <v xml:space="preserve">          6006 - TEMPORARY PART TIME</v>
      </c>
      <c r="C71" s="11"/>
      <c r="D71" s="7"/>
      <c r="E71" s="2"/>
      <c r="F71" s="6">
        <f t="shared" si="21"/>
        <v>0</v>
      </c>
      <c r="G71" s="2"/>
      <c r="H71" s="7">
        <v>0</v>
      </c>
      <c r="I71" s="2"/>
      <c r="J71" s="6">
        <f t="shared" si="22"/>
        <v>0</v>
      </c>
      <c r="K71" s="2"/>
      <c r="L71" s="7">
        <f t="shared" si="23"/>
        <v>0</v>
      </c>
      <c r="M71" s="2"/>
      <c r="N71" s="6">
        <f t="shared" si="24"/>
        <v>0</v>
      </c>
      <c r="O71" s="11"/>
      <c r="P71" s="7">
        <v>502.29</v>
      </c>
      <c r="Q71" s="2"/>
      <c r="R71" s="6">
        <f t="shared" si="25"/>
        <v>4.5839665464350051E-4</v>
      </c>
      <c r="S71" s="2"/>
      <c r="T71" s="7">
        <v>0</v>
      </c>
      <c r="U71" s="2"/>
      <c r="V71" s="6">
        <f t="shared" si="26"/>
        <v>0</v>
      </c>
      <c r="W71" s="2"/>
      <c r="X71" s="7">
        <f t="shared" si="27"/>
        <v>502.29</v>
      </c>
      <c r="Y71" s="2"/>
      <c r="Z71" s="6">
        <f t="shared" si="28"/>
        <v>0</v>
      </c>
    </row>
    <row r="72" spans="1:26" s="24" customFormat="1" hidden="1" outlineLevel="2" x14ac:dyDescent="0.25">
      <c r="A72" s="29"/>
      <c r="B72" s="11" t="str">
        <f>CONCATENATE("          ", "6007", " - ", "STUDENT HOURLY")</f>
        <v xml:space="preserve">          6007 - STUDENT HOURLY</v>
      </c>
      <c r="C72" s="11"/>
      <c r="D72" s="7">
        <v>2829.57</v>
      </c>
      <c r="E72" s="2"/>
      <c r="F72" s="6">
        <f t="shared" si="21"/>
        <v>0.20735785217901734</v>
      </c>
      <c r="G72" s="2"/>
      <c r="H72" s="7">
        <v>275</v>
      </c>
      <c r="I72" s="2"/>
      <c r="J72" s="6">
        <f t="shared" si="22"/>
        <v>4.8468398604110119E-3</v>
      </c>
      <c r="K72" s="2"/>
      <c r="L72" s="7">
        <f t="shared" si="23"/>
        <v>2554.5700000000002</v>
      </c>
      <c r="M72" s="2"/>
      <c r="N72" s="6">
        <f t="shared" si="24"/>
        <v>9.2893454545454546</v>
      </c>
      <c r="O72" s="11"/>
      <c r="P72" s="7">
        <v>16041.849999999999</v>
      </c>
      <c r="Q72" s="2"/>
      <c r="R72" s="6">
        <f t="shared" si="25"/>
        <v>1.4640009505052535E-2</v>
      </c>
      <c r="S72" s="2"/>
      <c r="T72" s="7">
        <v>13662.5</v>
      </c>
      <c r="U72" s="2"/>
      <c r="V72" s="6">
        <f t="shared" si="26"/>
        <v>7.4744691827567213E-3</v>
      </c>
      <c r="W72" s="2"/>
      <c r="X72" s="7">
        <f t="shared" si="27"/>
        <v>2379.3499999999985</v>
      </c>
      <c r="Y72" s="2"/>
      <c r="Z72" s="6">
        <f t="shared" si="28"/>
        <v>0.17415187557182057</v>
      </c>
    </row>
    <row r="73" spans="1:26" s="24" customFormat="1" hidden="1" outlineLevel="2" x14ac:dyDescent="0.25">
      <c r="A73" s="29"/>
      <c r="B73" s="11" t="str">
        <f>CONCATENATE("          ", "6008", " - ", "STUDENT HOURLY-FICA EXEMPT")</f>
        <v xml:space="preserve">          6008 - STUDENT HOURLY-FICA EXEMPT</v>
      </c>
      <c r="C73" s="11"/>
      <c r="D73" s="7"/>
      <c r="E73" s="2"/>
      <c r="F73" s="6">
        <f t="shared" si="21"/>
        <v>0</v>
      </c>
      <c r="G73" s="2"/>
      <c r="H73" s="7">
        <v>1100</v>
      </c>
      <c r="I73" s="2"/>
      <c r="J73" s="6">
        <f t="shared" si="22"/>
        <v>1.9387359441644048E-2</v>
      </c>
      <c r="K73" s="2"/>
      <c r="L73" s="7">
        <f t="shared" si="23"/>
        <v>-1100</v>
      </c>
      <c r="M73" s="2"/>
      <c r="N73" s="6">
        <f t="shared" si="24"/>
        <v>-1</v>
      </c>
      <c r="O73" s="11"/>
      <c r="P73" s="7"/>
      <c r="Q73" s="2"/>
      <c r="R73" s="6">
        <f t="shared" si="25"/>
        <v>0</v>
      </c>
      <c r="S73" s="2"/>
      <c r="T73" s="7">
        <v>31128.75</v>
      </c>
      <c r="U73" s="2"/>
      <c r="V73" s="6">
        <f t="shared" si="26"/>
        <v>1.7029890764701794E-2</v>
      </c>
      <c r="W73" s="2"/>
      <c r="X73" s="7">
        <f t="shared" si="27"/>
        <v>-31128.75</v>
      </c>
      <c r="Y73" s="2"/>
      <c r="Z73" s="6">
        <f t="shared" si="28"/>
        <v>-1</v>
      </c>
    </row>
    <row r="74" spans="1:26" s="24" customFormat="1" hidden="1" outlineLevel="2" x14ac:dyDescent="0.25">
      <c r="A74" s="29"/>
      <c r="B74" s="11" t="str">
        <f>CONCATENATE("          ", "6009", " - ", "TEMPORARY-SEASONAL")</f>
        <v xml:space="preserve">          6009 - TEMPORARY-SEASONAL</v>
      </c>
      <c r="C74" s="11"/>
      <c r="D74" s="7"/>
      <c r="E74" s="2"/>
      <c r="F74" s="6">
        <f t="shared" si="21"/>
        <v>0</v>
      </c>
      <c r="G74" s="2"/>
      <c r="H74" s="7">
        <v>0</v>
      </c>
      <c r="I74" s="2"/>
      <c r="J74" s="6">
        <f t="shared" si="22"/>
        <v>0</v>
      </c>
      <c r="K74" s="2"/>
      <c r="L74" s="7">
        <f t="shared" si="23"/>
        <v>0</v>
      </c>
      <c r="M74" s="2"/>
      <c r="N74" s="6">
        <f t="shared" si="24"/>
        <v>0</v>
      </c>
      <c r="O74" s="11"/>
      <c r="P74" s="7"/>
      <c r="Q74" s="2"/>
      <c r="R74" s="6">
        <f t="shared" si="25"/>
        <v>0</v>
      </c>
      <c r="S74" s="2"/>
      <c r="T74" s="7">
        <v>0</v>
      </c>
      <c r="U74" s="2"/>
      <c r="V74" s="6">
        <f t="shared" si="26"/>
        <v>0</v>
      </c>
      <c r="W74" s="2"/>
      <c r="X74" s="7">
        <f t="shared" si="27"/>
        <v>0</v>
      </c>
      <c r="Y74" s="2"/>
      <c r="Z74" s="6">
        <f t="shared" si="28"/>
        <v>0</v>
      </c>
    </row>
    <row r="75" spans="1:26" s="24" customFormat="1" hidden="1" outlineLevel="2" x14ac:dyDescent="0.25">
      <c r="A75" s="29"/>
      <c r="B75" s="11" t="str">
        <f>CONCATENATE("          ", "6010", " - ", "GRATUITY")</f>
        <v xml:space="preserve">          6010 - GRATUITY</v>
      </c>
      <c r="C75" s="11"/>
      <c r="D75" s="7"/>
      <c r="E75" s="2"/>
      <c r="F75" s="6">
        <f t="shared" si="21"/>
        <v>0</v>
      </c>
      <c r="G75" s="2"/>
      <c r="H75" s="7">
        <v>0</v>
      </c>
      <c r="I75" s="2"/>
      <c r="J75" s="6">
        <f t="shared" si="22"/>
        <v>0</v>
      </c>
      <c r="K75" s="2"/>
      <c r="L75" s="7">
        <f t="shared" si="23"/>
        <v>0</v>
      </c>
      <c r="M75" s="2"/>
      <c r="N75" s="6">
        <f t="shared" si="24"/>
        <v>0</v>
      </c>
      <c r="O75" s="11"/>
      <c r="P75" s="7"/>
      <c r="Q75" s="2"/>
      <c r="R75" s="6">
        <f t="shared" si="25"/>
        <v>0</v>
      </c>
      <c r="S75" s="2"/>
      <c r="T75" s="7">
        <v>0</v>
      </c>
      <c r="U75" s="2"/>
      <c r="V75" s="6">
        <f t="shared" si="26"/>
        <v>0</v>
      </c>
      <c r="W75" s="2"/>
      <c r="X75" s="7">
        <f t="shared" si="27"/>
        <v>0</v>
      </c>
      <c r="Y75" s="2"/>
      <c r="Z75" s="6">
        <f t="shared" si="28"/>
        <v>0</v>
      </c>
    </row>
    <row r="76" spans="1:26" s="28" customFormat="1" outlineLevel="1" collapsed="1" x14ac:dyDescent="0.25">
      <c r="A76" s="27"/>
      <c r="B76" s="14" t="str">
        <f>CONCATENATE("     ","Advertising/Promo                                 ")</f>
        <v xml:space="preserve">     Advertising/Promo                                 </v>
      </c>
      <c r="C76" s="14"/>
      <c r="D76" s="1">
        <f>SUM(OSRRefD22_2x_0)</f>
        <v>70.56</v>
      </c>
      <c r="E76" s="1"/>
      <c r="F76" s="5">
        <f t="shared" ref="F76:F86" si="29">IF(D$12=0,0,D76/D$12)</f>
        <v>5.1708104234040727E-3</v>
      </c>
      <c r="G76" s="1"/>
      <c r="H76" s="1">
        <f>SUM(OSRRefH22_2x_0)</f>
        <v>500</v>
      </c>
      <c r="I76" s="1"/>
      <c r="J76" s="5">
        <f t="shared" ref="J76:J86" si="30">IF(H$12=0,0,H76/H$12)</f>
        <v>8.8124361098382044E-3</v>
      </c>
      <c r="K76" s="1"/>
      <c r="L76" s="1">
        <f t="shared" ref="L76:L86" si="31">+D76-H76</f>
        <v>-429.44</v>
      </c>
      <c r="M76" s="1"/>
      <c r="N76" s="5">
        <f t="shared" ref="N76:N86" si="32">IF(H76=0,0,L76/H76)</f>
        <v>-0.85887999999999998</v>
      </c>
      <c r="O76" s="14"/>
      <c r="P76" s="1">
        <f>SUM(OSRRefP22_2x_0)</f>
        <v>1430.44</v>
      </c>
      <c r="Q76" s="1"/>
      <c r="R76" s="5">
        <f t="shared" ref="R76:R86" si="33">IF(P$12=0,0,P76/P$12)</f>
        <v>1.305438911123552E-3</v>
      </c>
      <c r="S76" s="1"/>
      <c r="T76" s="1">
        <f>SUM(OSRRefT22_2x_0)</f>
        <v>1850</v>
      </c>
      <c r="U76" s="1"/>
      <c r="V76" s="5">
        <f t="shared" ref="V76:V86" si="34">IF(T$12=0,0,T76/T$12)</f>
        <v>1.0120964675644965E-3</v>
      </c>
      <c r="W76" s="1"/>
      <c r="X76" s="1">
        <f t="shared" ref="X76:X86" si="35">+P76-T76</f>
        <v>-419.55999999999995</v>
      </c>
      <c r="Y76" s="1"/>
      <c r="Z76" s="5">
        <f t="shared" ref="Z76:Z86" si="36">IF(T76=0,0,X76/T76)</f>
        <v>-0.22678918918918917</v>
      </c>
    </row>
    <row r="77" spans="1:26" s="24" customFormat="1" hidden="1" outlineLevel="2" x14ac:dyDescent="0.25">
      <c r="A77" s="29"/>
      <c r="B77" s="11" t="str">
        <f>CONCATENATE("          ", "6362", " - ", "ADVERTISING EXPENSE")</f>
        <v xml:space="preserve">          6362 - ADVERTISING EXPENSE</v>
      </c>
      <c r="C77" s="11"/>
      <c r="D77" s="7">
        <v>70.56</v>
      </c>
      <c r="E77" s="2"/>
      <c r="F77" s="6">
        <f t="shared" si="29"/>
        <v>5.1708104234040727E-3</v>
      </c>
      <c r="G77" s="2"/>
      <c r="H77" s="7">
        <v>500</v>
      </c>
      <c r="I77" s="2"/>
      <c r="J77" s="6">
        <f t="shared" si="30"/>
        <v>8.8124361098382044E-3</v>
      </c>
      <c r="K77" s="2"/>
      <c r="L77" s="7">
        <f t="shared" si="31"/>
        <v>-429.44</v>
      </c>
      <c r="M77" s="2"/>
      <c r="N77" s="6">
        <f t="shared" si="32"/>
        <v>-0.85887999999999998</v>
      </c>
      <c r="O77" s="11"/>
      <c r="P77" s="7">
        <v>1430.44</v>
      </c>
      <c r="Q77" s="2"/>
      <c r="R77" s="6">
        <f t="shared" si="33"/>
        <v>1.305438911123552E-3</v>
      </c>
      <c r="S77" s="2"/>
      <c r="T77" s="7">
        <v>1850</v>
      </c>
      <c r="U77" s="2"/>
      <c r="V77" s="6">
        <f t="shared" si="34"/>
        <v>1.0120964675644965E-3</v>
      </c>
      <c r="W77" s="2"/>
      <c r="X77" s="7">
        <f t="shared" si="35"/>
        <v>-419.55999999999995</v>
      </c>
      <c r="Y77" s="2"/>
      <c r="Z77" s="6">
        <f t="shared" si="36"/>
        <v>-0.22678918918918917</v>
      </c>
    </row>
    <row r="78" spans="1:26" s="28" customFormat="1" outlineLevel="1" collapsed="1" x14ac:dyDescent="0.25">
      <c r="A78" s="27"/>
      <c r="B78" s="14" t="str">
        <f>CONCATENATE("     ","Discounts and Markdowns                           ")</f>
        <v xml:space="preserve">     Discounts and Markdowns                           </v>
      </c>
      <c r="C78" s="14"/>
      <c r="D78" s="1">
        <f>SUM(OSRRefD22_3x_0)</f>
        <v>0</v>
      </c>
      <c r="E78" s="1"/>
      <c r="F78" s="5">
        <f t="shared" si="29"/>
        <v>0</v>
      </c>
      <c r="G78" s="1"/>
      <c r="H78" s="1">
        <f>SUM(OSRRefH22_3x_0)</f>
        <v>1200</v>
      </c>
      <c r="I78" s="1"/>
      <c r="J78" s="5">
        <f t="shared" si="30"/>
        <v>2.114984666361169E-2</v>
      </c>
      <c r="K78" s="1"/>
      <c r="L78" s="1">
        <f t="shared" si="31"/>
        <v>-1200</v>
      </c>
      <c r="M78" s="1"/>
      <c r="N78" s="5">
        <f t="shared" si="32"/>
        <v>-1</v>
      </c>
      <c r="O78" s="14"/>
      <c r="P78" s="1">
        <f>SUM(OSRRefP22_3x_0)</f>
        <v>0</v>
      </c>
      <c r="Q78" s="1"/>
      <c r="R78" s="5">
        <f t="shared" si="33"/>
        <v>0</v>
      </c>
      <c r="S78" s="1"/>
      <c r="T78" s="1">
        <f>SUM(OSRRefT22_3x_0)</f>
        <v>10000</v>
      </c>
      <c r="U78" s="1"/>
      <c r="V78" s="5">
        <f t="shared" si="34"/>
        <v>5.4707917165648465E-3</v>
      </c>
      <c r="W78" s="1"/>
      <c r="X78" s="1">
        <f t="shared" si="35"/>
        <v>-10000</v>
      </c>
      <c r="Y78" s="1"/>
      <c r="Z78" s="5">
        <f t="shared" si="36"/>
        <v>-1</v>
      </c>
    </row>
    <row r="79" spans="1:26" s="24" customFormat="1" hidden="1" outlineLevel="2" x14ac:dyDescent="0.25">
      <c r="A79" s="29"/>
      <c r="B79" s="11" t="str">
        <f>CONCATENATE("          ", "6382", " - ", "DISCOUNTS/MARK DOWNS")</f>
        <v xml:space="preserve">          6382 - DISCOUNTS/MARK DOWNS</v>
      </c>
      <c r="C79" s="11"/>
      <c r="D79" s="7"/>
      <c r="E79" s="2"/>
      <c r="F79" s="6">
        <f t="shared" si="29"/>
        <v>0</v>
      </c>
      <c r="G79" s="2"/>
      <c r="H79" s="7">
        <v>1200</v>
      </c>
      <c r="I79" s="2"/>
      <c r="J79" s="6">
        <f t="shared" si="30"/>
        <v>2.114984666361169E-2</v>
      </c>
      <c r="K79" s="2"/>
      <c r="L79" s="7">
        <f t="shared" si="31"/>
        <v>-1200</v>
      </c>
      <c r="M79" s="2"/>
      <c r="N79" s="6">
        <f t="shared" si="32"/>
        <v>-1</v>
      </c>
      <c r="O79" s="11"/>
      <c r="P79" s="7"/>
      <c r="Q79" s="2"/>
      <c r="R79" s="6">
        <f t="shared" si="33"/>
        <v>0</v>
      </c>
      <c r="S79" s="2"/>
      <c r="T79" s="7">
        <v>10000</v>
      </c>
      <c r="U79" s="2"/>
      <c r="V79" s="6">
        <f t="shared" si="34"/>
        <v>5.4707917165648465E-3</v>
      </c>
      <c r="W79" s="2"/>
      <c r="X79" s="7">
        <f t="shared" si="35"/>
        <v>-10000</v>
      </c>
      <c r="Y79" s="2"/>
      <c r="Z79" s="6">
        <f t="shared" si="36"/>
        <v>-1</v>
      </c>
    </row>
    <row r="80" spans="1:26" s="28" customFormat="1" outlineLevel="1" collapsed="1" x14ac:dyDescent="0.25">
      <c r="A80" s="27"/>
      <c r="B80" s="14" t="str">
        <f>CONCATENATE("     ","Employees' Appreciation                           ")</f>
        <v xml:space="preserve">     Employees' Appreciation                           </v>
      </c>
      <c r="C80" s="14"/>
      <c r="D80" s="1">
        <f>SUM(OSRRefD22_4x_0)</f>
        <v>0</v>
      </c>
      <c r="E80" s="1"/>
      <c r="F80" s="5">
        <f t="shared" si="29"/>
        <v>0</v>
      </c>
      <c r="G80" s="1"/>
      <c r="H80" s="1">
        <f>SUM(OSRRefH22_4x_0)</f>
        <v>75</v>
      </c>
      <c r="I80" s="1"/>
      <c r="J80" s="5">
        <f t="shared" si="30"/>
        <v>1.3218654164757306E-3</v>
      </c>
      <c r="K80" s="1"/>
      <c r="L80" s="1">
        <f t="shared" si="31"/>
        <v>-75</v>
      </c>
      <c r="M80" s="1"/>
      <c r="N80" s="5">
        <f t="shared" si="32"/>
        <v>-1</v>
      </c>
      <c r="O80" s="14"/>
      <c r="P80" s="1">
        <f>SUM(OSRRefP22_4x_0)</f>
        <v>107.7</v>
      </c>
      <c r="Q80" s="1"/>
      <c r="R80" s="5">
        <f t="shared" si="33"/>
        <v>9.8288478180144954E-5</v>
      </c>
      <c r="S80" s="1"/>
      <c r="T80" s="1">
        <f>SUM(OSRRefT22_4x_0)</f>
        <v>450</v>
      </c>
      <c r="U80" s="1"/>
      <c r="V80" s="5">
        <f t="shared" si="34"/>
        <v>2.461856272454181E-4</v>
      </c>
      <c r="W80" s="1"/>
      <c r="X80" s="1">
        <f t="shared" si="35"/>
        <v>-342.3</v>
      </c>
      <c r="Y80" s="1"/>
      <c r="Z80" s="5">
        <f t="shared" si="36"/>
        <v>-0.76066666666666671</v>
      </c>
    </row>
    <row r="81" spans="1:26" s="24" customFormat="1" hidden="1" outlineLevel="2" x14ac:dyDescent="0.25">
      <c r="A81" s="29"/>
      <c r="B81" s="11" t="str">
        <f>CONCATENATE("          ", "6277", " - ", "EMPLOYEE APPRECIATION")</f>
        <v xml:space="preserve">          6277 - EMPLOYEE APPRECIATION</v>
      </c>
      <c r="C81" s="11"/>
      <c r="D81" s="7"/>
      <c r="E81" s="2"/>
      <c r="F81" s="6">
        <f t="shared" si="29"/>
        <v>0</v>
      </c>
      <c r="G81" s="2"/>
      <c r="H81" s="7">
        <v>75</v>
      </c>
      <c r="I81" s="2"/>
      <c r="J81" s="6">
        <f t="shared" si="30"/>
        <v>1.3218654164757306E-3</v>
      </c>
      <c r="K81" s="2"/>
      <c r="L81" s="7">
        <f t="shared" si="31"/>
        <v>-75</v>
      </c>
      <c r="M81" s="2"/>
      <c r="N81" s="6">
        <f t="shared" si="32"/>
        <v>-1</v>
      </c>
      <c r="O81" s="11"/>
      <c r="P81" s="7">
        <v>107.7</v>
      </c>
      <c r="Q81" s="2"/>
      <c r="R81" s="6">
        <f t="shared" si="33"/>
        <v>9.8288478180144954E-5</v>
      </c>
      <c r="S81" s="2"/>
      <c r="T81" s="7">
        <v>450</v>
      </c>
      <c r="U81" s="2"/>
      <c r="V81" s="6">
        <f t="shared" si="34"/>
        <v>2.461856272454181E-4</v>
      </c>
      <c r="W81" s="2"/>
      <c r="X81" s="7">
        <f t="shared" si="35"/>
        <v>-342.3</v>
      </c>
      <c r="Y81" s="2"/>
      <c r="Z81" s="6">
        <f t="shared" si="36"/>
        <v>-0.76066666666666671</v>
      </c>
    </row>
    <row r="82" spans="1:26" s="28" customFormat="1" outlineLevel="1" collapsed="1" x14ac:dyDescent="0.25">
      <c r="A82" s="27"/>
      <c r="B82" s="14" t="str">
        <f>CONCATENATE("     ","Equipment Rental                                  ")</f>
        <v xml:space="preserve">     Equipment Rental                                  </v>
      </c>
      <c r="C82" s="14"/>
      <c r="D82" s="1">
        <f>SUM(OSRRefD22_5x_0)</f>
        <v>0</v>
      </c>
      <c r="E82" s="1"/>
      <c r="F82" s="5">
        <f t="shared" si="29"/>
        <v>0</v>
      </c>
      <c r="G82" s="1"/>
      <c r="H82" s="1">
        <f>SUM(OSRRefH22_5x_0)</f>
        <v>100</v>
      </c>
      <c r="I82" s="1"/>
      <c r="J82" s="5">
        <f t="shared" si="30"/>
        <v>1.7624872219676407E-3</v>
      </c>
      <c r="K82" s="1"/>
      <c r="L82" s="1">
        <f t="shared" si="31"/>
        <v>-100</v>
      </c>
      <c r="M82" s="1"/>
      <c r="N82" s="5">
        <f t="shared" si="32"/>
        <v>-1</v>
      </c>
      <c r="O82" s="14"/>
      <c r="P82" s="1">
        <f>SUM(OSRRefP22_5x_0)</f>
        <v>547.55999999999995</v>
      </c>
      <c r="Q82" s="1"/>
      <c r="R82" s="5">
        <f t="shared" si="33"/>
        <v>4.9971066956657536E-4</v>
      </c>
      <c r="S82" s="1"/>
      <c r="T82" s="1">
        <f>SUM(OSRRefT22_5x_0)</f>
        <v>600</v>
      </c>
      <c r="U82" s="1"/>
      <c r="V82" s="5">
        <f t="shared" si="34"/>
        <v>3.2824750299389078E-4</v>
      </c>
      <c r="W82" s="1"/>
      <c r="X82" s="1">
        <f t="shared" si="35"/>
        <v>-52.440000000000055</v>
      </c>
      <c r="Y82" s="1"/>
      <c r="Z82" s="5">
        <f t="shared" si="36"/>
        <v>-8.7400000000000089E-2</v>
      </c>
    </row>
    <row r="83" spans="1:26" s="24" customFormat="1" hidden="1" outlineLevel="2" x14ac:dyDescent="0.25">
      <c r="A83" s="29"/>
      <c r="B83" s="11" t="str">
        <f>CONCATENATE("          ", "6351", " - ", "EQUIPMENT RENTAL")</f>
        <v xml:space="preserve">          6351 - EQUIPMENT RENTAL</v>
      </c>
      <c r="C83" s="11"/>
      <c r="D83" s="7"/>
      <c r="E83" s="2"/>
      <c r="F83" s="6">
        <f t="shared" si="29"/>
        <v>0</v>
      </c>
      <c r="G83" s="2"/>
      <c r="H83" s="7">
        <v>100</v>
      </c>
      <c r="I83" s="2"/>
      <c r="J83" s="6">
        <f t="shared" si="30"/>
        <v>1.7624872219676407E-3</v>
      </c>
      <c r="K83" s="2"/>
      <c r="L83" s="7">
        <f t="shared" si="31"/>
        <v>-100</v>
      </c>
      <c r="M83" s="2"/>
      <c r="N83" s="6">
        <f t="shared" si="32"/>
        <v>-1</v>
      </c>
      <c r="O83" s="11"/>
      <c r="P83" s="7">
        <v>547.55999999999995</v>
      </c>
      <c r="Q83" s="2"/>
      <c r="R83" s="6">
        <f t="shared" si="33"/>
        <v>4.9971066956657536E-4</v>
      </c>
      <c r="S83" s="2"/>
      <c r="T83" s="7">
        <v>600</v>
      </c>
      <c r="U83" s="2"/>
      <c r="V83" s="6">
        <f t="shared" si="34"/>
        <v>3.2824750299389078E-4</v>
      </c>
      <c r="W83" s="2"/>
      <c r="X83" s="7">
        <f t="shared" si="35"/>
        <v>-52.440000000000055</v>
      </c>
      <c r="Y83" s="2"/>
      <c r="Z83" s="6">
        <f t="shared" si="36"/>
        <v>-8.7400000000000089E-2</v>
      </c>
    </row>
    <row r="84" spans="1:26" s="28" customFormat="1" outlineLevel="1" collapsed="1" x14ac:dyDescent="0.25">
      <c r="A84" s="27"/>
      <c r="B84" s="14" t="str">
        <f>CONCATENATE("     ","Freight out/Postage                               ")</f>
        <v xml:space="preserve">     Freight out/Postage                               </v>
      </c>
      <c r="C84" s="14"/>
      <c r="D84" s="1">
        <f>SUM(OSRRefD22_6x_0)</f>
        <v>4167.2</v>
      </c>
      <c r="E84" s="1"/>
      <c r="F84" s="5">
        <f t="shared" si="29"/>
        <v>0.30538267001714076</v>
      </c>
      <c r="G84" s="1"/>
      <c r="H84" s="1">
        <f>SUM(OSRRefH22_6x_0)</f>
        <v>1800</v>
      </c>
      <c r="I84" s="1"/>
      <c r="J84" s="5">
        <f t="shared" si="30"/>
        <v>3.1724769995417533E-2</v>
      </c>
      <c r="K84" s="1"/>
      <c r="L84" s="1">
        <f t="shared" si="31"/>
        <v>2367.1999999999998</v>
      </c>
      <c r="M84" s="1"/>
      <c r="N84" s="5">
        <f t="shared" si="32"/>
        <v>1.3151111111111111</v>
      </c>
      <c r="O84" s="14"/>
      <c r="P84" s="1">
        <f>SUM(OSRRefP22_6x_0)</f>
        <v>8898.0300000000007</v>
      </c>
      <c r="Q84" s="1"/>
      <c r="R84" s="5">
        <f t="shared" si="33"/>
        <v>8.1204626508939205E-3</v>
      </c>
      <c r="S84" s="1"/>
      <c r="T84" s="1">
        <f>SUM(OSRRefT22_6x_0)</f>
        <v>11500</v>
      </c>
      <c r="U84" s="1"/>
      <c r="V84" s="5">
        <f t="shared" si="34"/>
        <v>6.2914104740495729E-3</v>
      </c>
      <c r="W84" s="1"/>
      <c r="X84" s="1">
        <f t="shared" si="35"/>
        <v>-2601.9699999999993</v>
      </c>
      <c r="Y84" s="1"/>
      <c r="Z84" s="5">
        <f t="shared" si="36"/>
        <v>-0.22625826086956516</v>
      </c>
    </row>
    <row r="85" spans="1:26" s="24" customFormat="1" hidden="1" outlineLevel="2" x14ac:dyDescent="0.25">
      <c r="A85" s="29"/>
      <c r="B85" s="11" t="str">
        <f>CONCATENATE("          ", "6305", " - ", "FREIGHT OUT")</f>
        <v xml:space="preserve">          6305 - FREIGHT OUT</v>
      </c>
      <c r="C85" s="11"/>
      <c r="D85" s="7">
        <v>3867.2</v>
      </c>
      <c r="E85" s="2"/>
      <c r="F85" s="6">
        <f t="shared" si="29"/>
        <v>0.28339793182239553</v>
      </c>
      <c r="G85" s="2"/>
      <c r="H85" s="7">
        <v>1800</v>
      </c>
      <c r="I85" s="2"/>
      <c r="J85" s="6">
        <f t="shared" si="30"/>
        <v>3.1724769995417533E-2</v>
      </c>
      <c r="K85" s="2"/>
      <c r="L85" s="7">
        <f t="shared" si="31"/>
        <v>2067.1999999999998</v>
      </c>
      <c r="M85" s="2"/>
      <c r="N85" s="6">
        <f t="shared" si="32"/>
        <v>1.1484444444444444</v>
      </c>
      <c r="O85" s="11"/>
      <c r="P85" s="7">
        <v>8598.0300000000007</v>
      </c>
      <c r="Q85" s="2"/>
      <c r="R85" s="6">
        <f t="shared" si="33"/>
        <v>7.8466785891107872E-3</v>
      </c>
      <c r="S85" s="2"/>
      <c r="T85" s="7">
        <v>11500</v>
      </c>
      <c r="U85" s="2"/>
      <c r="V85" s="6">
        <f t="shared" si="34"/>
        <v>6.2914104740495729E-3</v>
      </c>
      <c r="W85" s="2"/>
      <c r="X85" s="7">
        <f t="shared" si="35"/>
        <v>-2901.9699999999993</v>
      </c>
      <c r="Y85" s="2"/>
      <c r="Z85" s="6">
        <f t="shared" si="36"/>
        <v>-0.25234521739130428</v>
      </c>
    </row>
    <row r="86" spans="1:26" s="24" customFormat="1" hidden="1" outlineLevel="2" x14ac:dyDescent="0.25">
      <c r="A86" s="29"/>
      <c r="B86" s="11" t="str">
        <f>CONCATENATE("          ", "6307", " - ", "POSTAGE")</f>
        <v xml:space="preserve">          6307 - POSTAGE</v>
      </c>
      <c r="C86" s="11"/>
      <c r="D86" s="7">
        <v>300</v>
      </c>
      <c r="E86" s="2"/>
      <c r="F86" s="6">
        <f t="shared" si="29"/>
        <v>2.1984738194745206E-2</v>
      </c>
      <c r="G86" s="2"/>
      <c r="H86" s="7"/>
      <c r="I86" s="2"/>
      <c r="J86" s="6">
        <f t="shared" si="30"/>
        <v>0</v>
      </c>
      <c r="K86" s="2"/>
      <c r="L86" s="7">
        <f t="shared" si="31"/>
        <v>300</v>
      </c>
      <c r="M86" s="2"/>
      <c r="N86" s="6">
        <f t="shared" si="32"/>
        <v>0</v>
      </c>
      <c r="O86" s="11"/>
      <c r="P86" s="7">
        <v>300</v>
      </c>
      <c r="Q86" s="2"/>
      <c r="R86" s="6">
        <f t="shared" si="33"/>
        <v>2.7378406178313357E-4</v>
      </c>
      <c r="S86" s="2"/>
      <c r="T86" s="7"/>
      <c r="U86" s="2"/>
      <c r="V86" s="6">
        <f t="shared" si="34"/>
        <v>0</v>
      </c>
      <c r="W86" s="2"/>
      <c r="X86" s="7">
        <f t="shared" si="35"/>
        <v>300</v>
      </c>
      <c r="Y86" s="2"/>
      <c r="Z86" s="6">
        <f t="shared" si="36"/>
        <v>0</v>
      </c>
    </row>
    <row r="87" spans="1:26" s="28" customFormat="1" outlineLevel="1" collapsed="1" x14ac:dyDescent="0.25">
      <c r="A87" s="27"/>
      <c r="B87" s="14" t="str">
        <f>CONCATENATE("     ","General                                           ")</f>
        <v xml:space="preserve">     General                                           </v>
      </c>
      <c r="C87" s="14"/>
      <c r="D87" s="1">
        <f>SUM(OSRRefD22_7x_0)</f>
        <v>-0.99</v>
      </c>
      <c r="E87" s="1"/>
      <c r="F87" s="5">
        <f t="shared" ref="F87:F89" si="37">IF(D$12=0,0,D87/D$12)</f>
        <v>-7.2549636042659187E-5</v>
      </c>
      <c r="G87" s="1"/>
      <c r="H87" s="1">
        <f>SUM(OSRRefH22_7x_0)</f>
        <v>0</v>
      </c>
      <c r="I87" s="1"/>
      <c r="J87" s="5">
        <f t="shared" ref="J87:J89" si="38">IF(H$12=0,0,H87/H$12)</f>
        <v>0</v>
      </c>
      <c r="K87" s="1"/>
      <c r="L87" s="1">
        <f t="shared" ref="L87:L89" si="39">+D87-H87</f>
        <v>-0.99</v>
      </c>
      <c r="M87" s="1"/>
      <c r="N87" s="5">
        <f t="shared" ref="N87:N89" si="40">IF(H87=0,0,L87/H87)</f>
        <v>0</v>
      </c>
      <c r="O87" s="14"/>
      <c r="P87" s="1">
        <f>SUM(OSRRefP22_7x_0)</f>
        <v>-1042.45</v>
      </c>
      <c r="Q87" s="1"/>
      <c r="R87" s="5">
        <f t="shared" ref="R87:R89" si="41">IF(P$12=0,0,P87/P$12)</f>
        <v>-9.5135398401942524E-4</v>
      </c>
      <c r="S87" s="1"/>
      <c r="T87" s="1">
        <f>SUM(OSRRefT22_7x_0)</f>
        <v>1375</v>
      </c>
      <c r="U87" s="1"/>
      <c r="V87" s="5">
        <f t="shared" ref="V87:V89" si="42">IF(T$12=0,0,T87/T$12)</f>
        <v>7.5223386102766631E-4</v>
      </c>
      <c r="W87" s="1"/>
      <c r="X87" s="1">
        <f t="shared" ref="X87:X89" si="43">+P87-T87</f>
        <v>-2417.4499999999998</v>
      </c>
      <c r="Y87" s="1"/>
      <c r="Z87" s="5">
        <f t="shared" ref="Z87:Z89" si="44">IF(T87=0,0,X87/T87)</f>
        <v>-1.7581454545454545</v>
      </c>
    </row>
    <row r="88" spans="1:26" s="24" customFormat="1" hidden="1" outlineLevel="2" x14ac:dyDescent="0.25">
      <c r="A88" s="29"/>
      <c r="B88" s="11" t="str">
        <f>CONCATENATE("          ", "6269", " - ", "ENTERTAINMENT")</f>
        <v xml:space="preserve">          6269 - ENTERTAINMENT</v>
      </c>
      <c r="C88" s="11"/>
      <c r="D88" s="7"/>
      <c r="E88" s="2"/>
      <c r="F88" s="6">
        <f t="shared" si="37"/>
        <v>0</v>
      </c>
      <c r="G88" s="2"/>
      <c r="H88" s="7">
        <v>0</v>
      </c>
      <c r="I88" s="2"/>
      <c r="J88" s="6">
        <f t="shared" si="38"/>
        <v>0</v>
      </c>
      <c r="K88" s="2"/>
      <c r="L88" s="7">
        <f t="shared" si="39"/>
        <v>0</v>
      </c>
      <c r="M88" s="2"/>
      <c r="N88" s="6">
        <f t="shared" si="40"/>
        <v>0</v>
      </c>
      <c r="O88" s="11"/>
      <c r="P88" s="7"/>
      <c r="Q88" s="2"/>
      <c r="R88" s="6">
        <f t="shared" si="41"/>
        <v>0</v>
      </c>
      <c r="S88" s="2"/>
      <c r="T88" s="7">
        <v>1375</v>
      </c>
      <c r="U88" s="2"/>
      <c r="V88" s="6">
        <f t="shared" si="42"/>
        <v>7.5223386102766631E-4</v>
      </c>
      <c r="W88" s="2"/>
      <c r="X88" s="7">
        <f t="shared" si="43"/>
        <v>-1375</v>
      </c>
      <c r="Y88" s="2"/>
      <c r="Z88" s="6">
        <f t="shared" si="44"/>
        <v>-1</v>
      </c>
    </row>
    <row r="89" spans="1:26" s="24" customFormat="1" hidden="1" outlineLevel="2" x14ac:dyDescent="0.25">
      <c r="A89" s="29"/>
      <c r="B89" s="11" t="str">
        <f>CONCATENATE("          ", "6279", " - ", "GENERAL EXPENSE")</f>
        <v xml:space="preserve">          6279 - GENERAL EXPENSE</v>
      </c>
      <c r="C89" s="11"/>
      <c r="D89" s="7">
        <v>-0.99</v>
      </c>
      <c r="E89" s="2"/>
      <c r="F89" s="6">
        <f t="shared" si="37"/>
        <v>-7.2549636042659187E-5</v>
      </c>
      <c r="G89" s="2"/>
      <c r="H89" s="7"/>
      <c r="I89" s="2"/>
      <c r="J89" s="6">
        <f t="shared" si="38"/>
        <v>0</v>
      </c>
      <c r="K89" s="2"/>
      <c r="L89" s="7">
        <f t="shared" si="39"/>
        <v>-0.99</v>
      </c>
      <c r="M89" s="2"/>
      <c r="N89" s="6">
        <f t="shared" si="40"/>
        <v>0</v>
      </c>
      <c r="O89" s="11"/>
      <c r="P89" s="7">
        <v>-1042.45</v>
      </c>
      <c r="Q89" s="2"/>
      <c r="R89" s="6">
        <f t="shared" si="41"/>
        <v>-9.5135398401942524E-4</v>
      </c>
      <c r="S89" s="2"/>
      <c r="T89" s="7"/>
      <c r="U89" s="2"/>
      <c r="V89" s="6">
        <f t="shared" si="42"/>
        <v>0</v>
      </c>
      <c r="W89" s="2"/>
      <c r="X89" s="7">
        <f t="shared" si="43"/>
        <v>-1042.45</v>
      </c>
      <c r="Y89" s="2"/>
      <c r="Z89" s="6">
        <f t="shared" si="44"/>
        <v>0</v>
      </c>
    </row>
    <row r="90" spans="1:26" s="28" customFormat="1" outlineLevel="1" collapsed="1" x14ac:dyDescent="0.25">
      <c r="A90" s="27"/>
      <c r="B90" s="14" t="str">
        <f>CONCATENATE("     ","Inventory Adjustment                              ")</f>
        <v xml:space="preserve">     Inventory Adjustment                              </v>
      </c>
      <c r="C90" s="14"/>
      <c r="D90" s="1">
        <f>SUM(OSRRefD22_8x_0)</f>
        <v>6000</v>
      </c>
      <c r="E90" s="1"/>
      <c r="F90" s="5">
        <f t="shared" ref="F90:F94" si="45">IF(D$12=0,0,D90/D$12)</f>
        <v>0.43969476389490414</v>
      </c>
      <c r="G90" s="1"/>
      <c r="H90" s="1">
        <f>SUM(OSRRefH22_8x_0)</f>
        <v>6000</v>
      </c>
      <c r="I90" s="1"/>
      <c r="J90" s="5">
        <f t="shared" ref="J90:J94" si="46">IF(H$12=0,0,H90/H$12)</f>
        <v>0.10574923331805844</v>
      </c>
      <c r="K90" s="1"/>
      <c r="L90" s="1">
        <f t="shared" ref="L90:L94" si="47">+D90-H90</f>
        <v>0</v>
      </c>
      <c r="M90" s="1"/>
      <c r="N90" s="5">
        <f t="shared" ref="N90:N94" si="48">IF(H90=0,0,L90/H90)</f>
        <v>0</v>
      </c>
      <c r="O90" s="14"/>
      <c r="P90" s="1">
        <f>SUM(OSRRefP22_8x_0)</f>
        <v>11000</v>
      </c>
      <c r="Q90" s="1"/>
      <c r="R90" s="5">
        <f t="shared" ref="R90:R94" si="49">IF(P$12=0,0,P90/P$12)</f>
        <v>1.003874893204823E-2</v>
      </c>
      <c r="S90" s="1"/>
      <c r="T90" s="1">
        <f>SUM(OSRRefT22_8x_0)</f>
        <v>11000</v>
      </c>
      <c r="U90" s="1"/>
      <c r="V90" s="5">
        <f t="shared" ref="V90:V94" si="50">IF(T$12=0,0,T90/T$12)</f>
        <v>6.0178708882213305E-3</v>
      </c>
      <c r="W90" s="1"/>
      <c r="X90" s="1">
        <f t="shared" ref="X90:X94" si="51">+P90-T90</f>
        <v>0</v>
      </c>
      <c r="Y90" s="1"/>
      <c r="Z90" s="5">
        <f t="shared" ref="Z90:Z94" si="52">IF(T90=0,0,X90/T90)</f>
        <v>0</v>
      </c>
    </row>
    <row r="91" spans="1:26" s="24" customFormat="1" hidden="1" outlineLevel="2" x14ac:dyDescent="0.25">
      <c r="A91" s="29"/>
      <c r="B91" s="11" t="str">
        <f>CONCATENATE("          ", "6408", " - ", "INVENTORY ADJUSTMENT")</f>
        <v xml:space="preserve">          6408 - INVENTORY ADJUSTMENT</v>
      </c>
      <c r="C91" s="11"/>
      <c r="D91" s="7">
        <v>6000</v>
      </c>
      <c r="E91" s="2"/>
      <c r="F91" s="6">
        <f t="shared" si="45"/>
        <v>0.43969476389490414</v>
      </c>
      <c r="G91" s="2"/>
      <c r="H91" s="7">
        <v>6000</v>
      </c>
      <c r="I91" s="2"/>
      <c r="J91" s="6">
        <f t="shared" si="46"/>
        <v>0.10574923331805844</v>
      </c>
      <c r="K91" s="2"/>
      <c r="L91" s="7">
        <f t="shared" si="47"/>
        <v>0</v>
      </c>
      <c r="M91" s="2"/>
      <c r="N91" s="6">
        <f t="shared" si="48"/>
        <v>0</v>
      </c>
      <c r="O91" s="11"/>
      <c r="P91" s="7">
        <v>11000</v>
      </c>
      <c r="Q91" s="2"/>
      <c r="R91" s="6">
        <f t="shared" si="49"/>
        <v>1.003874893204823E-2</v>
      </c>
      <c r="S91" s="2"/>
      <c r="T91" s="7">
        <v>11000</v>
      </c>
      <c r="U91" s="2"/>
      <c r="V91" s="6">
        <f t="shared" si="50"/>
        <v>6.0178708882213305E-3</v>
      </c>
      <c r="W91" s="2"/>
      <c r="X91" s="7">
        <f t="shared" si="51"/>
        <v>0</v>
      </c>
      <c r="Y91" s="2"/>
      <c r="Z91" s="6">
        <f t="shared" si="52"/>
        <v>0</v>
      </c>
    </row>
    <row r="92" spans="1:26" s="28" customFormat="1" outlineLevel="1" collapsed="1" x14ac:dyDescent="0.25">
      <c r="A92" s="27"/>
      <c r="B92" s="14" t="str">
        <f>CONCATENATE("     ","Repair and Maintenance                            ")</f>
        <v xml:space="preserve">     Repair and Maintenance                            </v>
      </c>
      <c r="C92" s="14"/>
      <c r="D92" s="1">
        <f>SUM(OSRRefD22_9x_0)</f>
        <v>15.84</v>
      </c>
      <c r="E92" s="1"/>
      <c r="F92" s="5">
        <f t="shared" si="45"/>
        <v>1.160794176682547E-3</v>
      </c>
      <c r="G92" s="1"/>
      <c r="H92" s="1">
        <f>SUM(OSRRefH22_9x_0)</f>
        <v>140</v>
      </c>
      <c r="I92" s="1"/>
      <c r="J92" s="5">
        <f t="shared" si="46"/>
        <v>2.4674821107546971E-3</v>
      </c>
      <c r="K92" s="1"/>
      <c r="L92" s="1">
        <f t="shared" si="47"/>
        <v>-124.16</v>
      </c>
      <c r="M92" s="1"/>
      <c r="N92" s="5">
        <f t="shared" si="48"/>
        <v>-0.88685714285714279</v>
      </c>
      <c r="O92" s="14"/>
      <c r="P92" s="1">
        <f>SUM(OSRRefP22_9x_0)</f>
        <v>149.47</v>
      </c>
      <c r="Q92" s="1"/>
      <c r="R92" s="5">
        <f t="shared" si="49"/>
        <v>1.3640834571574992E-4</v>
      </c>
      <c r="S92" s="1"/>
      <c r="T92" s="1">
        <f>SUM(OSRRefT22_9x_0)</f>
        <v>840</v>
      </c>
      <c r="U92" s="1"/>
      <c r="V92" s="5">
        <f t="shared" si="50"/>
        <v>4.5954650419144708E-4</v>
      </c>
      <c r="W92" s="1"/>
      <c r="X92" s="1">
        <f t="shared" si="51"/>
        <v>-690.53</v>
      </c>
      <c r="Y92" s="1"/>
      <c r="Z92" s="5">
        <f t="shared" si="52"/>
        <v>-0.82205952380952374</v>
      </c>
    </row>
    <row r="93" spans="1:26" s="24" customFormat="1" hidden="1" outlineLevel="2" x14ac:dyDescent="0.25">
      <c r="A93" s="29"/>
      <c r="B93" s="11" t="str">
        <f>CONCATENATE("          ", "6373", " - ", "MAINTENANCE CONTRACTS")</f>
        <v xml:space="preserve">          6373 - MAINTENANCE CONTRACTS</v>
      </c>
      <c r="C93" s="11"/>
      <c r="D93" s="7">
        <v>15.84</v>
      </c>
      <c r="E93" s="2"/>
      <c r="F93" s="6">
        <f t="shared" si="45"/>
        <v>1.160794176682547E-3</v>
      </c>
      <c r="G93" s="2"/>
      <c r="H93" s="7">
        <v>40</v>
      </c>
      <c r="I93" s="2"/>
      <c r="J93" s="6">
        <f t="shared" si="46"/>
        <v>7.0499488878705634E-4</v>
      </c>
      <c r="K93" s="2"/>
      <c r="L93" s="7">
        <f t="shared" si="47"/>
        <v>-24.16</v>
      </c>
      <c r="M93" s="2"/>
      <c r="N93" s="6">
        <f t="shared" si="48"/>
        <v>-0.60399999999999998</v>
      </c>
      <c r="O93" s="11"/>
      <c r="P93" s="7">
        <v>124.36</v>
      </c>
      <c r="Q93" s="2"/>
      <c r="R93" s="6">
        <f t="shared" si="49"/>
        <v>1.1349261974450163E-4</v>
      </c>
      <c r="S93" s="2"/>
      <c r="T93" s="7">
        <v>240</v>
      </c>
      <c r="U93" s="2"/>
      <c r="V93" s="6">
        <f t="shared" si="50"/>
        <v>1.312990011975563E-4</v>
      </c>
      <c r="W93" s="2"/>
      <c r="X93" s="7">
        <f t="shared" si="51"/>
        <v>-115.64</v>
      </c>
      <c r="Y93" s="2"/>
      <c r="Z93" s="6">
        <f t="shared" si="52"/>
        <v>-0.48183333333333334</v>
      </c>
    </row>
    <row r="94" spans="1:26" s="24" customFormat="1" hidden="1" outlineLevel="2" x14ac:dyDescent="0.25">
      <c r="A94" s="29"/>
      <c r="B94" s="11" t="str">
        <f>CONCATENATE("          ", "6375", " - ", "OUTSIDE REPAIRS &amp; MAINTENANCE")</f>
        <v xml:space="preserve">          6375 - OUTSIDE REPAIRS &amp; MAINTENANCE</v>
      </c>
      <c r="C94" s="11"/>
      <c r="D94" s="7"/>
      <c r="E94" s="2"/>
      <c r="F94" s="6">
        <f t="shared" si="45"/>
        <v>0</v>
      </c>
      <c r="G94" s="2"/>
      <c r="H94" s="7">
        <v>100</v>
      </c>
      <c r="I94" s="2"/>
      <c r="J94" s="6">
        <f t="shared" si="46"/>
        <v>1.7624872219676407E-3</v>
      </c>
      <c r="K94" s="2"/>
      <c r="L94" s="7">
        <f t="shared" si="47"/>
        <v>-100</v>
      </c>
      <c r="M94" s="2"/>
      <c r="N94" s="6">
        <f t="shared" si="48"/>
        <v>-1</v>
      </c>
      <c r="O94" s="11"/>
      <c r="P94" s="7">
        <v>25.11</v>
      </c>
      <c r="Q94" s="2"/>
      <c r="R94" s="6">
        <f t="shared" si="49"/>
        <v>2.2915725971248279E-5</v>
      </c>
      <c r="S94" s="2"/>
      <c r="T94" s="7">
        <v>600</v>
      </c>
      <c r="U94" s="2"/>
      <c r="V94" s="6">
        <f t="shared" si="50"/>
        <v>3.2824750299389078E-4</v>
      </c>
      <c r="W94" s="2"/>
      <c r="X94" s="7">
        <f t="shared" si="51"/>
        <v>-574.89</v>
      </c>
      <c r="Y94" s="2"/>
      <c r="Z94" s="6">
        <f t="shared" si="52"/>
        <v>-0.95814999999999995</v>
      </c>
    </row>
    <row r="95" spans="1:26" s="28" customFormat="1" outlineLevel="1" collapsed="1" x14ac:dyDescent="0.25">
      <c r="A95" s="27"/>
      <c r="B95" s="14" t="str">
        <f>CONCATENATE("     ","Subscriptions &amp; Dues                              ")</f>
        <v xml:space="preserve">     Subscriptions &amp; Dues                              </v>
      </c>
      <c r="C95" s="14"/>
      <c r="D95" s="1">
        <f>SUM(OSRRefD22_10x_0)</f>
        <v>141.16</v>
      </c>
      <c r="E95" s="1"/>
      <c r="F95" s="5">
        <f t="shared" ref="F95:F100" si="53">IF(D$12=0,0,D95/D$12)</f>
        <v>1.0344552145234111E-2</v>
      </c>
      <c r="G95" s="1"/>
      <c r="H95" s="1">
        <f>SUM(OSRRefH22_10x_0)</f>
        <v>300</v>
      </c>
      <c r="I95" s="1"/>
      <c r="J95" s="5">
        <f t="shared" ref="J95:J100" si="54">IF(H$12=0,0,H95/H$12)</f>
        <v>5.2874616659029225E-3</v>
      </c>
      <c r="K95" s="1"/>
      <c r="L95" s="1">
        <f t="shared" ref="L95:L100" si="55">+D95-H95</f>
        <v>-158.84</v>
      </c>
      <c r="M95" s="1"/>
      <c r="N95" s="5">
        <f t="shared" ref="N95:N100" si="56">IF(H95=0,0,L95/H95)</f>
        <v>-0.52946666666666664</v>
      </c>
      <c r="O95" s="14"/>
      <c r="P95" s="1">
        <f>SUM(OSRRefP22_10x_0)</f>
        <v>1731.44</v>
      </c>
      <c r="Q95" s="1"/>
      <c r="R95" s="5">
        <f t="shared" ref="R95:R100" si="57">IF(P$12=0,0,P95/P$12)</f>
        <v>1.5801355864459626E-3</v>
      </c>
      <c r="S95" s="1"/>
      <c r="T95" s="1">
        <f>SUM(OSRRefT22_10x_0)</f>
        <v>1800</v>
      </c>
      <c r="U95" s="1"/>
      <c r="V95" s="5">
        <f t="shared" ref="V95:V100" si="58">IF(T$12=0,0,T95/T$12)</f>
        <v>9.8474250898167239E-4</v>
      </c>
      <c r="W95" s="1"/>
      <c r="X95" s="1">
        <f t="shared" ref="X95:X100" si="59">+P95-T95</f>
        <v>-68.559999999999945</v>
      </c>
      <c r="Y95" s="1"/>
      <c r="Z95" s="5">
        <f t="shared" ref="Z95:Z100" si="60">IF(T95=0,0,X95/T95)</f>
        <v>-3.808888888888886E-2</v>
      </c>
    </row>
    <row r="96" spans="1:26" s="24" customFormat="1" hidden="1" outlineLevel="2" x14ac:dyDescent="0.25">
      <c r="A96" s="29"/>
      <c r="B96" s="11" t="str">
        <f>CONCATENATE("          ", "6258", " - ", "MEMBERSHIP DUES")</f>
        <v xml:space="preserve">          6258 - MEMBERSHIP DUES</v>
      </c>
      <c r="C96" s="11"/>
      <c r="D96" s="7">
        <v>141.16</v>
      </c>
      <c r="E96" s="2"/>
      <c r="F96" s="6">
        <f t="shared" si="53"/>
        <v>1.0344552145234111E-2</v>
      </c>
      <c r="G96" s="2"/>
      <c r="H96" s="7">
        <v>300</v>
      </c>
      <c r="I96" s="2"/>
      <c r="J96" s="6">
        <f t="shared" si="54"/>
        <v>5.2874616659029225E-3</v>
      </c>
      <c r="K96" s="2"/>
      <c r="L96" s="7">
        <f t="shared" si="55"/>
        <v>-158.84</v>
      </c>
      <c r="M96" s="2"/>
      <c r="N96" s="6">
        <f t="shared" si="56"/>
        <v>-0.52946666666666664</v>
      </c>
      <c r="O96" s="11"/>
      <c r="P96" s="7">
        <v>1731.44</v>
      </c>
      <c r="Q96" s="2"/>
      <c r="R96" s="6">
        <f t="shared" si="57"/>
        <v>1.5801355864459626E-3</v>
      </c>
      <c r="S96" s="2"/>
      <c r="T96" s="7">
        <v>1800</v>
      </c>
      <c r="U96" s="2"/>
      <c r="V96" s="6">
        <f t="shared" si="58"/>
        <v>9.8474250898167239E-4</v>
      </c>
      <c r="W96" s="2"/>
      <c r="X96" s="7">
        <f t="shared" si="59"/>
        <v>-68.559999999999945</v>
      </c>
      <c r="Y96" s="2"/>
      <c r="Z96" s="6">
        <f t="shared" si="60"/>
        <v>-3.808888888888886E-2</v>
      </c>
    </row>
    <row r="97" spans="1:26" s="28" customFormat="1" outlineLevel="1" collapsed="1" x14ac:dyDescent="0.25">
      <c r="A97" s="27"/>
      <c r="B97" s="14" t="str">
        <f>CONCATENATE("     ","Supplies                                          ")</f>
        <v xml:space="preserve">     Supplies                                          </v>
      </c>
      <c r="C97" s="14"/>
      <c r="D97" s="1">
        <f>SUM(OSRRefD22_11x_0)</f>
        <v>522.95000000000005</v>
      </c>
      <c r="E97" s="1"/>
      <c r="F97" s="5">
        <f t="shared" si="53"/>
        <v>3.8323062796473358E-2</v>
      </c>
      <c r="G97" s="1"/>
      <c r="H97" s="1">
        <f>SUM(OSRRefH22_11x_0)</f>
        <v>1400</v>
      </c>
      <c r="I97" s="1"/>
      <c r="J97" s="5">
        <f t="shared" si="54"/>
        <v>2.4674821107546971E-2</v>
      </c>
      <c r="K97" s="1"/>
      <c r="L97" s="1">
        <f t="shared" si="55"/>
        <v>-877.05</v>
      </c>
      <c r="M97" s="1"/>
      <c r="N97" s="5">
        <f t="shared" si="56"/>
        <v>-0.6264642857142857</v>
      </c>
      <c r="O97" s="14"/>
      <c r="P97" s="1">
        <f>SUM(OSRRefP22_11x_0)</f>
        <v>2069.64</v>
      </c>
      <c r="Q97" s="1"/>
      <c r="R97" s="5">
        <f t="shared" si="57"/>
        <v>1.8887814854294815E-3</v>
      </c>
      <c r="S97" s="1"/>
      <c r="T97" s="1">
        <f>SUM(OSRRefT22_11x_0)</f>
        <v>6600</v>
      </c>
      <c r="U97" s="1"/>
      <c r="V97" s="5">
        <f t="shared" si="58"/>
        <v>3.6107225329327984E-3</v>
      </c>
      <c r="W97" s="1"/>
      <c r="X97" s="1">
        <f t="shared" si="59"/>
        <v>-4530.3600000000006</v>
      </c>
      <c r="Y97" s="1"/>
      <c r="Z97" s="5">
        <f t="shared" si="60"/>
        <v>-0.68641818181818193</v>
      </c>
    </row>
    <row r="98" spans="1:26" s="24" customFormat="1" hidden="1" outlineLevel="2" x14ac:dyDescent="0.25">
      <c r="A98" s="29"/>
      <c r="B98" s="11" t="str">
        <f>CONCATENATE("          ", "6241", " - ", "OFFICE EXPENSE")</f>
        <v xml:space="preserve">          6241 - OFFICE EXPENSE</v>
      </c>
      <c r="C98" s="11"/>
      <c r="D98" s="7">
        <v>210.77</v>
      </c>
      <c r="E98" s="2"/>
      <c r="F98" s="6">
        <f t="shared" si="53"/>
        <v>1.5445744231021493E-2</v>
      </c>
      <c r="G98" s="2"/>
      <c r="H98" s="7">
        <v>800</v>
      </c>
      <c r="I98" s="2"/>
      <c r="J98" s="6">
        <f t="shared" si="54"/>
        <v>1.4099897775741126E-2</v>
      </c>
      <c r="K98" s="2"/>
      <c r="L98" s="7">
        <f t="shared" si="55"/>
        <v>-589.23</v>
      </c>
      <c r="M98" s="2"/>
      <c r="N98" s="6">
        <f t="shared" si="56"/>
        <v>-0.73653750000000007</v>
      </c>
      <c r="O98" s="11"/>
      <c r="P98" s="7">
        <v>1124.3599999999999</v>
      </c>
      <c r="Q98" s="2"/>
      <c r="R98" s="6">
        <f t="shared" si="57"/>
        <v>1.0261061590216133E-3</v>
      </c>
      <c r="S98" s="2"/>
      <c r="T98" s="7">
        <v>2600</v>
      </c>
      <c r="U98" s="2"/>
      <c r="V98" s="6">
        <f t="shared" si="58"/>
        <v>1.4224058463068599E-3</v>
      </c>
      <c r="W98" s="2"/>
      <c r="X98" s="7">
        <f t="shared" si="59"/>
        <v>-1475.64</v>
      </c>
      <c r="Y98" s="2"/>
      <c r="Z98" s="6">
        <f t="shared" si="60"/>
        <v>-0.56755384615384619</v>
      </c>
    </row>
    <row r="99" spans="1:26" s="24" customFormat="1" hidden="1" outlineLevel="2" x14ac:dyDescent="0.25">
      <c r="A99" s="29"/>
      <c r="B99" s="11" t="str">
        <f>CONCATENATE("          ", "6245", " - ", "PRINTING")</f>
        <v xml:space="preserve">          6245 - PRINTING</v>
      </c>
      <c r="C99" s="11"/>
      <c r="D99" s="7"/>
      <c r="E99" s="2"/>
      <c r="F99" s="6">
        <f t="shared" si="53"/>
        <v>0</v>
      </c>
      <c r="G99" s="2"/>
      <c r="H99" s="7">
        <v>400</v>
      </c>
      <c r="I99" s="2"/>
      <c r="J99" s="6">
        <f t="shared" si="54"/>
        <v>7.049948887870563E-3</v>
      </c>
      <c r="K99" s="2"/>
      <c r="L99" s="7">
        <f t="shared" si="55"/>
        <v>-400</v>
      </c>
      <c r="M99" s="2"/>
      <c r="N99" s="6">
        <f t="shared" si="56"/>
        <v>-1</v>
      </c>
      <c r="O99" s="11"/>
      <c r="P99" s="7"/>
      <c r="Q99" s="2"/>
      <c r="R99" s="6">
        <f t="shared" si="57"/>
        <v>0</v>
      </c>
      <c r="S99" s="2"/>
      <c r="T99" s="7">
        <v>1200</v>
      </c>
      <c r="U99" s="2"/>
      <c r="V99" s="6">
        <f t="shared" si="58"/>
        <v>6.5649500598778155E-4</v>
      </c>
      <c r="W99" s="2"/>
      <c r="X99" s="7">
        <f t="shared" si="59"/>
        <v>-1200</v>
      </c>
      <c r="Y99" s="2"/>
      <c r="Z99" s="6">
        <f t="shared" si="60"/>
        <v>-1</v>
      </c>
    </row>
    <row r="100" spans="1:26" s="24" customFormat="1" hidden="1" outlineLevel="2" x14ac:dyDescent="0.25">
      <c r="A100" s="29"/>
      <c r="B100" s="11" t="str">
        <f>CONCATENATE("          ", "6247", " - ", "STORE SUPPLIES")</f>
        <v xml:space="preserve">          6247 - STORE SUPPLIES</v>
      </c>
      <c r="C100" s="11"/>
      <c r="D100" s="7">
        <v>312.18</v>
      </c>
      <c r="E100" s="2"/>
      <c r="F100" s="6">
        <f t="shared" si="53"/>
        <v>2.2877318565451863E-2</v>
      </c>
      <c r="G100" s="2"/>
      <c r="H100" s="7">
        <v>200</v>
      </c>
      <c r="I100" s="2"/>
      <c r="J100" s="6">
        <f t="shared" si="54"/>
        <v>3.5249744439352815E-3</v>
      </c>
      <c r="K100" s="2"/>
      <c r="L100" s="7">
        <f t="shared" si="55"/>
        <v>112.18</v>
      </c>
      <c r="M100" s="2"/>
      <c r="N100" s="6">
        <f t="shared" si="56"/>
        <v>0.56090000000000007</v>
      </c>
      <c r="O100" s="11"/>
      <c r="P100" s="7">
        <v>945.28</v>
      </c>
      <c r="Q100" s="2"/>
      <c r="R100" s="6">
        <f t="shared" si="57"/>
        <v>8.6267532640786821E-4</v>
      </c>
      <c r="S100" s="2"/>
      <c r="T100" s="7">
        <v>2800</v>
      </c>
      <c r="U100" s="2"/>
      <c r="V100" s="6">
        <f t="shared" si="58"/>
        <v>1.531821680638157E-3</v>
      </c>
      <c r="W100" s="2"/>
      <c r="X100" s="7">
        <f t="shared" si="59"/>
        <v>-1854.72</v>
      </c>
      <c r="Y100" s="2"/>
      <c r="Z100" s="6">
        <f t="shared" si="60"/>
        <v>-0.66239999999999999</v>
      </c>
    </row>
    <row r="101" spans="1:26" s="28" customFormat="1" outlineLevel="1" collapsed="1" x14ac:dyDescent="0.25">
      <c r="A101" s="27"/>
      <c r="B101" s="14" t="str">
        <f>CONCATENATE("     ","Telephone/Data Lines                              ")</f>
        <v xml:space="preserve">     Telephone/Data Lines                              </v>
      </c>
      <c r="C101" s="14"/>
      <c r="D101" s="1">
        <f>SUM(OSRRefD22_12x_0)</f>
        <v>462</v>
      </c>
      <c r="E101" s="1"/>
      <c r="F101" s="5">
        <f t="shared" ref="F101:F103" si="61">IF(D$12=0,0,D101/D$12)</f>
        <v>3.3856496819907621E-2</v>
      </c>
      <c r="G101" s="1"/>
      <c r="H101" s="1">
        <f>SUM(OSRRefH22_12x_0)</f>
        <v>900</v>
      </c>
      <c r="I101" s="1"/>
      <c r="J101" s="5">
        <f t="shared" ref="J101:J103" si="62">IF(H$12=0,0,H101/H$12)</f>
        <v>1.5862384997708767E-2</v>
      </c>
      <c r="K101" s="1"/>
      <c r="L101" s="1">
        <f t="shared" ref="L101:L103" si="63">+D101-H101</f>
        <v>-438</v>
      </c>
      <c r="M101" s="1"/>
      <c r="N101" s="5">
        <f t="shared" ref="N101:N103" si="64">IF(H101=0,0,L101/H101)</f>
        <v>-0.48666666666666669</v>
      </c>
      <c r="O101" s="14"/>
      <c r="P101" s="1">
        <f>SUM(OSRRefP22_12x_0)</f>
        <v>5042.5</v>
      </c>
      <c r="Q101" s="1"/>
      <c r="R101" s="5">
        <f t="shared" ref="R101:R103" si="65">IF(P$12=0,0,P101/P$12)</f>
        <v>4.6018537718048366E-3</v>
      </c>
      <c r="S101" s="1"/>
      <c r="T101" s="1">
        <f>SUM(OSRRefT22_12x_0)</f>
        <v>5400</v>
      </c>
      <c r="U101" s="1"/>
      <c r="V101" s="5">
        <f t="shared" ref="V101:V103" si="66">IF(T$12=0,0,T101/T$12)</f>
        <v>2.9542275269450169E-3</v>
      </c>
      <c r="W101" s="1"/>
      <c r="X101" s="1">
        <f t="shared" ref="X101:X103" si="67">+P101-T101</f>
        <v>-357.5</v>
      </c>
      <c r="Y101" s="1"/>
      <c r="Z101" s="5">
        <f t="shared" ref="Z101:Z103" si="68">IF(T101=0,0,X101/T101)</f>
        <v>-6.6203703703703709E-2</v>
      </c>
    </row>
    <row r="102" spans="1:26" s="24" customFormat="1" hidden="1" outlineLevel="2" x14ac:dyDescent="0.25">
      <c r="A102" s="29"/>
      <c r="B102" s="11" t="str">
        <f>CONCATENATE("          ", "6303", " - ", "DATA PHONE LINES")</f>
        <v xml:space="preserve">          6303 - DATA PHONE LINES</v>
      </c>
      <c r="C102" s="11"/>
      <c r="D102" s="7"/>
      <c r="E102" s="2"/>
      <c r="F102" s="6">
        <f t="shared" si="61"/>
        <v>0</v>
      </c>
      <c r="G102" s="2"/>
      <c r="H102" s="7">
        <v>300</v>
      </c>
      <c r="I102" s="2"/>
      <c r="J102" s="6">
        <f t="shared" si="62"/>
        <v>5.2874616659029225E-3</v>
      </c>
      <c r="K102" s="2"/>
      <c r="L102" s="7">
        <f t="shared" si="63"/>
        <v>-300</v>
      </c>
      <c r="M102" s="2"/>
      <c r="N102" s="6">
        <f t="shared" si="64"/>
        <v>-1</v>
      </c>
      <c r="O102" s="11"/>
      <c r="P102" s="7">
        <v>2065</v>
      </c>
      <c r="Q102" s="2"/>
      <c r="R102" s="6">
        <f t="shared" si="65"/>
        <v>1.8845469586072359E-3</v>
      </c>
      <c r="S102" s="2"/>
      <c r="T102" s="7">
        <v>1800</v>
      </c>
      <c r="U102" s="2"/>
      <c r="V102" s="6">
        <f t="shared" si="66"/>
        <v>9.8474250898167239E-4</v>
      </c>
      <c r="W102" s="2"/>
      <c r="X102" s="7">
        <f t="shared" si="67"/>
        <v>265</v>
      </c>
      <c r="Y102" s="2"/>
      <c r="Z102" s="6">
        <f t="shared" si="68"/>
        <v>0.14722222222222223</v>
      </c>
    </row>
    <row r="103" spans="1:26" s="24" customFormat="1" hidden="1" outlineLevel="2" x14ac:dyDescent="0.25">
      <c r="A103" s="29"/>
      <c r="B103" s="11" t="str">
        <f>CONCATENATE("          ", "6309", " - ", "TELEPHONE")</f>
        <v xml:space="preserve">          6309 - TELEPHONE</v>
      </c>
      <c r="C103" s="11"/>
      <c r="D103" s="7">
        <v>462</v>
      </c>
      <c r="E103" s="2"/>
      <c r="F103" s="6">
        <f t="shared" si="61"/>
        <v>3.3856496819907621E-2</v>
      </c>
      <c r="G103" s="2"/>
      <c r="H103" s="7">
        <v>600</v>
      </c>
      <c r="I103" s="2"/>
      <c r="J103" s="6">
        <f t="shared" si="62"/>
        <v>1.0574923331805845E-2</v>
      </c>
      <c r="K103" s="2"/>
      <c r="L103" s="7">
        <f t="shared" si="63"/>
        <v>-138</v>
      </c>
      <c r="M103" s="2"/>
      <c r="N103" s="6">
        <f t="shared" si="64"/>
        <v>-0.23</v>
      </c>
      <c r="O103" s="11"/>
      <c r="P103" s="7">
        <v>2977.5</v>
      </c>
      <c r="Q103" s="2"/>
      <c r="R103" s="6">
        <f t="shared" si="65"/>
        <v>2.7173068131976005E-3</v>
      </c>
      <c r="S103" s="2"/>
      <c r="T103" s="7">
        <v>3600</v>
      </c>
      <c r="U103" s="2"/>
      <c r="V103" s="6">
        <f t="shared" si="66"/>
        <v>1.9694850179633448E-3</v>
      </c>
      <c r="W103" s="2"/>
      <c r="X103" s="7">
        <f t="shared" si="67"/>
        <v>-622.5</v>
      </c>
      <c r="Y103" s="2"/>
      <c r="Z103" s="6">
        <f t="shared" si="68"/>
        <v>-0.17291666666666666</v>
      </c>
    </row>
    <row r="104" spans="1:26" s="28" customFormat="1" outlineLevel="1" collapsed="1" x14ac:dyDescent="0.25">
      <c r="A104" s="27"/>
      <c r="B104" s="14" t="str">
        <f>CONCATENATE("     ","Travel                                            ")</f>
        <v xml:space="preserve">     Travel                                            </v>
      </c>
      <c r="C104" s="14"/>
      <c r="D104" s="1">
        <f>SUM(OSRRefD22_13x_0)</f>
        <v>0</v>
      </c>
      <c r="E104" s="1"/>
      <c r="F104" s="5">
        <f t="shared" ref="F104:F105" si="69">IF(D$12=0,0,D104/D$12)</f>
        <v>0</v>
      </c>
      <c r="G104" s="1"/>
      <c r="H104" s="1">
        <f>SUM(OSRRefH22_13x_0)</f>
        <v>0</v>
      </c>
      <c r="I104" s="1"/>
      <c r="J104" s="5">
        <f t="shared" ref="J104:J105" si="70">IF(H$12=0,0,H104/H$12)</f>
        <v>0</v>
      </c>
      <c r="K104" s="1"/>
      <c r="L104" s="1">
        <f t="shared" ref="L104:L105" si="71">+D104-H104</f>
        <v>0</v>
      </c>
      <c r="M104" s="1"/>
      <c r="N104" s="5">
        <f t="shared" ref="N104:N105" si="72">IF(H104=0,0,L104/H104)</f>
        <v>0</v>
      </c>
      <c r="O104" s="14"/>
      <c r="P104" s="1">
        <f>SUM(OSRRefP22_13x_0)</f>
        <v>0.16</v>
      </c>
      <c r="Q104" s="1"/>
      <c r="R104" s="5">
        <f t="shared" ref="R104:R105" si="73">IF(P$12=0,0,P104/P$12)</f>
        <v>1.4601816628433789E-7</v>
      </c>
      <c r="S104" s="1"/>
      <c r="T104" s="1">
        <f>SUM(OSRRefT22_13x_0)</f>
        <v>0</v>
      </c>
      <c r="U104" s="1"/>
      <c r="V104" s="5">
        <f t="shared" ref="V104:V105" si="74">IF(T$12=0,0,T104/T$12)</f>
        <v>0</v>
      </c>
      <c r="W104" s="1"/>
      <c r="X104" s="1">
        <f t="shared" ref="X104:X105" si="75">+P104-T104</f>
        <v>0.16</v>
      </c>
      <c r="Y104" s="1"/>
      <c r="Z104" s="5">
        <f t="shared" ref="Z104:Z105" si="76">IF(T104=0,0,X104/T104)</f>
        <v>0</v>
      </c>
    </row>
    <row r="105" spans="1:26" s="24" customFormat="1" hidden="1" outlineLevel="2" x14ac:dyDescent="0.25">
      <c r="A105" s="29"/>
      <c r="B105" s="11" t="str">
        <f>CONCATENATE("          ", "6292", " - ", "TRAVEL/CONFERENCE")</f>
        <v xml:space="preserve">          6292 - TRAVEL/CONFERENCE</v>
      </c>
      <c r="C105" s="11"/>
      <c r="D105" s="7"/>
      <c r="E105" s="2"/>
      <c r="F105" s="6">
        <f t="shared" si="69"/>
        <v>0</v>
      </c>
      <c r="G105" s="2"/>
      <c r="H105" s="7"/>
      <c r="I105" s="2"/>
      <c r="J105" s="6">
        <f t="shared" si="70"/>
        <v>0</v>
      </c>
      <c r="K105" s="2"/>
      <c r="L105" s="7">
        <f t="shared" si="71"/>
        <v>0</v>
      </c>
      <c r="M105" s="2"/>
      <c r="N105" s="6">
        <f t="shared" si="72"/>
        <v>0</v>
      </c>
      <c r="O105" s="11"/>
      <c r="P105" s="7">
        <v>0.16</v>
      </c>
      <c r="Q105" s="2"/>
      <c r="R105" s="6">
        <f t="shared" si="73"/>
        <v>1.4601816628433789E-7</v>
      </c>
      <c r="S105" s="2"/>
      <c r="T105" s="7"/>
      <c r="U105" s="2"/>
      <c r="V105" s="6">
        <f t="shared" si="74"/>
        <v>0</v>
      </c>
      <c r="W105" s="2"/>
      <c r="X105" s="7">
        <f t="shared" si="75"/>
        <v>0.16</v>
      </c>
      <c r="Y105" s="2"/>
      <c r="Z105" s="6">
        <f t="shared" si="76"/>
        <v>0</v>
      </c>
    </row>
    <row r="106" spans="1:26" s="53" customFormat="1" x14ac:dyDescent="0.25">
      <c r="A106" s="36"/>
      <c r="B106" s="36"/>
      <c r="C106" s="36"/>
      <c r="D106" s="1"/>
      <c r="E106" s="1"/>
      <c r="F106" s="5"/>
      <c r="G106" s="1"/>
      <c r="H106" s="1"/>
      <c r="I106" s="1"/>
      <c r="J106" s="5"/>
      <c r="K106" s="1"/>
      <c r="L106" s="1"/>
      <c r="M106" s="1"/>
      <c r="N106" s="5"/>
      <c r="O106" s="36"/>
      <c r="P106" s="1"/>
      <c r="Q106" s="1"/>
      <c r="R106" s="5"/>
      <c r="S106" s="1"/>
      <c r="T106" s="1"/>
      <c r="U106" s="1"/>
      <c r="V106" s="5"/>
      <c r="W106" s="1"/>
      <c r="X106" s="1"/>
      <c r="Y106" s="1"/>
      <c r="Z106" s="5"/>
    </row>
    <row r="107" spans="1:26" s="23" customFormat="1" collapsed="1" x14ac:dyDescent="0.25">
      <c r="A107" s="10"/>
      <c r="B107" s="26" t="s">
        <v>0</v>
      </c>
      <c r="C107" s="10"/>
      <c r="D107" s="4">
        <f>SUM(OSRRefD25x_0)</f>
        <v>11680.240000000002</v>
      </c>
      <c r="E107" s="4"/>
      <c r="F107" s="12">
        <f t="shared" ref="F107:F110" si="77">IF(D$12=0,0,D107/D$12)</f>
        <v>0.85595672817263602</v>
      </c>
      <c r="G107" s="4"/>
      <c r="H107" s="4">
        <f>SUM(OSRRefH25x_0)</f>
        <v>5500</v>
      </c>
      <c r="I107" s="4"/>
      <c r="J107" s="12">
        <f t="shared" ref="J107:J110" si="78">IF(H$12=0,0,H107/H$12)</f>
        <v>9.6936797208220238E-2</v>
      </c>
      <c r="K107" s="4"/>
      <c r="L107" s="4">
        <f t="shared" ref="L107:L110" si="79">+D107-H107</f>
        <v>6180.2400000000016</v>
      </c>
      <c r="M107" s="4"/>
      <c r="N107" s="12">
        <f t="shared" ref="N107:N110" si="80">IF(H107=0,0,L107/H107)</f>
        <v>1.1236800000000002</v>
      </c>
      <c r="O107" s="10"/>
      <c r="P107" s="4">
        <f>SUM(OSRRefP25x_0)</f>
        <v>173765.81</v>
      </c>
      <c r="Q107" s="4"/>
      <c r="R107" s="12">
        <f t="shared" ref="R107:R110" si="81">IF(P$12=0,0,P107/P$12)</f>
        <v>0.15858103086945416</v>
      </c>
      <c r="S107" s="4"/>
      <c r="T107" s="4">
        <f>SUM(OSRRefT25x_0)</f>
        <v>108259</v>
      </c>
      <c r="U107" s="4"/>
      <c r="V107" s="12">
        <f t="shared" ref="V107:V110" si="82">IF(T$12=0,0,T107/T$12)</f>
        <v>5.9226244044359368E-2</v>
      </c>
      <c r="W107" s="4"/>
      <c r="X107" s="4">
        <f t="shared" ref="X107:X110" si="83">+P107-T107</f>
        <v>65506.81</v>
      </c>
      <c r="Y107" s="4"/>
      <c r="Z107" s="12">
        <f t="shared" ref="Z107:Z110" si="84">IF(T107=0,0,X107/T107)</f>
        <v>0.6050934333404151</v>
      </c>
    </row>
    <row r="108" spans="1:26" s="24" customFormat="1" hidden="1" outlineLevel="1" x14ac:dyDescent="0.25">
      <c r="A108" s="51"/>
      <c r="B108" s="11" t="str">
        <f>CONCATENATE("          ", "9150", " - ", "MISC. INCOME")</f>
        <v xml:space="preserve">          9150 - MISC. INCOME</v>
      </c>
      <c r="C108" s="11"/>
      <c r="D108" s="2">
        <f>--11200.54</f>
        <v>11200.54</v>
      </c>
      <c r="E108" s="2"/>
      <c r="F108" s="22">
        <f t="shared" si="77"/>
        <v>0.82080313179923836</v>
      </c>
      <c r="G108" s="2"/>
      <c r="H108" s="2">
        <v>5500</v>
      </c>
      <c r="I108" s="2"/>
      <c r="J108" s="22">
        <f t="shared" si="78"/>
        <v>9.6936797208220238E-2</v>
      </c>
      <c r="K108" s="2"/>
      <c r="L108" s="2">
        <f t="shared" si="79"/>
        <v>5700.5400000000009</v>
      </c>
      <c r="M108" s="2"/>
      <c r="N108" s="22">
        <f t="shared" si="80"/>
        <v>1.0364618181818184</v>
      </c>
      <c r="O108" s="11"/>
      <c r="P108" s="2">
        <f>--23394.49</f>
        <v>23394.49</v>
      </c>
      <c r="Q108" s="2"/>
      <c r="R108" s="22">
        <f t="shared" si="81"/>
        <v>2.1350128318483E-2</v>
      </c>
      <c r="S108" s="2"/>
      <c r="T108" s="2">
        <v>16000</v>
      </c>
      <c r="U108" s="2"/>
      <c r="V108" s="22">
        <f t="shared" si="82"/>
        <v>8.7532667465037538E-3</v>
      </c>
      <c r="W108" s="2"/>
      <c r="X108" s="2">
        <f t="shared" si="83"/>
        <v>7394.4900000000016</v>
      </c>
      <c r="Y108" s="2"/>
      <c r="Z108" s="22">
        <f t="shared" si="84"/>
        <v>0.46215562500000013</v>
      </c>
    </row>
    <row r="109" spans="1:26" s="24" customFormat="1" hidden="1" outlineLevel="1" x14ac:dyDescent="0.25">
      <c r="A109" s="51"/>
      <c r="B109" s="11" t="str">
        <f>CONCATENATE("          ", "9151", " - ", "MISC. INCOME")</f>
        <v xml:space="preserve">          9151 - MISC. INCOME</v>
      </c>
      <c r="C109" s="11"/>
      <c r="D109" s="2">
        <f>0</f>
        <v>0</v>
      </c>
      <c r="E109" s="2"/>
      <c r="F109" s="22">
        <f t="shared" si="77"/>
        <v>0</v>
      </c>
      <c r="G109" s="2"/>
      <c r="H109" s="2"/>
      <c r="I109" s="2"/>
      <c r="J109" s="22">
        <f t="shared" si="78"/>
        <v>0</v>
      </c>
      <c r="K109" s="2"/>
      <c r="L109" s="2">
        <f t="shared" si="79"/>
        <v>0</v>
      </c>
      <c r="M109" s="2"/>
      <c r="N109" s="22">
        <f t="shared" si="80"/>
        <v>0</v>
      </c>
      <c r="O109" s="11"/>
      <c r="P109" s="2">
        <f>--147285.39</f>
        <v>147285.39000000001</v>
      </c>
      <c r="Q109" s="2"/>
      <c r="R109" s="22">
        <f t="shared" si="81"/>
        <v>0.13441464105170975</v>
      </c>
      <c r="S109" s="2"/>
      <c r="T109" s="2">
        <v>92259</v>
      </c>
      <c r="U109" s="2"/>
      <c r="V109" s="22">
        <f t="shared" si="82"/>
        <v>5.047297729785561E-2</v>
      </c>
      <c r="W109" s="2"/>
      <c r="X109" s="2">
        <f t="shared" si="83"/>
        <v>55026.390000000014</v>
      </c>
      <c r="Y109" s="2"/>
      <c r="Z109" s="22">
        <f t="shared" si="84"/>
        <v>0.59643384385263243</v>
      </c>
    </row>
    <row r="110" spans="1:26" s="24" customFormat="1" hidden="1" outlineLevel="1" x14ac:dyDescent="0.25">
      <c r="A110" s="51"/>
      <c r="B110" s="11" t="str">
        <f>CONCATENATE("          ", "9152", " - ", "MISC. INCOME")</f>
        <v xml:space="preserve">          9152 - MISC. INCOME</v>
      </c>
      <c r="C110" s="11"/>
      <c r="D110" s="2">
        <f>--479.7</f>
        <v>479.7</v>
      </c>
      <c r="E110" s="2"/>
      <c r="F110" s="22">
        <f t="shared" si="77"/>
        <v>3.5153596373397586E-2</v>
      </c>
      <c r="G110" s="2"/>
      <c r="H110" s="2"/>
      <c r="I110" s="2"/>
      <c r="J110" s="22">
        <f t="shared" si="78"/>
        <v>0</v>
      </c>
      <c r="K110" s="2"/>
      <c r="L110" s="2">
        <f t="shared" si="79"/>
        <v>479.7</v>
      </c>
      <c r="M110" s="2"/>
      <c r="N110" s="22">
        <f t="shared" si="80"/>
        <v>0</v>
      </c>
      <c r="O110" s="11"/>
      <c r="P110" s="2">
        <f>--3085.93</f>
        <v>3085.93</v>
      </c>
      <c r="Q110" s="2"/>
      <c r="R110" s="22">
        <f t="shared" si="81"/>
        <v>2.8162614992614174E-3</v>
      </c>
      <c r="S110" s="2"/>
      <c r="T110" s="2"/>
      <c r="U110" s="2"/>
      <c r="V110" s="22">
        <f t="shared" si="82"/>
        <v>0</v>
      </c>
      <c r="W110" s="2"/>
      <c r="X110" s="2">
        <f t="shared" si="83"/>
        <v>3085.93</v>
      </c>
      <c r="Y110" s="2"/>
      <c r="Z110" s="22">
        <f t="shared" si="84"/>
        <v>0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5" t="s">
        <v>3</v>
      </c>
      <c r="C112" s="25"/>
      <c r="D112" s="21">
        <f>+D51-D53+D107</f>
        <v>-36465.069999999978</v>
      </c>
      <c r="E112" s="13"/>
      <c r="F112" s="19">
        <f>IF(D$12=0,0,D112/D$12)</f>
        <v>-2.6722500573435237</v>
      </c>
      <c r="G112" s="13"/>
      <c r="H112" s="21">
        <f>+H51-H53+H107</f>
        <v>-26440.28612386153</v>
      </c>
      <c r="I112" s="13"/>
      <c r="J112" s="19">
        <f>IF(H$12=0,0,H112/H$12)</f>
        <v>-0.4660066643847427</v>
      </c>
      <c r="K112" s="16"/>
      <c r="L112" s="21">
        <f>+D112-H112</f>
        <v>-10024.783876138448</v>
      </c>
      <c r="M112" s="16"/>
      <c r="N112" s="19">
        <f>IF(H112=0,0,L112/H112)</f>
        <v>0.3791480859615734</v>
      </c>
      <c r="O112" s="26"/>
      <c r="P112" s="21">
        <f>+P51-P53+P107</f>
        <v>225718.37000000011</v>
      </c>
      <c r="Q112" s="13"/>
      <c r="R112" s="19">
        <f>IF(P$12=0,0,P112/P$12)</f>
        <v>0.20599364052556077</v>
      </c>
      <c r="S112" s="13"/>
      <c r="T112" s="21">
        <f>+T51-T53+T107</f>
        <v>295302.98976989998</v>
      </c>
      <c r="U112" s="13"/>
      <c r="V112" s="19">
        <f>IF(T$12=0,0,T112/T$12)</f>
        <v>0.16155411503100023</v>
      </c>
      <c r="W112" s="16"/>
      <c r="X112" s="21">
        <f>+P112-T112</f>
        <v>-69584.619769899873</v>
      </c>
      <c r="Y112" s="16"/>
      <c r="Z112" s="19">
        <f>IF(T112=0,0,X112/T112)</f>
        <v>-0.23563804695685672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52"/>
      <c r="B114" s="10" t="s">
        <v>14</v>
      </c>
      <c r="C114" s="10"/>
      <c r="D114" s="4">
        <v>25054.06</v>
      </c>
      <c r="E114" s="4"/>
      <c r="F114" s="12">
        <f>IF(D$12=0,0,D114/D$12)</f>
        <v>1.8360231660514605</v>
      </c>
      <c r="G114" s="4"/>
      <c r="H114" s="4">
        <v>30849</v>
      </c>
      <c r="I114" s="4"/>
      <c r="J114" s="12">
        <f>IF(H$12=0,0,H114/H$12)</f>
        <v>0.5437096831047975</v>
      </c>
      <c r="K114" s="4"/>
      <c r="L114" s="4">
        <f>+D114-H114</f>
        <v>-5794.9399999999987</v>
      </c>
      <c r="M114" s="4"/>
      <c r="N114" s="12">
        <f>IF(H114=0,0,L114/H114)</f>
        <v>-0.18784855262731365</v>
      </c>
      <c r="O114" s="10"/>
      <c r="P114" s="4">
        <v>197001.08000000002</v>
      </c>
      <c r="Q114" s="4"/>
      <c r="R114" s="12">
        <f>IF(P$12=0,0,P114/P$12)</f>
        <v>0.17978585286021348</v>
      </c>
      <c r="S114" s="4"/>
      <c r="T114" s="4">
        <v>346734</v>
      </c>
      <c r="U114" s="4"/>
      <c r="V114" s="12">
        <f>IF(T$12=0,0,T114/T$12)</f>
        <v>0.18969094950513954</v>
      </c>
      <c r="W114" s="4"/>
      <c r="X114" s="4">
        <f>+P114-T114</f>
        <v>-149732.91999999998</v>
      </c>
      <c r="Y114" s="4"/>
      <c r="Z114" s="12">
        <f>IF(T114=0,0,X114/T114)</f>
        <v>-0.43183800838683251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5" t="s">
        <v>4</v>
      </c>
      <c r="C116" s="25"/>
      <c r="D116" s="34">
        <f>+D112-D114</f>
        <v>-61519.129999999976</v>
      </c>
      <c r="E116" s="13"/>
      <c r="F116" s="31">
        <f>IF(D$12=0,0,D116/D$12)</f>
        <v>-4.5082732233949843</v>
      </c>
      <c r="G116" s="13"/>
      <c r="H116" s="34">
        <f>+H112-H114</f>
        <v>-57289.28612386153</v>
      </c>
      <c r="I116" s="13"/>
      <c r="J116" s="31">
        <f>IF(H$12=0,0,H116/H$12)</f>
        <v>-1.0097163474895401</v>
      </c>
      <c r="K116" s="16"/>
      <c r="L116" s="34">
        <f>D116-H116</f>
        <v>-4229.8438761384459</v>
      </c>
      <c r="M116" s="16"/>
      <c r="N116" s="31">
        <f>IF(H116=0,0,L116/H116)</f>
        <v>7.383307006118682E-2</v>
      </c>
      <c r="O116" s="26"/>
      <c r="P116" s="34">
        <f>+P112-P114</f>
        <v>28717.290000000095</v>
      </c>
      <c r="Q116" s="13"/>
      <c r="R116" s="31">
        <f>IF(P$12=0,0,P116/P$12)</f>
        <v>2.6207787665347298E-2</v>
      </c>
      <c r="S116" s="13"/>
      <c r="T116" s="34">
        <f>+T112-T114</f>
        <v>-51431.010230100015</v>
      </c>
      <c r="U116" s="13"/>
      <c r="V116" s="31">
        <f>IF(T$12=0,0,T116/T$12)</f>
        <v>-2.8136834474139304E-2</v>
      </c>
      <c r="W116" s="16"/>
      <c r="X116" s="34">
        <f>P116-T116</f>
        <v>80148.300230100111</v>
      </c>
      <c r="Y116" s="16"/>
      <c r="Z116" s="31">
        <f>IF(T116=0,0,X116/T116)</f>
        <v>-1.5583652716818168</v>
      </c>
    </row>
    <row r="117" spans="1:26" ht="15.75" thickTop="1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5" t="s">
        <v>5</v>
      </c>
      <c r="C119" s="25"/>
      <c r="D119" s="33">
        <f>SUM(D116:D118)</f>
        <v>-61519.129999999976</v>
      </c>
      <c r="E119" s="13"/>
      <c r="F119" s="32">
        <f>IF(D$12=0,0,D119/D$12)</f>
        <v>-4.5082732233949843</v>
      </c>
      <c r="G119" s="13"/>
      <c r="H119" s="33">
        <f>SUM(H116:H118)</f>
        <v>-57289.28612386153</v>
      </c>
      <c r="I119" s="13"/>
      <c r="J119" s="32">
        <f>IF(H$12=0,0,H119/H$12)</f>
        <v>-1.0097163474895401</v>
      </c>
      <c r="K119" s="16"/>
      <c r="L119" s="33">
        <f>+D119-H119</f>
        <v>-4229.8438761384459</v>
      </c>
      <c r="M119" s="16"/>
      <c r="N119" s="32">
        <f>IF(H119=0,0,L119/H119)</f>
        <v>7.383307006118682E-2</v>
      </c>
      <c r="O119" s="26"/>
      <c r="P119" s="33">
        <f>SUM(P116:P118)</f>
        <v>28717.290000000095</v>
      </c>
      <c r="Q119" s="13"/>
      <c r="R119" s="32">
        <f>IF(P$12=0,0,P119/P$12)</f>
        <v>2.6207787665347298E-2</v>
      </c>
      <c r="S119" s="13"/>
      <c r="T119" s="33">
        <f>SUM(T116:T118)</f>
        <v>-51431.010230100015</v>
      </c>
      <c r="U119" s="13"/>
      <c r="V119" s="32">
        <f>IF(T$12=0,0,T119/T$12)</f>
        <v>-2.8136834474139304E-2</v>
      </c>
      <c r="W119" s="16"/>
      <c r="X119" s="33">
        <f>+P119-T119</f>
        <v>80148.300230100111</v>
      </c>
      <c r="Y119" s="16"/>
      <c r="Z119" s="32">
        <f>IF(T119=0,0,X119/T119)</f>
        <v>-1.5583652716818168</v>
      </c>
    </row>
    <row r="120" spans="1:26" ht="15.75" thickTop="1" x14ac:dyDescent="0.25">
      <c r="A120" s="9"/>
      <c r="C120" s="9"/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  <row r="121" spans="1:26" x14ac:dyDescent="0.25">
      <c r="A121" s="9"/>
      <c r="B121" s="63">
        <v>44209.518464583336</v>
      </c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  <row r="122" spans="1:26" x14ac:dyDescent="0.25">
      <c r="A122" s="9"/>
      <c r="B122" s="60" t="s">
        <v>314</v>
      </c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25">
      <c r="A123" s="9"/>
      <c r="B123" s="58"/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  <row r="124" spans="1:26" x14ac:dyDescent="0.25">
      <c r="D124" s="18"/>
      <c r="E124" s="18"/>
      <c r="G124" s="18"/>
      <c r="H124" s="18"/>
      <c r="I124" s="18"/>
      <c r="J124" s="43"/>
      <c r="K124" s="18"/>
      <c r="L124" s="18"/>
      <c r="M124" s="18"/>
      <c r="P124" s="18"/>
      <c r="Q124" s="18"/>
      <c r="R124" s="43"/>
      <c r="S124" s="18"/>
      <c r="T124" s="18"/>
      <c r="U124" s="18"/>
      <c r="V124" s="43"/>
      <c r="W124" s="18"/>
      <c r="X124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","324", " - ", "Textbook Rental")</f>
        <v>Department 324 - Textbook Rental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4076.46</v>
      </c>
      <c r="E12" s="4"/>
      <c r="F12" s="12"/>
      <c r="G12" s="4"/>
      <c r="H12" s="4">
        <f>SUM(OSRRefH13x_0)</f>
        <v>139</v>
      </c>
      <c r="I12" s="4"/>
      <c r="J12" s="12"/>
      <c r="K12" s="4"/>
      <c r="L12" s="4">
        <f t="shared" ref="L12:L16" si="0">+D12-H12</f>
        <v>3937.46</v>
      </c>
      <c r="M12" s="4"/>
      <c r="N12" s="12">
        <f t="shared" ref="N12:N16" si="1">IF(H12=0,0,L12/H12)</f>
        <v>28.327050359712231</v>
      </c>
      <c r="O12" s="10"/>
      <c r="P12" s="4">
        <f>SUM(OSRRefP13x_0)</f>
        <v>476198.40000000002</v>
      </c>
      <c r="Q12" s="4"/>
      <c r="R12" s="12"/>
      <c r="S12" s="4"/>
      <c r="T12" s="4">
        <f>SUM(OSRRefT13x_0)</f>
        <v>812673</v>
      </c>
      <c r="U12" s="4"/>
      <c r="V12" s="12"/>
      <c r="W12" s="4"/>
      <c r="X12" s="4">
        <f t="shared" ref="X12:X16" si="2">+P12-T12</f>
        <v>-336474.6</v>
      </c>
      <c r="Y12" s="4"/>
      <c r="Z12" s="12">
        <f t="shared" ref="Z12:Z16" si="3">IF(T12=0,0,X12/T12)</f>
        <v>-0.41403442713120775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139</v>
      </c>
      <c r="I13" s="2"/>
      <c r="J13" s="22"/>
      <c r="K13" s="2"/>
      <c r="L13" s="2">
        <f t="shared" si="0"/>
        <v>-139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812673</v>
      </c>
      <c r="U13" s="2"/>
      <c r="V13" s="22"/>
      <c r="W13" s="2"/>
      <c r="X13" s="2">
        <f t="shared" si="2"/>
        <v>-812673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--3109.21</f>
        <v>3109.21</v>
      </c>
      <c r="E14" s="2"/>
      <c r="F14" s="22"/>
      <c r="G14" s="2"/>
      <c r="H14" s="2"/>
      <c r="I14" s="2"/>
      <c r="J14" s="22"/>
      <c r="K14" s="2"/>
      <c r="L14" s="2">
        <f t="shared" si="0"/>
        <v>3109.21</v>
      </c>
      <c r="M14" s="2"/>
      <c r="N14" s="22">
        <f t="shared" si="1"/>
        <v>0</v>
      </c>
      <c r="O14" s="11"/>
      <c r="P14" s="2">
        <f>--175819.22</f>
        <v>175819.22</v>
      </c>
      <c r="Q14" s="2"/>
      <c r="R14" s="22"/>
      <c r="S14" s="2"/>
      <c r="T14" s="2"/>
      <c r="U14" s="2"/>
      <c r="V14" s="22"/>
      <c r="W14" s="2"/>
      <c r="X14" s="2">
        <f t="shared" si="2"/>
        <v>175819.22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--1193</f>
        <v>1193</v>
      </c>
      <c r="E15" s="2"/>
      <c r="F15" s="22"/>
      <c r="G15" s="2"/>
      <c r="H15" s="2"/>
      <c r="I15" s="2"/>
      <c r="J15" s="22"/>
      <c r="K15" s="2"/>
      <c r="L15" s="2">
        <f t="shared" si="0"/>
        <v>1193</v>
      </c>
      <c r="M15" s="2"/>
      <c r="N15" s="22">
        <f t="shared" si="1"/>
        <v>0</v>
      </c>
      <c r="O15" s="11"/>
      <c r="P15" s="2">
        <f>--134791.51</f>
        <v>134791.51</v>
      </c>
      <c r="Q15" s="2"/>
      <c r="R15" s="22"/>
      <c r="S15" s="2"/>
      <c r="T15" s="2"/>
      <c r="U15" s="2"/>
      <c r="V15" s="22"/>
      <c r="W15" s="2"/>
      <c r="X15" s="2">
        <f t="shared" si="2"/>
        <v>134791.51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"4100", " - ", "NON-TAXABLE SALES")</f>
        <v xml:space="preserve">          4100 - NON-TAXABLE SALES</v>
      </c>
      <c r="C16" s="11"/>
      <c r="D16" s="2">
        <f>-225.75</f>
        <v>-225.75</v>
      </c>
      <c r="E16" s="2"/>
      <c r="F16" s="22"/>
      <c r="G16" s="2"/>
      <c r="H16" s="2"/>
      <c r="I16" s="2"/>
      <c r="J16" s="22"/>
      <c r="K16" s="2"/>
      <c r="L16" s="2">
        <f t="shared" si="0"/>
        <v>-225.75</v>
      </c>
      <c r="M16" s="2"/>
      <c r="N16" s="22">
        <f t="shared" si="1"/>
        <v>0</v>
      </c>
      <c r="O16" s="11"/>
      <c r="P16" s="2">
        <f>--165587.67</f>
        <v>165587.67000000001</v>
      </c>
      <c r="Q16" s="2"/>
      <c r="R16" s="22"/>
      <c r="S16" s="2"/>
      <c r="T16" s="2"/>
      <c r="U16" s="2"/>
      <c r="V16" s="22"/>
      <c r="W16" s="2"/>
      <c r="X16" s="2">
        <f t="shared" si="2"/>
        <v>165587.67000000001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8</v>
      </c>
      <c r="C18" s="10"/>
      <c r="D18" s="4">
        <f>SUM(OSRRefD16x_0)</f>
        <v>-1154.68</v>
      </c>
      <c r="E18" s="4"/>
      <c r="F18" s="12">
        <f t="shared" ref="F18:F21" si="4">IF(D$12=0,0,D18/D$12)</f>
        <v>-0.28325556978358674</v>
      </c>
      <c r="G18" s="4"/>
      <c r="H18" s="4">
        <f>SUM(OSRRefH16x_0)</f>
        <v>100</v>
      </c>
      <c r="I18" s="4"/>
      <c r="J18" s="12">
        <f t="shared" ref="J18:J21" si="5">IF(H$12=0,0,H18/H$12)</f>
        <v>0.71942446043165464</v>
      </c>
      <c r="K18" s="4"/>
      <c r="L18" s="4">
        <f t="shared" ref="L18:L21" si="6">+D18-H18</f>
        <v>-1254.68</v>
      </c>
      <c r="M18" s="4"/>
      <c r="N18" s="12">
        <f t="shared" ref="N18:N21" si="7">IF(H18=0,0,L18/H18)</f>
        <v>-12.546800000000001</v>
      </c>
      <c r="O18" s="10"/>
      <c r="P18" s="4">
        <f>SUM(OSRRefP16x_0)</f>
        <v>343007.15</v>
      </c>
      <c r="Q18" s="4"/>
      <c r="R18" s="12">
        <f t="shared" ref="R18:R21" si="8">IF(P$12=0,0,P18/P$12)</f>
        <v>0.72030302915759481</v>
      </c>
      <c r="S18" s="4"/>
      <c r="T18" s="4">
        <f>SUM(OSRRefT16x_0)</f>
        <v>592673</v>
      </c>
      <c r="U18" s="4"/>
      <c r="V18" s="12">
        <f t="shared" ref="V18:V21" si="9">IF(T$12=0,0,T18/T$12)</f>
        <v>0.72928840997547595</v>
      </c>
      <c r="W18" s="4"/>
      <c r="X18" s="4">
        <f t="shared" ref="X18:X21" si="10">+P18-T18</f>
        <v>-249665.84999999998</v>
      </c>
      <c r="Y18" s="4"/>
      <c r="Z18" s="12">
        <f t="shared" ref="Z18:Z21" si="11">IF(T18=0,0,X18/T18)</f>
        <v>-0.42125396297789841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100</v>
      </c>
      <c r="I19" s="2"/>
      <c r="J19" s="22">
        <f t="shared" si="5"/>
        <v>0.71942446043165464</v>
      </c>
      <c r="K19" s="2"/>
      <c r="L19" s="2">
        <f t="shared" si="6"/>
        <v>-100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592673</v>
      </c>
      <c r="U19" s="2"/>
      <c r="V19" s="22">
        <f t="shared" si="9"/>
        <v>0.72928840997547595</v>
      </c>
      <c r="W19" s="2"/>
      <c r="X19" s="2">
        <f t="shared" si="10"/>
        <v>-592673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"5001", " - ", "PURCHASES @ COST-NEW TEXT")</f>
        <v xml:space="preserve">          5001 - PURCHASES @ COST-NEW TEXT</v>
      </c>
      <c r="C20" s="11"/>
      <c r="D20" s="2">
        <v>-8.68</v>
      </c>
      <c r="E20" s="2"/>
      <c r="F20" s="22">
        <f t="shared" si="4"/>
        <v>-2.1292984599382797E-3</v>
      </c>
      <c r="G20" s="2"/>
      <c r="H20" s="2"/>
      <c r="I20" s="2"/>
      <c r="J20" s="22">
        <f t="shared" si="5"/>
        <v>0</v>
      </c>
      <c r="K20" s="2"/>
      <c r="L20" s="2">
        <f t="shared" si="6"/>
        <v>-8.68</v>
      </c>
      <c r="M20" s="2"/>
      <c r="N20" s="22">
        <f t="shared" si="7"/>
        <v>0</v>
      </c>
      <c r="O20" s="11"/>
      <c r="P20" s="2">
        <v>204371.36</v>
      </c>
      <c r="Q20" s="2"/>
      <c r="R20" s="22">
        <f t="shared" si="8"/>
        <v>0.42917271456602957</v>
      </c>
      <c r="S20" s="2"/>
      <c r="T20" s="2"/>
      <c r="U20" s="2"/>
      <c r="V20" s="22">
        <f t="shared" si="9"/>
        <v>0</v>
      </c>
      <c r="W20" s="2"/>
      <c r="X20" s="2">
        <f t="shared" si="10"/>
        <v>204371.36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"5002", " - ", "PURCHASES @ COST-USED TEXT")</f>
        <v xml:space="preserve">          5002 - PURCHASES @ COST-USED TEXT</v>
      </c>
      <c r="C21" s="11"/>
      <c r="D21" s="2">
        <v>-1146</v>
      </c>
      <c r="E21" s="2"/>
      <c r="F21" s="22">
        <f t="shared" si="4"/>
        <v>-0.28112627132364848</v>
      </c>
      <c r="G21" s="2"/>
      <c r="H21" s="2"/>
      <c r="I21" s="2"/>
      <c r="J21" s="22">
        <f t="shared" si="5"/>
        <v>0</v>
      </c>
      <c r="K21" s="2"/>
      <c r="L21" s="2">
        <f t="shared" si="6"/>
        <v>-1146</v>
      </c>
      <c r="M21" s="2"/>
      <c r="N21" s="22">
        <f t="shared" si="7"/>
        <v>0</v>
      </c>
      <c r="O21" s="11"/>
      <c r="P21" s="2">
        <v>138635.79</v>
      </c>
      <c r="Q21" s="2"/>
      <c r="R21" s="22">
        <f t="shared" si="8"/>
        <v>0.29113031459156519</v>
      </c>
      <c r="S21" s="2"/>
      <c r="T21" s="2"/>
      <c r="U21" s="2"/>
      <c r="V21" s="22">
        <f t="shared" si="9"/>
        <v>0</v>
      </c>
      <c r="W21" s="2"/>
      <c r="X21" s="2">
        <f t="shared" si="10"/>
        <v>138635.79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6</v>
      </c>
      <c r="C23" s="25"/>
      <c r="D23" s="21">
        <f>D12-D18</f>
        <v>5231.1400000000003</v>
      </c>
      <c r="E23" s="13"/>
      <c r="F23" s="19">
        <f>IF(D$12=0,0,D23/D$12)</f>
        <v>1.2832555697835868</v>
      </c>
      <c r="G23" s="13"/>
      <c r="H23" s="21">
        <f>H12-H18</f>
        <v>39</v>
      </c>
      <c r="I23" s="13"/>
      <c r="J23" s="19">
        <f>IF(H$12=0,0,H23/H$12)</f>
        <v>0.2805755395683453</v>
      </c>
      <c r="K23" s="16"/>
      <c r="L23" s="21">
        <f>+D23-H23</f>
        <v>5192.1400000000003</v>
      </c>
      <c r="M23" s="16"/>
      <c r="N23" s="19">
        <f>IF(H23=0,0,L23/H23)</f>
        <v>133.13179487179488</v>
      </c>
      <c r="O23" s="26"/>
      <c r="P23" s="21">
        <f>P12-P18</f>
        <v>133191.25</v>
      </c>
      <c r="Q23" s="13"/>
      <c r="R23" s="19">
        <f>IF(P$12=0,0,P23/P$12)</f>
        <v>0.27969697084240519</v>
      </c>
      <c r="S23" s="13"/>
      <c r="T23" s="21">
        <f>T12-T18</f>
        <v>220000</v>
      </c>
      <c r="U23" s="13"/>
      <c r="V23" s="19">
        <f>IF(T$12=0,0,T23/T$12)</f>
        <v>0.270711590024524</v>
      </c>
      <c r="W23" s="16"/>
      <c r="X23" s="21">
        <f>+P23-T23</f>
        <v>-86808.75</v>
      </c>
      <c r="Y23" s="16"/>
      <c r="Z23" s="19">
        <f>IF(T23=0,0,X23/T23)</f>
        <v>-0.39458522727272727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9</v>
      </c>
      <c r="C25" s="10"/>
      <c r="D25" s="20">
        <f>SUM(OSRRefD22x_0)</f>
        <v>0</v>
      </c>
      <c r="E25" s="20"/>
      <c r="F25" s="30">
        <f t="shared" ref="F25:F34" si="12">IF(D$12=0,0,D25/D$12)</f>
        <v>0</v>
      </c>
      <c r="G25" s="20"/>
      <c r="H25" s="20">
        <f>SUM(OSRRefH22x_0)</f>
        <v>0</v>
      </c>
      <c r="I25" s="20"/>
      <c r="J25" s="30">
        <f t="shared" ref="J25:J34" si="13">IF(H$12=0,0,H25/H$12)</f>
        <v>0</v>
      </c>
      <c r="K25" s="4"/>
      <c r="L25" s="20">
        <f t="shared" ref="L25:L34" si="14">+D25-H25</f>
        <v>0</v>
      </c>
      <c r="M25" s="4"/>
      <c r="N25" s="30">
        <f t="shared" ref="N25:N34" si="15">IF(H25=0,0,L25/H25)</f>
        <v>0</v>
      </c>
      <c r="O25" s="10"/>
      <c r="P25" s="20">
        <f>SUM(OSRRefP22x_0)</f>
        <v>0</v>
      </c>
      <c r="Q25" s="20"/>
      <c r="R25" s="30">
        <f t="shared" ref="R25:R34" si="16">IF(P$12=0,0,P25/P$12)</f>
        <v>0</v>
      </c>
      <c r="S25" s="20"/>
      <c r="T25" s="20">
        <f>SUM(OSRRefT22x_0)</f>
        <v>0</v>
      </c>
      <c r="U25" s="20"/>
      <c r="V25" s="30">
        <f t="shared" ref="V25:V34" si="17">IF(T$12=0,0,T25/T$12)</f>
        <v>0</v>
      </c>
      <c r="W25" s="4"/>
      <c r="X25" s="20">
        <f t="shared" ref="X25:X34" si="18">+P25-T25</f>
        <v>0</v>
      </c>
      <c r="Y25" s="4"/>
      <c r="Z25" s="30">
        <f t="shared" ref="Z25:Z34" si="19">IF(T25=0,0,X25/T25)</f>
        <v>0</v>
      </c>
    </row>
    <row r="26" spans="1:26" s="28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0</v>
      </c>
      <c r="E26" s="1"/>
      <c r="F26" s="5">
        <f t="shared" si="12"/>
        <v>0</v>
      </c>
      <c r="G26" s="1"/>
      <c r="H26" s="1">
        <f>SUM(OSRRefH22_0x_0)</f>
        <v>0</v>
      </c>
      <c r="I26" s="1"/>
      <c r="J26" s="5">
        <f t="shared" si="13"/>
        <v>0</v>
      </c>
      <c r="K26" s="1"/>
      <c r="L26" s="1">
        <f t="shared" si="14"/>
        <v>0</v>
      </c>
      <c r="M26" s="1"/>
      <c r="N26" s="5">
        <f t="shared" si="15"/>
        <v>0</v>
      </c>
      <c r="O26" s="14"/>
      <c r="P26" s="1">
        <f>SUM(OSRRefP22_0x_0)</f>
        <v>0</v>
      </c>
      <c r="Q26" s="1"/>
      <c r="R26" s="5">
        <f t="shared" si="16"/>
        <v>0</v>
      </c>
      <c r="S26" s="1"/>
      <c r="T26" s="1">
        <f>SUM(OSRRefT22_0x_0)</f>
        <v>0</v>
      </c>
      <c r="U26" s="1"/>
      <c r="V26" s="5">
        <f t="shared" si="17"/>
        <v>0</v>
      </c>
      <c r="W26" s="1"/>
      <c r="X26" s="1">
        <f t="shared" si="18"/>
        <v>0</v>
      </c>
      <c r="Y26" s="1"/>
      <c r="Z26" s="5">
        <f t="shared" si="19"/>
        <v>0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/>
      <c r="E30" s="2"/>
      <c r="F30" s="6">
        <f t="shared" si="12"/>
        <v>0</v>
      </c>
      <c r="G30" s="2"/>
      <c r="H30" s="7">
        <v>0</v>
      </c>
      <c r="I30" s="2"/>
      <c r="J30" s="6">
        <f t="shared" si="13"/>
        <v>0</v>
      </c>
      <c r="K30" s="2"/>
      <c r="L30" s="7">
        <f t="shared" si="14"/>
        <v>0</v>
      </c>
      <c r="M30" s="2"/>
      <c r="N30" s="6">
        <f t="shared" si="15"/>
        <v>0</v>
      </c>
      <c r="O30" s="11"/>
      <c r="P30" s="7"/>
      <c r="Q30" s="2"/>
      <c r="R30" s="6">
        <f t="shared" si="16"/>
        <v>0</v>
      </c>
      <c r="S30" s="2"/>
      <c r="T30" s="7">
        <v>0</v>
      </c>
      <c r="U30" s="2"/>
      <c r="V30" s="6">
        <f t="shared" si="17"/>
        <v>0</v>
      </c>
      <c r="W30" s="2"/>
      <c r="X30" s="7">
        <f t="shared" si="18"/>
        <v>0</v>
      </c>
      <c r="Y30" s="2"/>
      <c r="Z30" s="6">
        <f t="shared" si="19"/>
        <v>0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/>
      <c r="E31" s="2"/>
      <c r="F31" s="6">
        <f t="shared" si="12"/>
        <v>0</v>
      </c>
      <c r="G31" s="2"/>
      <c r="H31" s="7">
        <v>0</v>
      </c>
      <c r="I31" s="2"/>
      <c r="J31" s="6">
        <f t="shared" si="13"/>
        <v>0</v>
      </c>
      <c r="K31" s="2"/>
      <c r="L31" s="7">
        <f t="shared" si="14"/>
        <v>0</v>
      </c>
      <c r="M31" s="2"/>
      <c r="N31" s="6">
        <f t="shared" si="15"/>
        <v>0</v>
      </c>
      <c r="O31" s="11"/>
      <c r="P31" s="7"/>
      <c r="Q31" s="2"/>
      <c r="R31" s="6">
        <f t="shared" si="16"/>
        <v>0</v>
      </c>
      <c r="S31" s="2"/>
      <c r="T31" s="7">
        <v>0</v>
      </c>
      <c r="U31" s="2"/>
      <c r="V31" s="6">
        <f t="shared" si="17"/>
        <v>0</v>
      </c>
      <c r="W31" s="2"/>
      <c r="X31" s="7">
        <f t="shared" si="18"/>
        <v>0</v>
      </c>
      <c r="Y31" s="2"/>
      <c r="Z31" s="6">
        <f t="shared" si="19"/>
        <v>0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9"/>
      <c r="B33" s="11" t="str">
        <f>CONCATENATE("          ", "6118", " - ", "VACATION")</f>
        <v xml:space="preserve">          6118 - VACATION</v>
      </c>
      <c r="C33" s="11"/>
      <c r="D33" s="7"/>
      <c r="E33" s="2"/>
      <c r="F33" s="6">
        <f t="shared" si="12"/>
        <v>0</v>
      </c>
      <c r="G33" s="2"/>
      <c r="H33" s="7">
        <v>0</v>
      </c>
      <c r="I33" s="2"/>
      <c r="J33" s="6">
        <f t="shared" si="13"/>
        <v>0</v>
      </c>
      <c r="K33" s="2"/>
      <c r="L33" s="7">
        <f t="shared" si="14"/>
        <v>0</v>
      </c>
      <c r="M33" s="2"/>
      <c r="N33" s="6">
        <f t="shared" si="15"/>
        <v>0</v>
      </c>
      <c r="O33" s="11"/>
      <c r="P33" s="7"/>
      <c r="Q33" s="2"/>
      <c r="R33" s="6">
        <f t="shared" si="16"/>
        <v>0</v>
      </c>
      <c r="S33" s="2"/>
      <c r="T33" s="7">
        <v>0</v>
      </c>
      <c r="U33" s="2"/>
      <c r="V33" s="6">
        <f t="shared" si="17"/>
        <v>0</v>
      </c>
      <c r="W33" s="2"/>
      <c r="X33" s="7">
        <f t="shared" si="18"/>
        <v>0</v>
      </c>
      <c r="Y33" s="2"/>
      <c r="Z33" s="6">
        <f t="shared" si="19"/>
        <v>0</v>
      </c>
    </row>
    <row r="34" spans="1:26" s="24" customFormat="1" hidden="1" outlineLevel="2" x14ac:dyDescent="0.25">
      <c r="A34" s="29"/>
      <c r="B34" s="11" t="str">
        <f>CONCATENATE("          ", "6119", " - ", "SICK LEAVE")</f>
        <v xml:space="preserve">          6119 - SICK LEAVE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8" customFormat="1" outlineLevel="1" collapsed="1" x14ac:dyDescent="0.25">
      <c r="A35" s="27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0</v>
      </c>
      <c r="E35" s="1"/>
      <c r="F35" s="5">
        <f t="shared" ref="F35:F45" si="20">IF(D$12=0,0,D35/D$12)</f>
        <v>0</v>
      </c>
      <c r="G35" s="1"/>
      <c r="H35" s="1">
        <f>SUM(OSRRefH22_1x_0)</f>
        <v>0</v>
      </c>
      <c r="I35" s="1"/>
      <c r="J35" s="5">
        <f t="shared" ref="J35:J45" si="21">IF(H$12=0,0,H35/H$12)</f>
        <v>0</v>
      </c>
      <c r="K35" s="1"/>
      <c r="L35" s="1">
        <f t="shared" ref="L35:L45" si="22">+D35-H35</f>
        <v>0</v>
      </c>
      <c r="M35" s="1"/>
      <c r="N35" s="5">
        <f t="shared" ref="N35:N45" si="23">IF(H35=0,0,L35/H35)</f>
        <v>0</v>
      </c>
      <c r="O35" s="14"/>
      <c r="P35" s="1">
        <f>SUM(OSRRefP22_1x_0)</f>
        <v>0</v>
      </c>
      <c r="Q35" s="1"/>
      <c r="R35" s="5">
        <f t="shared" ref="R35:R45" si="24">IF(P$12=0,0,P35/P$12)</f>
        <v>0</v>
      </c>
      <c r="S35" s="1"/>
      <c r="T35" s="1">
        <f>SUM(OSRRefT22_1x_0)</f>
        <v>0</v>
      </c>
      <c r="U35" s="1"/>
      <c r="V35" s="5">
        <f t="shared" ref="V35:V45" si="25">IF(T$12=0,0,T35/T$12)</f>
        <v>0</v>
      </c>
      <c r="W35" s="1"/>
      <c r="X35" s="1">
        <f t="shared" ref="X35:X45" si="26">+P35-T35</f>
        <v>0</v>
      </c>
      <c r="Y35" s="1"/>
      <c r="Z35" s="5">
        <f t="shared" ref="Z35:Z45" si="27">IF(T35=0,0,X35/T35)</f>
        <v>0</v>
      </c>
    </row>
    <row r="36" spans="1:26" s="24" customFormat="1" hidden="1" outlineLevel="2" x14ac:dyDescent="0.25">
      <c r="A36" s="29"/>
      <c r="B36" s="11" t="str">
        <f>CONCATENATE("          ", "6001", " - ", "ADMINISTRATIVE SALARIES")</f>
        <v xml:space="preserve">          6001 - ADMINISTRATIVE SALARIES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9"/>
      <c r="B37" s="11" t="str">
        <f>CONCATENATE("          ", "6002", " - ", "STAFF SALARIES")</f>
        <v xml:space="preserve">          6002 - STAFF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9"/>
      <c r="B38" s="11" t="str">
        <f>CONCATENATE("          ", "6003", " - ", "STAFF HOURLY-9 MONTH")</f>
        <v xml:space="preserve">          6003 - STAFF HOURLY-9 MONTH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"6004", " - ", "STAFF HOURLY")</f>
        <v xml:space="preserve">          6004 - STAFF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"6005", " - ", "TEMPORARY WAGES-HOURLY")</f>
        <v xml:space="preserve">          6005 - TEMPORARY WAGES-HOURLY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9"/>
      <c r="B42" s="11" t="str">
        <f>CONCATENATE("          ", "6007", " - ", "STUDENT HOURLY")</f>
        <v xml:space="preserve">          6007 - STUDENT HOURLY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9"/>
      <c r="B43" s="11" t="str">
        <f>CONCATENATE("          ", "6008", " - ", "STUDENT HOURLY-FICA EXEMPT")</f>
        <v xml:space="preserve">          6008 - STUDENT HOURLY-FICA EXEMPT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"6009", " - ", "TEMPORARY-SEASONAL")</f>
        <v xml:space="preserve">          6009 - TEMPORARY-SEASONAL</v>
      </c>
      <c r="C44" s="11"/>
      <c r="D44" s="7"/>
      <c r="E44" s="2"/>
      <c r="F44" s="6">
        <f t="shared" si="20"/>
        <v>0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0</v>
      </c>
      <c r="M44" s="2"/>
      <c r="N44" s="6">
        <f t="shared" si="23"/>
        <v>0</v>
      </c>
      <c r="O44" s="11"/>
      <c r="P44" s="7"/>
      <c r="Q44" s="2"/>
      <c r="R44" s="6">
        <f t="shared" si="24"/>
        <v>0</v>
      </c>
      <c r="S44" s="2"/>
      <c r="T44" s="7">
        <v>0</v>
      </c>
      <c r="U44" s="2"/>
      <c r="V44" s="6">
        <f t="shared" si="25"/>
        <v>0</v>
      </c>
      <c r="W44" s="2"/>
      <c r="X44" s="7">
        <f t="shared" si="26"/>
        <v>0</v>
      </c>
      <c r="Y44" s="2"/>
      <c r="Z44" s="6">
        <f t="shared" si="27"/>
        <v>0</v>
      </c>
    </row>
    <row r="45" spans="1:26" s="24" customFormat="1" hidden="1" outlineLevel="2" x14ac:dyDescent="0.25">
      <c r="A45" s="29"/>
      <c r="B45" s="11" t="str">
        <f>CONCATENATE("          ", "6010", " - ", "GRATUITY")</f>
        <v xml:space="preserve">          6010 - GRATUITY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53" customFormat="1" x14ac:dyDescent="0.25">
      <c r="A46" s="36"/>
      <c r="B46" s="36"/>
      <c r="C46" s="36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6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6" t="s">
        <v>0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5" t="s">
        <v>3</v>
      </c>
      <c r="C49" s="25"/>
      <c r="D49" s="21">
        <f>+D23-D25+D47</f>
        <v>5231.1400000000003</v>
      </c>
      <c r="E49" s="13"/>
      <c r="F49" s="19">
        <f>IF(D$12=0,0,D49/D$12)</f>
        <v>1.2832555697835868</v>
      </c>
      <c r="G49" s="13"/>
      <c r="H49" s="21">
        <f>+H23-H25+H47</f>
        <v>39</v>
      </c>
      <c r="I49" s="13"/>
      <c r="J49" s="19">
        <f>IF(H$12=0,0,H49/H$12)</f>
        <v>0.2805755395683453</v>
      </c>
      <c r="K49" s="16"/>
      <c r="L49" s="21">
        <f>+D49-H49</f>
        <v>5192.1400000000003</v>
      </c>
      <c r="M49" s="16"/>
      <c r="N49" s="19">
        <f>IF(H49=0,0,L49/H49)</f>
        <v>133.13179487179488</v>
      </c>
      <c r="O49" s="26"/>
      <c r="P49" s="21">
        <f>+P23-P25+P47</f>
        <v>133191.25</v>
      </c>
      <c r="Q49" s="13"/>
      <c r="R49" s="19">
        <f>IF(P$12=0,0,P49/P$12)</f>
        <v>0.27969697084240519</v>
      </c>
      <c r="S49" s="13"/>
      <c r="T49" s="21">
        <f>+T23-T25+T47</f>
        <v>220000</v>
      </c>
      <c r="U49" s="13"/>
      <c r="V49" s="19">
        <f>IF(T$12=0,0,T49/T$12)</f>
        <v>0.270711590024524</v>
      </c>
      <c r="W49" s="16"/>
      <c r="X49" s="21">
        <f>+P49-T49</f>
        <v>-86808.75</v>
      </c>
      <c r="Y49" s="16"/>
      <c r="Z49" s="19">
        <f>IF(T49=0,0,X49/T49)</f>
        <v>-0.39458522727272727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2"/>
      <c r="B51" s="10" t="s">
        <v>14</v>
      </c>
      <c r="C51" s="10"/>
      <c r="D51" s="4">
        <v>13092.95</v>
      </c>
      <c r="E51" s="4"/>
      <c r="F51" s="12">
        <f>IF(D$12=0,0,D51/D$12)</f>
        <v>3.2118431187844356</v>
      </c>
      <c r="G51" s="4"/>
      <c r="H51" s="4">
        <v>9241</v>
      </c>
      <c r="I51" s="4"/>
      <c r="J51" s="12">
        <f>IF(H$12=0,0,H51/H$12)</f>
        <v>66.482014388489205</v>
      </c>
      <c r="K51" s="4"/>
      <c r="L51" s="4">
        <f>+D51-H51</f>
        <v>3851.9500000000007</v>
      </c>
      <c r="M51" s="4"/>
      <c r="N51" s="12">
        <f>IF(H51=0,0,L51/H51)</f>
        <v>0.41683259387512184</v>
      </c>
      <c r="O51" s="10"/>
      <c r="P51" s="4">
        <v>88106.790000000008</v>
      </c>
      <c r="Q51" s="4"/>
      <c r="R51" s="12">
        <f>IF(P$12=0,0,P51/P$12)</f>
        <v>0.1850211802475607</v>
      </c>
      <c r="S51" s="4"/>
      <c r="T51" s="4">
        <v>154157</v>
      </c>
      <c r="U51" s="4"/>
      <c r="V51" s="12">
        <f>IF(T$12=0,0,T51/T$12)</f>
        <v>0.18969130265186612</v>
      </c>
      <c r="W51" s="4"/>
      <c r="X51" s="4">
        <f>+P51-T51</f>
        <v>-66050.209999999992</v>
      </c>
      <c r="Y51" s="4"/>
      <c r="Z51" s="12">
        <f>IF(T51=0,0,X51/T51)</f>
        <v>-0.42846066023599311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5" t="s">
        <v>4</v>
      </c>
      <c r="C53" s="25"/>
      <c r="D53" s="34">
        <f>+D49-D51</f>
        <v>-7861.81</v>
      </c>
      <c r="E53" s="13"/>
      <c r="F53" s="31">
        <f>IF(D$12=0,0,D53/D$12)</f>
        <v>-1.9285875490008488</v>
      </c>
      <c r="G53" s="13"/>
      <c r="H53" s="34">
        <f>+H49-H51</f>
        <v>-9202</v>
      </c>
      <c r="I53" s="13"/>
      <c r="J53" s="31">
        <f>IF(H$12=0,0,H53/H$12)</f>
        <v>-66.201438848920859</v>
      </c>
      <c r="K53" s="16"/>
      <c r="L53" s="34">
        <f>D53-H53</f>
        <v>1340.1899999999996</v>
      </c>
      <c r="M53" s="16"/>
      <c r="N53" s="31">
        <f>IF(H53=0,0,L53/H53)</f>
        <v>-0.14564116496413818</v>
      </c>
      <c r="O53" s="26"/>
      <c r="P53" s="34">
        <f>+P49-P51</f>
        <v>45084.459999999992</v>
      </c>
      <c r="Q53" s="13"/>
      <c r="R53" s="31">
        <f>IF(P$12=0,0,P53/P$12)</f>
        <v>9.4675790594844475E-2</v>
      </c>
      <c r="S53" s="13"/>
      <c r="T53" s="34">
        <f>+T49-T51</f>
        <v>65843</v>
      </c>
      <c r="U53" s="13"/>
      <c r="V53" s="31">
        <f>IF(T$12=0,0,T53/T$12)</f>
        <v>8.1020287372657887E-2</v>
      </c>
      <c r="W53" s="16"/>
      <c r="X53" s="34">
        <f>P53-T53</f>
        <v>-20758.540000000008</v>
      </c>
      <c r="Y53" s="16"/>
      <c r="Z53" s="31">
        <f>IF(T53=0,0,X53/T53)</f>
        <v>-0.31527330164178435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5" t="s">
        <v>5</v>
      </c>
      <c r="C56" s="25"/>
      <c r="D56" s="33">
        <f>SUM(D53:D55)</f>
        <v>-7861.81</v>
      </c>
      <c r="E56" s="13"/>
      <c r="F56" s="32">
        <f>IF(D$12=0,0,D56/D$12)</f>
        <v>-1.9285875490008488</v>
      </c>
      <c r="G56" s="13"/>
      <c r="H56" s="33">
        <f>SUM(H53:H55)</f>
        <v>-9202</v>
      </c>
      <c r="I56" s="13"/>
      <c r="J56" s="32">
        <f>IF(H$12=0,0,H56/H$12)</f>
        <v>-66.201438848920859</v>
      </c>
      <c r="K56" s="16"/>
      <c r="L56" s="33">
        <f>+D56-H56</f>
        <v>1340.1899999999996</v>
      </c>
      <c r="M56" s="16"/>
      <c r="N56" s="32">
        <f>IF(H56=0,0,L56/H56)</f>
        <v>-0.14564116496413818</v>
      </c>
      <c r="O56" s="26"/>
      <c r="P56" s="33">
        <f>SUM(P53:P55)</f>
        <v>45084.459999999992</v>
      </c>
      <c r="Q56" s="13"/>
      <c r="R56" s="32">
        <f>IF(P$12=0,0,P56/P$12)</f>
        <v>9.4675790594844475E-2</v>
      </c>
      <c r="S56" s="13"/>
      <c r="T56" s="33">
        <f>SUM(T53:T55)</f>
        <v>65843</v>
      </c>
      <c r="U56" s="13"/>
      <c r="V56" s="32">
        <f>IF(T$12=0,0,T56/T$12)</f>
        <v>8.1020287372657887E-2</v>
      </c>
      <c r="W56" s="16"/>
      <c r="X56" s="33">
        <f>+P56-T56</f>
        <v>-20758.540000000008</v>
      </c>
      <c r="Y56" s="16"/>
      <c r="Z56" s="32">
        <f>IF(T56=0,0,X56/T56)</f>
        <v>-0.31527330164178435</v>
      </c>
    </row>
    <row r="57" spans="1:26" ht="15.75" thickTop="1" x14ac:dyDescent="0.25">
      <c r="A57" s="9"/>
      <c r="C57" s="9"/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A58" s="9"/>
      <c r="B58" s="63">
        <v>44209.518626157405</v>
      </c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25">
      <c r="A59" s="9"/>
      <c r="B59" s="60" t="s">
        <v>314</v>
      </c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58"/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7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304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214652.63999999996</v>
      </c>
      <c r="E12" s="4"/>
      <c r="F12" s="12"/>
      <c r="G12" s="4"/>
      <c r="H12" s="4">
        <f>SUM(OSRRefH13x_0)</f>
        <v>294861</v>
      </c>
      <c r="I12" s="4"/>
      <c r="J12" s="12"/>
      <c r="K12" s="4"/>
      <c r="L12" s="4">
        <f t="shared" ref="L12:L50" si="0">+D12-H12</f>
        <v>-80208.360000000044</v>
      </c>
      <c r="M12" s="4"/>
      <c r="N12" s="12">
        <f t="shared" ref="N12:N50" si="1">IF(H12=0,0,L12/H12)</f>
        <v>-0.27202091833101033</v>
      </c>
      <c r="O12" s="10"/>
      <c r="P12" s="4">
        <f>SUM(OSRRefP13x_0)</f>
        <v>1030520.55</v>
      </c>
      <c r="Q12" s="4"/>
      <c r="R12" s="12"/>
      <c r="S12" s="4"/>
      <c r="T12" s="4">
        <f>SUM(OSRRefT13x_0)</f>
        <v>1889750.9999999998</v>
      </c>
      <c r="U12" s="4"/>
      <c r="V12" s="12"/>
      <c r="W12" s="4"/>
      <c r="X12" s="4">
        <f t="shared" ref="X12:X50" si="2">+P12-T12</f>
        <v>-859230.44999999972</v>
      </c>
      <c r="Y12" s="4"/>
      <c r="Z12" s="12">
        <f t="shared" ref="Z12:Z50" si="3">IF(T12=0,0,X12/T12)</f>
        <v>-0.45467918789300804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-31504.58</f>
        <v>-31504.58</v>
      </c>
      <c r="E13" s="2"/>
      <c r="F13" s="22"/>
      <c r="G13" s="2"/>
      <c r="H13" s="2">
        <v>294861</v>
      </c>
      <c r="I13" s="2"/>
      <c r="J13" s="22"/>
      <c r="K13" s="2"/>
      <c r="L13" s="2">
        <f t="shared" si="0"/>
        <v>-326365.58</v>
      </c>
      <c r="M13" s="2"/>
      <c r="N13" s="22">
        <f t="shared" si="1"/>
        <v>-1.1068455306059466</v>
      </c>
      <c r="O13" s="11"/>
      <c r="P13" s="2">
        <f>-80798.27</f>
        <v>-80798.27</v>
      </c>
      <c r="Q13" s="2"/>
      <c r="R13" s="22"/>
      <c r="S13" s="2"/>
      <c r="T13" s="2">
        <v>1889750.9999999998</v>
      </c>
      <c r="U13" s="2"/>
      <c r="V13" s="22"/>
      <c r="W13" s="2"/>
      <c r="X13" s="2">
        <f t="shared" si="2"/>
        <v>-1970549.2699999998</v>
      </c>
      <c r="Y13" s="2"/>
      <c r="Z13" s="22">
        <f t="shared" si="3"/>
        <v>-1.0427560403460563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--75.18</f>
        <v>75.180000000000007</v>
      </c>
      <c r="E14" s="2"/>
      <c r="F14" s="22"/>
      <c r="G14" s="2"/>
      <c r="H14" s="2"/>
      <c r="I14" s="2"/>
      <c r="J14" s="22"/>
      <c r="K14" s="2"/>
      <c r="L14" s="2">
        <f t="shared" si="0"/>
        <v>75.180000000000007</v>
      </c>
      <c r="M14" s="2"/>
      <c r="N14" s="22">
        <f t="shared" si="1"/>
        <v>0</v>
      </c>
      <c r="O14" s="11"/>
      <c r="P14" s="2">
        <f>--354.87</f>
        <v>354.87</v>
      </c>
      <c r="Q14" s="2"/>
      <c r="R14" s="22"/>
      <c r="S14" s="2"/>
      <c r="T14" s="2"/>
      <c r="U14" s="2"/>
      <c r="V14" s="22"/>
      <c r="W14" s="2"/>
      <c r="X14" s="2">
        <f t="shared" si="2"/>
        <v>354.87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--3253.96</f>
        <v>3253.96</v>
      </c>
      <c r="E15" s="2"/>
      <c r="F15" s="22"/>
      <c r="G15" s="2"/>
      <c r="H15" s="2"/>
      <c r="I15" s="2"/>
      <c r="J15" s="22"/>
      <c r="K15" s="2"/>
      <c r="L15" s="2">
        <f t="shared" si="0"/>
        <v>3253.96</v>
      </c>
      <c r="M15" s="2"/>
      <c r="N15" s="22">
        <f t="shared" si="1"/>
        <v>0</v>
      </c>
      <c r="O15" s="11"/>
      <c r="P15" s="2">
        <f>--31984.11</f>
        <v>31984.11</v>
      </c>
      <c r="Q15" s="2"/>
      <c r="R15" s="22"/>
      <c r="S15" s="2"/>
      <c r="T15" s="2"/>
      <c r="U15" s="2"/>
      <c r="V15" s="22"/>
      <c r="W15" s="2"/>
      <c r="X15" s="2">
        <f t="shared" si="2"/>
        <v>31984.11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>--1179.23</f>
        <v>1179.23</v>
      </c>
      <c r="E16" s="2"/>
      <c r="F16" s="22"/>
      <c r="G16" s="2"/>
      <c r="H16" s="2"/>
      <c r="I16" s="2"/>
      <c r="J16" s="22"/>
      <c r="K16" s="2"/>
      <c r="L16" s="2">
        <f t="shared" si="0"/>
        <v>1179.23</v>
      </c>
      <c r="M16" s="2"/>
      <c r="N16" s="22">
        <f t="shared" si="1"/>
        <v>0</v>
      </c>
      <c r="O16" s="11"/>
      <c r="P16" s="2">
        <f>--4699.76</f>
        <v>4699.76</v>
      </c>
      <c r="Q16" s="2"/>
      <c r="R16" s="22"/>
      <c r="S16" s="2"/>
      <c r="T16" s="2"/>
      <c r="U16" s="2"/>
      <c r="V16" s="22"/>
      <c r="W16" s="2"/>
      <c r="X16" s="2">
        <f t="shared" si="2"/>
        <v>4699.76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>--247.04</f>
        <v>247.04</v>
      </c>
      <c r="E17" s="2"/>
      <c r="F17" s="22"/>
      <c r="G17" s="2"/>
      <c r="H17" s="2"/>
      <c r="I17" s="2"/>
      <c r="J17" s="22"/>
      <c r="K17" s="2"/>
      <c r="L17" s="2">
        <f t="shared" si="0"/>
        <v>247.04</v>
      </c>
      <c r="M17" s="2"/>
      <c r="N17" s="22">
        <f t="shared" si="1"/>
        <v>0</v>
      </c>
      <c r="O17" s="11"/>
      <c r="P17" s="2">
        <f>--1735.1</f>
        <v>1735.1</v>
      </c>
      <c r="Q17" s="2"/>
      <c r="R17" s="22"/>
      <c r="S17" s="2"/>
      <c r="T17" s="2"/>
      <c r="U17" s="2"/>
      <c r="V17" s="22"/>
      <c r="W17" s="2"/>
      <c r="X17" s="2">
        <f t="shared" si="2"/>
        <v>1735.1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--6.78</f>
        <v>6.78</v>
      </c>
      <c r="Q18" s="2"/>
      <c r="R18" s="22"/>
      <c r="S18" s="2"/>
      <c r="T18" s="2"/>
      <c r="U18" s="2"/>
      <c r="V18" s="22"/>
      <c r="W18" s="2"/>
      <c r="X18" s="2">
        <f t="shared" si="2"/>
        <v>6.78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"4040", " - ", "TAXABLE SALES-LOGO CLOTHING")</f>
        <v xml:space="preserve">          4040 - TAXABLE SALES-LOGO CLOTHING</v>
      </c>
      <c r="C19" s="11"/>
      <c r="D19" s="2">
        <f>--84378.29</f>
        <v>84378.29</v>
      </c>
      <c r="E19" s="2"/>
      <c r="F19" s="22"/>
      <c r="G19" s="2"/>
      <c r="H19" s="2"/>
      <c r="I19" s="2"/>
      <c r="J19" s="22"/>
      <c r="K19" s="2"/>
      <c r="L19" s="2">
        <f t="shared" si="0"/>
        <v>84378.29</v>
      </c>
      <c r="M19" s="2"/>
      <c r="N19" s="22">
        <f t="shared" si="1"/>
        <v>0</v>
      </c>
      <c r="O19" s="11"/>
      <c r="P19" s="2">
        <f>--508110.99</f>
        <v>508110.99</v>
      </c>
      <c r="Q19" s="2"/>
      <c r="R19" s="22"/>
      <c r="S19" s="2"/>
      <c r="T19" s="2"/>
      <c r="U19" s="2"/>
      <c r="V19" s="22"/>
      <c r="W19" s="2"/>
      <c r="X19" s="2">
        <f t="shared" si="2"/>
        <v>508110.99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"4041", " - ", "TAXABLE SALES-LOGO GIFTS")</f>
        <v xml:space="preserve">          4041 - TAXABLE SALES-LOGO GIFTS</v>
      </c>
      <c r="C20" s="11"/>
      <c r="D20" s="2">
        <f>--31965.93</f>
        <v>31965.93</v>
      </c>
      <c r="E20" s="2"/>
      <c r="F20" s="22"/>
      <c r="G20" s="2"/>
      <c r="H20" s="2"/>
      <c r="I20" s="2"/>
      <c r="J20" s="22"/>
      <c r="K20" s="2"/>
      <c r="L20" s="2">
        <f t="shared" si="0"/>
        <v>31965.93</v>
      </c>
      <c r="M20" s="2"/>
      <c r="N20" s="22">
        <f t="shared" si="1"/>
        <v>0</v>
      </c>
      <c r="O20" s="11"/>
      <c r="P20" s="2">
        <f>--136674.05</f>
        <v>136674.04999999999</v>
      </c>
      <c r="Q20" s="2"/>
      <c r="R20" s="22"/>
      <c r="S20" s="2"/>
      <c r="T20" s="2"/>
      <c r="U20" s="2"/>
      <c r="V20" s="22"/>
      <c r="W20" s="2"/>
      <c r="X20" s="2">
        <f t="shared" si="2"/>
        <v>136674.04999999999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--7054.55</f>
        <v>7054.55</v>
      </c>
      <c r="E21" s="2"/>
      <c r="F21" s="22"/>
      <c r="G21" s="2"/>
      <c r="H21" s="2"/>
      <c r="I21" s="2"/>
      <c r="J21" s="22"/>
      <c r="K21" s="2"/>
      <c r="L21" s="2">
        <f t="shared" si="0"/>
        <v>7054.55</v>
      </c>
      <c r="M21" s="2"/>
      <c r="N21" s="22">
        <f t="shared" si="1"/>
        <v>0</v>
      </c>
      <c r="O21" s="11"/>
      <c r="P21" s="2">
        <f>--52043.85</f>
        <v>52043.85</v>
      </c>
      <c r="Q21" s="2"/>
      <c r="R21" s="22"/>
      <c r="S21" s="2"/>
      <c r="T21" s="2"/>
      <c r="U21" s="2"/>
      <c r="V21" s="22"/>
      <c r="W21" s="2"/>
      <c r="X21" s="2">
        <f t="shared" si="2"/>
        <v>52043.85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"4043", " - ", "TAXABLE SALES-CARDS")</f>
        <v xml:space="preserve">          4043 - TAXABLE SALES-CARDS</v>
      </c>
      <c r="C22" s="11"/>
      <c r="D22" s="2">
        <f>--35922.95</f>
        <v>35922.949999999997</v>
      </c>
      <c r="E22" s="2"/>
      <c r="F22" s="22"/>
      <c r="G22" s="2"/>
      <c r="H22" s="2"/>
      <c r="I22" s="2"/>
      <c r="J22" s="22"/>
      <c r="K22" s="2"/>
      <c r="L22" s="2">
        <f t="shared" si="0"/>
        <v>35922.949999999997</v>
      </c>
      <c r="M22" s="2"/>
      <c r="N22" s="22">
        <f t="shared" si="1"/>
        <v>0</v>
      </c>
      <c r="O22" s="11"/>
      <c r="P22" s="2">
        <f>--93093.19</f>
        <v>93093.19</v>
      </c>
      <c r="Q22" s="2"/>
      <c r="R22" s="22"/>
      <c r="S22" s="2"/>
      <c r="T22" s="2"/>
      <c r="U22" s="2"/>
      <c r="V22" s="22"/>
      <c r="W22" s="2"/>
      <c r="X22" s="2">
        <f t="shared" si="2"/>
        <v>93093.19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"4044", " - ", "TAXABLE SALES-ACCESSORIES")</f>
        <v xml:space="preserve">          4044 - TAXABLE SALES-ACCESSORIES</v>
      </c>
      <c r="C23" s="11"/>
      <c r="D23" s="2">
        <f>--11267.16</f>
        <v>11267.16</v>
      </c>
      <c r="E23" s="2"/>
      <c r="F23" s="22"/>
      <c r="G23" s="2"/>
      <c r="H23" s="2"/>
      <c r="I23" s="2"/>
      <c r="J23" s="22"/>
      <c r="K23" s="2"/>
      <c r="L23" s="2">
        <f t="shared" si="0"/>
        <v>11267.16</v>
      </c>
      <c r="M23" s="2"/>
      <c r="N23" s="22">
        <f t="shared" si="1"/>
        <v>0</v>
      </c>
      <c r="O23" s="11"/>
      <c r="P23" s="2">
        <f>--26273.67</f>
        <v>26273.67</v>
      </c>
      <c r="Q23" s="2"/>
      <c r="R23" s="22"/>
      <c r="S23" s="2"/>
      <c r="T23" s="2"/>
      <c r="U23" s="2"/>
      <c r="V23" s="22"/>
      <c r="W23" s="2"/>
      <c r="X23" s="2">
        <f t="shared" si="2"/>
        <v>26273.67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--13848.98</f>
        <v>13848.98</v>
      </c>
      <c r="E24" s="2"/>
      <c r="F24" s="22"/>
      <c r="G24" s="2"/>
      <c r="H24" s="2"/>
      <c r="I24" s="2"/>
      <c r="J24" s="22"/>
      <c r="K24" s="2"/>
      <c r="L24" s="2">
        <f t="shared" si="0"/>
        <v>13848.98</v>
      </c>
      <c r="M24" s="2"/>
      <c r="N24" s="22">
        <f t="shared" si="1"/>
        <v>0</v>
      </c>
      <c r="O24" s="11"/>
      <c r="P24" s="2">
        <f>--122061.15</f>
        <v>122061.15</v>
      </c>
      <c r="Q24" s="2"/>
      <c r="R24" s="22"/>
      <c r="S24" s="2"/>
      <c r="T24" s="2"/>
      <c r="U24" s="2"/>
      <c r="V24" s="22"/>
      <c r="W24" s="2"/>
      <c r="X24" s="2">
        <f t="shared" si="2"/>
        <v>122061.15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--52.68</f>
        <v>52.68</v>
      </c>
      <c r="Q25" s="2"/>
      <c r="R25" s="22"/>
      <c r="S25" s="2"/>
      <c r="T25" s="2"/>
      <c r="U25" s="2"/>
      <c r="V25" s="22"/>
      <c r="W25" s="2"/>
      <c r="X25" s="2">
        <f t="shared" si="2"/>
        <v>52.68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--259.53</f>
        <v>259.52999999999997</v>
      </c>
      <c r="E26" s="2"/>
      <c r="F26" s="22"/>
      <c r="G26" s="2"/>
      <c r="H26" s="2"/>
      <c r="I26" s="2"/>
      <c r="J26" s="22"/>
      <c r="K26" s="2"/>
      <c r="L26" s="2">
        <f t="shared" si="0"/>
        <v>259.52999999999997</v>
      </c>
      <c r="M26" s="2"/>
      <c r="N26" s="22">
        <f t="shared" si="1"/>
        <v>0</v>
      </c>
      <c r="O26" s="11"/>
      <c r="P26" s="2">
        <f>--3206.11</f>
        <v>3206.11</v>
      </c>
      <c r="Q26" s="2"/>
      <c r="R26" s="22"/>
      <c r="S26" s="2"/>
      <c r="T26" s="2"/>
      <c r="U26" s="2"/>
      <c r="V26" s="22"/>
      <c r="W26" s="2"/>
      <c r="X26" s="2">
        <f t="shared" si="2"/>
        <v>3206.11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"4128", " - ", "NON-TAXABLE SALES-ART/TECH")</f>
        <v xml:space="preserve">          4128 - NON-TAXABLE SALES-ART/TECH</v>
      </c>
      <c r="C27" s="11"/>
      <c r="D27" s="2">
        <f>0</f>
        <v>0</v>
      </c>
      <c r="E27" s="2"/>
      <c r="F27" s="22"/>
      <c r="G27" s="2"/>
      <c r="H27" s="2"/>
      <c r="I27" s="2"/>
      <c r="J27" s="22"/>
      <c r="K27" s="2"/>
      <c r="L27" s="2">
        <f t="shared" si="0"/>
        <v>0</v>
      </c>
      <c r="M27" s="2"/>
      <c r="N27" s="22">
        <f t="shared" si="1"/>
        <v>0</v>
      </c>
      <c r="O27" s="11"/>
      <c r="P27" s="2">
        <f>--24.78</f>
        <v>24.78</v>
      </c>
      <c r="Q27" s="2"/>
      <c r="R27" s="22"/>
      <c r="S27" s="2"/>
      <c r="T27" s="2"/>
      <c r="U27" s="2"/>
      <c r="V27" s="22"/>
      <c r="W27" s="2"/>
      <c r="X27" s="2">
        <f t="shared" si="2"/>
        <v>24.78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"4131", " - ", "NON-TAXABLE SALES-FOOD")</f>
        <v xml:space="preserve">          4131 - NON-TAXABLE SALES-FOOD</v>
      </c>
      <c r="C28" s="11"/>
      <c r="D28" s="2">
        <f>--1032.82</f>
        <v>1032.82</v>
      </c>
      <c r="E28" s="2"/>
      <c r="F28" s="22"/>
      <c r="G28" s="2"/>
      <c r="H28" s="2"/>
      <c r="I28" s="2"/>
      <c r="J28" s="22"/>
      <c r="K28" s="2"/>
      <c r="L28" s="2">
        <f t="shared" si="0"/>
        <v>1032.82</v>
      </c>
      <c r="M28" s="2"/>
      <c r="N28" s="22">
        <f t="shared" si="1"/>
        <v>0</v>
      </c>
      <c r="O28" s="11"/>
      <c r="P28" s="2">
        <f>--5694.99</f>
        <v>5694.99</v>
      </c>
      <c r="Q28" s="2"/>
      <c r="R28" s="22"/>
      <c r="S28" s="2"/>
      <c r="T28" s="2"/>
      <c r="U28" s="2"/>
      <c r="V28" s="22"/>
      <c r="W28" s="2"/>
      <c r="X28" s="2">
        <f t="shared" si="2"/>
        <v>5694.99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ref="D29:D32" si="4">0</f>
        <v>0</v>
      </c>
      <c r="E29" s="2"/>
      <c r="F29" s="22"/>
      <c r="G29" s="2"/>
      <c r="H29" s="2"/>
      <c r="I29" s="2"/>
      <c r="J29" s="22"/>
      <c r="K29" s="2"/>
      <c r="L29" s="2">
        <f t="shared" si="0"/>
        <v>0</v>
      </c>
      <c r="M29" s="2"/>
      <c r="N29" s="22">
        <f t="shared" si="1"/>
        <v>0</v>
      </c>
      <c r="O29" s="11"/>
      <c r="P29" s="2">
        <f>--22.49</f>
        <v>22.49</v>
      </c>
      <c r="Q29" s="2"/>
      <c r="R29" s="22"/>
      <c r="S29" s="2"/>
      <c r="T29" s="2"/>
      <c r="U29" s="2"/>
      <c r="V29" s="22"/>
      <c r="W29" s="2"/>
      <c r="X29" s="2">
        <f t="shared" si="2"/>
        <v>22.49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4"/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--80.71</f>
        <v>80.709999999999994</v>
      </c>
      <c r="Q30" s="2"/>
      <c r="R30" s="22"/>
      <c r="S30" s="2"/>
      <c r="T30" s="2"/>
      <c r="U30" s="2"/>
      <c r="V30" s="22"/>
      <c r="W30" s="2"/>
      <c r="X30" s="2">
        <f t="shared" si="2"/>
        <v>80.709999999999994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4"/>
        <v>0</v>
      </c>
      <c r="E31" s="2"/>
      <c r="F31" s="22"/>
      <c r="G31" s="2"/>
      <c r="H31" s="2"/>
      <c r="I31" s="2"/>
      <c r="J31" s="22"/>
      <c r="K31" s="2"/>
      <c r="L31" s="2">
        <f t="shared" si="0"/>
        <v>0</v>
      </c>
      <c r="M31" s="2"/>
      <c r="N31" s="22">
        <f t="shared" si="1"/>
        <v>0</v>
      </c>
      <c r="O31" s="11"/>
      <c r="P31" s="2">
        <f>--45.53</f>
        <v>45.53</v>
      </c>
      <c r="Q31" s="2"/>
      <c r="R31" s="22"/>
      <c r="S31" s="2"/>
      <c r="T31" s="2"/>
      <c r="U31" s="2"/>
      <c r="V31" s="22"/>
      <c r="W31" s="2"/>
      <c r="X31" s="2">
        <f t="shared" si="2"/>
        <v>45.53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4"/>
        <v>0</v>
      </c>
      <c r="E32" s="2"/>
      <c r="F32" s="22"/>
      <c r="G32" s="2"/>
      <c r="H32" s="2"/>
      <c r="I32" s="2"/>
      <c r="J32" s="22"/>
      <c r="K32" s="2"/>
      <c r="L32" s="2">
        <f t="shared" si="0"/>
        <v>0</v>
      </c>
      <c r="M32" s="2"/>
      <c r="N32" s="22">
        <f t="shared" si="1"/>
        <v>0</v>
      </c>
      <c r="O32" s="11"/>
      <c r="P32" s="2">
        <f>--68.25</f>
        <v>68.25</v>
      </c>
      <c r="Q32" s="2"/>
      <c r="R32" s="22"/>
      <c r="S32" s="2"/>
      <c r="T32" s="2"/>
      <c r="U32" s="2"/>
      <c r="V32" s="22"/>
      <c r="W32" s="2"/>
      <c r="X32" s="2">
        <f t="shared" si="2"/>
        <v>68.25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>--53650.7</f>
        <v>53650.7</v>
      </c>
      <c r="E33" s="2"/>
      <c r="F33" s="22"/>
      <c r="G33" s="2"/>
      <c r="H33" s="2"/>
      <c r="I33" s="2"/>
      <c r="J33" s="22"/>
      <c r="K33" s="2"/>
      <c r="L33" s="2">
        <f t="shared" si="0"/>
        <v>53650.7</v>
      </c>
      <c r="M33" s="2"/>
      <c r="N33" s="22">
        <f t="shared" si="1"/>
        <v>0</v>
      </c>
      <c r="O33" s="11"/>
      <c r="P33" s="2">
        <f>--103970.97</f>
        <v>103970.97</v>
      </c>
      <c r="Q33" s="2"/>
      <c r="R33" s="22"/>
      <c r="S33" s="2"/>
      <c r="T33" s="2"/>
      <c r="U33" s="2"/>
      <c r="V33" s="22"/>
      <c r="W33" s="2"/>
      <c r="X33" s="2">
        <f t="shared" si="2"/>
        <v>103970.97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"4141", " - ", "NON-TAXABLE SALES-LOGO GIFTS")</f>
        <v xml:space="preserve">          4141 - NON-TAXABLE SALES-LOGO GIFTS</v>
      </c>
      <c r="C34" s="11"/>
      <c r="D34" s="2">
        <f>--1772.08</f>
        <v>1772.08</v>
      </c>
      <c r="E34" s="2"/>
      <c r="F34" s="22"/>
      <c r="G34" s="2"/>
      <c r="H34" s="2"/>
      <c r="I34" s="2"/>
      <c r="J34" s="22"/>
      <c r="K34" s="2"/>
      <c r="L34" s="2">
        <f t="shared" si="0"/>
        <v>1772.08</v>
      </c>
      <c r="M34" s="2"/>
      <c r="N34" s="22">
        <f t="shared" si="1"/>
        <v>0</v>
      </c>
      <c r="O34" s="11"/>
      <c r="P34" s="2">
        <f>--5449.6</f>
        <v>5449.6</v>
      </c>
      <c r="Q34" s="2"/>
      <c r="R34" s="22"/>
      <c r="S34" s="2"/>
      <c r="T34" s="2"/>
      <c r="U34" s="2"/>
      <c r="V34" s="22"/>
      <c r="W34" s="2"/>
      <c r="X34" s="2">
        <f t="shared" si="2"/>
        <v>5449.6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>0</f>
        <v>0</v>
      </c>
      <c r="E35" s="2"/>
      <c r="F35" s="22"/>
      <c r="G35" s="2"/>
      <c r="H35" s="2"/>
      <c r="I35" s="2"/>
      <c r="J35" s="22"/>
      <c r="K35" s="2"/>
      <c r="L35" s="2">
        <f t="shared" si="0"/>
        <v>0</v>
      </c>
      <c r="M35" s="2"/>
      <c r="N35" s="22">
        <f t="shared" si="1"/>
        <v>0</v>
      </c>
      <c r="O35" s="11"/>
      <c r="P35" s="2">
        <f>--1097.6</f>
        <v>1097.5999999999999</v>
      </c>
      <c r="Q35" s="2"/>
      <c r="R35" s="22"/>
      <c r="S35" s="2"/>
      <c r="T35" s="2"/>
      <c r="U35" s="2"/>
      <c r="V35" s="22"/>
      <c r="W35" s="2"/>
      <c r="X35" s="2">
        <f t="shared" si="2"/>
        <v>1097.5999999999999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"4143", " - ", "NON-TAXABLE SALES-CARDS")</f>
        <v xml:space="preserve">          4143 - NON-TAXABLE SALES-CARDS</v>
      </c>
      <c r="C36" s="11"/>
      <c r="D36" s="2">
        <f>--1697.07</f>
        <v>1697.07</v>
      </c>
      <c r="E36" s="2"/>
      <c r="F36" s="22"/>
      <c r="G36" s="2"/>
      <c r="H36" s="2"/>
      <c r="I36" s="2"/>
      <c r="J36" s="22"/>
      <c r="K36" s="2"/>
      <c r="L36" s="2">
        <f t="shared" si="0"/>
        <v>1697.07</v>
      </c>
      <c r="M36" s="2"/>
      <c r="N36" s="22">
        <f t="shared" si="1"/>
        <v>0</v>
      </c>
      <c r="O36" s="11"/>
      <c r="P36" s="2">
        <f>--1737.03</f>
        <v>1737.03</v>
      </c>
      <c r="Q36" s="2"/>
      <c r="R36" s="22"/>
      <c r="S36" s="2"/>
      <c r="T36" s="2"/>
      <c r="U36" s="2"/>
      <c r="V36" s="22"/>
      <c r="W36" s="2"/>
      <c r="X36" s="2">
        <f t="shared" si="2"/>
        <v>1737.03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>--99.8</f>
        <v>99.8</v>
      </c>
      <c r="E37" s="2"/>
      <c r="F37" s="22"/>
      <c r="G37" s="2"/>
      <c r="H37" s="2"/>
      <c r="I37" s="2"/>
      <c r="J37" s="22"/>
      <c r="K37" s="2"/>
      <c r="L37" s="2">
        <f t="shared" si="0"/>
        <v>99.8</v>
      </c>
      <c r="M37" s="2"/>
      <c r="N37" s="22">
        <f t="shared" si="1"/>
        <v>0</v>
      </c>
      <c r="O37" s="11"/>
      <c r="P37" s="2">
        <f>--489.5</f>
        <v>489.5</v>
      </c>
      <c r="Q37" s="2"/>
      <c r="R37" s="22"/>
      <c r="S37" s="2"/>
      <c r="T37" s="2"/>
      <c r="U37" s="2"/>
      <c r="V37" s="22"/>
      <c r="W37" s="2"/>
      <c r="X37" s="2">
        <f t="shared" si="2"/>
        <v>489.5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>--16747.77</f>
        <v>16747.77</v>
      </c>
      <c r="E38" s="2"/>
      <c r="F38" s="22"/>
      <c r="G38" s="2"/>
      <c r="H38" s="2"/>
      <c r="I38" s="2"/>
      <c r="J38" s="22"/>
      <c r="K38" s="2"/>
      <c r="L38" s="2">
        <f t="shared" si="0"/>
        <v>16747.77</v>
      </c>
      <c r="M38" s="2"/>
      <c r="N38" s="22">
        <f t="shared" si="1"/>
        <v>0</v>
      </c>
      <c r="O38" s="11"/>
      <c r="P38" s="2">
        <f>--55393.77</f>
        <v>55393.77</v>
      </c>
      <c r="Q38" s="2"/>
      <c r="R38" s="22"/>
      <c r="S38" s="2"/>
      <c r="T38" s="2"/>
      <c r="U38" s="2"/>
      <c r="V38" s="22"/>
      <c r="W38" s="2"/>
      <c r="X38" s="2">
        <f t="shared" si="2"/>
        <v>55393.77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>0</f>
        <v>0</v>
      </c>
      <c r="E39" s="2"/>
      <c r="F39" s="22"/>
      <c r="G39" s="2"/>
      <c r="H39" s="2"/>
      <c r="I39" s="2"/>
      <c r="J39" s="22"/>
      <c r="K39" s="2"/>
      <c r="L39" s="2">
        <f t="shared" si="0"/>
        <v>0</v>
      </c>
      <c r="M39" s="2"/>
      <c r="N39" s="22">
        <f t="shared" si="1"/>
        <v>0</v>
      </c>
      <c r="O39" s="11"/>
      <c r="P39" s="2">
        <f>-34.23</f>
        <v>-34.229999999999997</v>
      </c>
      <c r="Q39" s="2"/>
      <c r="R39" s="22"/>
      <c r="S39" s="2"/>
      <c r="T39" s="2"/>
      <c r="U39" s="2"/>
      <c r="V39" s="22"/>
      <c r="W39" s="2"/>
      <c r="X39" s="2">
        <f t="shared" si="2"/>
        <v>-34.229999999999997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-25.82</f>
        <v>-25.82</v>
      </c>
      <c r="E40" s="2"/>
      <c r="F40" s="22"/>
      <c r="G40" s="2"/>
      <c r="H40" s="2"/>
      <c r="I40" s="2"/>
      <c r="J40" s="22"/>
      <c r="K40" s="2"/>
      <c r="L40" s="2">
        <f t="shared" si="0"/>
        <v>-25.82</v>
      </c>
      <c r="M40" s="2"/>
      <c r="N40" s="22">
        <f t="shared" si="1"/>
        <v>0</v>
      </c>
      <c r="O40" s="11"/>
      <c r="P40" s="2">
        <f>-476.49</f>
        <v>-476.49</v>
      </c>
      <c r="Q40" s="2"/>
      <c r="R40" s="22"/>
      <c r="S40" s="2"/>
      <c r="T40" s="2"/>
      <c r="U40" s="2"/>
      <c r="V40" s="22"/>
      <c r="W40" s="2"/>
      <c r="X40" s="2">
        <f t="shared" si="2"/>
        <v>-476.49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0</f>
        <v>0</v>
      </c>
      <c r="E41" s="2"/>
      <c r="F41" s="22"/>
      <c r="G41" s="2"/>
      <c r="H41" s="2"/>
      <c r="I41" s="2"/>
      <c r="J41" s="22"/>
      <c r="K41" s="2"/>
      <c r="L41" s="2">
        <f t="shared" si="0"/>
        <v>0</v>
      </c>
      <c r="M41" s="2"/>
      <c r="N41" s="22">
        <f t="shared" si="1"/>
        <v>0</v>
      </c>
      <c r="O41" s="11"/>
      <c r="P41" s="2">
        <f>-32.49</f>
        <v>-32.49</v>
      </c>
      <c r="Q41" s="2"/>
      <c r="R41" s="22"/>
      <c r="S41" s="2"/>
      <c r="T41" s="2"/>
      <c r="U41" s="2"/>
      <c r="V41" s="22"/>
      <c r="W41" s="2"/>
      <c r="X41" s="2">
        <f t="shared" si="2"/>
        <v>-32.49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-4840.17</f>
        <v>-4840.17</v>
      </c>
      <c r="E42" s="2"/>
      <c r="F42" s="22"/>
      <c r="G42" s="2"/>
      <c r="H42" s="2"/>
      <c r="I42" s="2"/>
      <c r="J42" s="22"/>
      <c r="K42" s="2"/>
      <c r="L42" s="2">
        <f t="shared" si="0"/>
        <v>-4840.17</v>
      </c>
      <c r="M42" s="2"/>
      <c r="N42" s="22">
        <f t="shared" si="1"/>
        <v>0</v>
      </c>
      <c r="O42" s="11"/>
      <c r="P42" s="2">
        <f>-20418.84</f>
        <v>-20418.84</v>
      </c>
      <c r="Q42" s="2"/>
      <c r="R42" s="22"/>
      <c r="S42" s="2"/>
      <c r="T42" s="2"/>
      <c r="U42" s="2"/>
      <c r="V42" s="22"/>
      <c r="W42" s="2"/>
      <c r="X42" s="2">
        <f t="shared" si="2"/>
        <v>-20418.84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-747.01</f>
        <v>-747.01</v>
      </c>
      <c r="E43" s="2"/>
      <c r="F43" s="22"/>
      <c r="G43" s="2"/>
      <c r="H43" s="2"/>
      <c r="I43" s="2"/>
      <c r="J43" s="22"/>
      <c r="K43" s="2"/>
      <c r="L43" s="2">
        <f t="shared" si="0"/>
        <v>-747.01</v>
      </c>
      <c r="M43" s="2"/>
      <c r="N43" s="22">
        <f t="shared" si="1"/>
        <v>0</v>
      </c>
      <c r="O43" s="11"/>
      <c r="P43" s="2">
        <f>-2721.66</f>
        <v>-2721.66</v>
      </c>
      <c r="Q43" s="2"/>
      <c r="R43" s="22"/>
      <c r="S43" s="2"/>
      <c r="T43" s="2"/>
      <c r="U43" s="2"/>
      <c r="V43" s="22"/>
      <c r="W43" s="2"/>
      <c r="X43" s="2">
        <f t="shared" si="2"/>
        <v>-2721.66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-287.93</f>
        <v>-287.93</v>
      </c>
      <c r="E44" s="2"/>
      <c r="F44" s="22"/>
      <c r="G44" s="2"/>
      <c r="H44" s="2"/>
      <c r="I44" s="2"/>
      <c r="J44" s="22"/>
      <c r="K44" s="2"/>
      <c r="L44" s="2">
        <f t="shared" si="0"/>
        <v>-287.93</v>
      </c>
      <c r="M44" s="2"/>
      <c r="N44" s="22">
        <f t="shared" si="1"/>
        <v>0</v>
      </c>
      <c r="O44" s="11"/>
      <c r="P44" s="2">
        <f>-1616.92</f>
        <v>-1616.92</v>
      </c>
      <c r="Q44" s="2"/>
      <c r="R44" s="22"/>
      <c r="S44" s="2"/>
      <c r="T44" s="2"/>
      <c r="U44" s="2"/>
      <c r="V44" s="22"/>
      <c r="W44" s="2"/>
      <c r="X44" s="2">
        <f t="shared" si="2"/>
        <v>-1616.92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"4243", " - ", "SALES RETURN TAXABLE-CARDS")</f>
        <v xml:space="preserve">          4243 - SALES RETURN TAXABLE-CARDS</v>
      </c>
      <c r="C45" s="11"/>
      <c r="D45" s="2">
        <f>-1765.08</f>
        <v>-1765.08</v>
      </c>
      <c r="E45" s="2"/>
      <c r="F45" s="22"/>
      <c r="G45" s="2"/>
      <c r="H45" s="2"/>
      <c r="I45" s="2"/>
      <c r="J45" s="22"/>
      <c r="K45" s="2"/>
      <c r="L45" s="2">
        <f t="shared" si="0"/>
        <v>-1765.08</v>
      </c>
      <c r="M45" s="2"/>
      <c r="N45" s="22">
        <f t="shared" si="1"/>
        <v>0</v>
      </c>
      <c r="O45" s="11"/>
      <c r="P45" s="2">
        <f>-3577.54</f>
        <v>-3577.54</v>
      </c>
      <c r="Q45" s="2"/>
      <c r="R45" s="22"/>
      <c r="S45" s="2"/>
      <c r="T45" s="2"/>
      <c r="U45" s="2"/>
      <c r="V45" s="22"/>
      <c r="W45" s="2"/>
      <c r="X45" s="2">
        <f t="shared" si="2"/>
        <v>-3577.54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-299.93</f>
        <v>-299.93</v>
      </c>
      <c r="E46" s="2"/>
      <c r="F46" s="22"/>
      <c r="G46" s="2"/>
      <c r="H46" s="2"/>
      <c r="I46" s="2"/>
      <c r="J46" s="22"/>
      <c r="K46" s="2"/>
      <c r="L46" s="2">
        <f t="shared" si="0"/>
        <v>-299.93</v>
      </c>
      <c r="M46" s="2"/>
      <c r="N46" s="22">
        <f t="shared" si="1"/>
        <v>0</v>
      </c>
      <c r="O46" s="11"/>
      <c r="P46" s="2">
        <f>-890.87</f>
        <v>-890.87</v>
      </c>
      <c r="Q46" s="2"/>
      <c r="R46" s="22"/>
      <c r="S46" s="2"/>
      <c r="T46" s="2"/>
      <c r="U46" s="2"/>
      <c r="V46" s="22"/>
      <c r="W46" s="2"/>
      <c r="X46" s="2">
        <f t="shared" si="2"/>
        <v>-890.87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-9752.79</f>
        <v>-9752.7900000000009</v>
      </c>
      <c r="E47" s="2"/>
      <c r="F47" s="22"/>
      <c r="G47" s="2"/>
      <c r="H47" s="2"/>
      <c r="I47" s="2"/>
      <c r="J47" s="22"/>
      <c r="K47" s="2"/>
      <c r="L47" s="2">
        <f t="shared" si="0"/>
        <v>-9752.7900000000009</v>
      </c>
      <c r="M47" s="2"/>
      <c r="N47" s="22">
        <f t="shared" si="1"/>
        <v>0</v>
      </c>
      <c r="O47" s="11"/>
      <c r="P47" s="2">
        <f>-11345.61</f>
        <v>-11345.61</v>
      </c>
      <c r="Q47" s="2"/>
      <c r="R47" s="22"/>
      <c r="S47" s="2"/>
      <c r="T47" s="2"/>
      <c r="U47" s="2"/>
      <c r="V47" s="22"/>
      <c r="W47" s="2"/>
      <c r="X47" s="2">
        <f t="shared" si="2"/>
        <v>-11345.61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"4340", " - ", "SALES RETURN NON TAXABLE-LOGO")</f>
        <v xml:space="preserve">          4340 - SALES RETURN NON TAXABLE-LOGO</v>
      </c>
      <c r="C48" s="11"/>
      <c r="D48" s="2">
        <f>-543.24</f>
        <v>-543.24</v>
      </c>
      <c r="E48" s="2"/>
      <c r="F48" s="22"/>
      <c r="G48" s="2"/>
      <c r="H48" s="2"/>
      <c r="I48" s="2"/>
      <c r="J48" s="22"/>
      <c r="K48" s="2"/>
      <c r="L48" s="2">
        <f t="shared" si="0"/>
        <v>-543.24</v>
      </c>
      <c r="M48" s="2"/>
      <c r="N48" s="22">
        <f t="shared" si="1"/>
        <v>0</v>
      </c>
      <c r="O48" s="11"/>
      <c r="P48" s="2">
        <f>-1483.72</f>
        <v>-1483.72</v>
      </c>
      <c r="Q48" s="2"/>
      <c r="R48" s="22"/>
      <c r="S48" s="2"/>
      <c r="T48" s="2"/>
      <c r="U48" s="2"/>
      <c r="V48" s="22"/>
      <c r="W48" s="2"/>
      <c r="X48" s="2">
        <f t="shared" si="2"/>
        <v>-1483.72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"4341", " - ", "SALES RETURN NON TAXABLE-LOGO")</f>
        <v xml:space="preserve">          4341 - SALES RETURN NON TAXABLE-LOGO</v>
      </c>
      <c r="C49" s="11"/>
      <c r="D49" s="2">
        <f>-33.85</f>
        <v>-33.85</v>
      </c>
      <c r="E49" s="2"/>
      <c r="F49" s="22"/>
      <c r="G49" s="2"/>
      <c r="H49" s="2"/>
      <c r="I49" s="2"/>
      <c r="J49" s="22"/>
      <c r="K49" s="2"/>
      <c r="L49" s="2">
        <f t="shared" si="0"/>
        <v>-33.85</v>
      </c>
      <c r="M49" s="2"/>
      <c r="N49" s="22">
        <f t="shared" si="1"/>
        <v>0</v>
      </c>
      <c r="O49" s="11"/>
      <c r="P49" s="2">
        <f>-335.64</f>
        <v>-335.64</v>
      </c>
      <c r="Q49" s="2"/>
      <c r="R49" s="22"/>
      <c r="S49" s="2"/>
      <c r="T49" s="2"/>
      <c r="U49" s="2"/>
      <c r="V49" s="22"/>
      <c r="W49" s="2"/>
      <c r="X49" s="2">
        <f t="shared" si="2"/>
        <v>-335.64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"4342", " - ", "SALES RETURN NON TAXABLE-EVERY")</f>
        <v xml:space="preserve">          4342 - SALES RETURN NON TAXABLE-EVERY</v>
      </c>
      <c r="C50" s="11"/>
      <c r="D50" s="2">
        <f>0</f>
        <v>0</v>
      </c>
      <c r="E50" s="2"/>
      <c r="F50" s="22"/>
      <c r="G50" s="2"/>
      <c r="H50" s="2"/>
      <c r="I50" s="2"/>
      <c r="J50" s="22"/>
      <c r="K50" s="2"/>
      <c r="L50" s="2">
        <f t="shared" si="0"/>
        <v>0</v>
      </c>
      <c r="M50" s="2"/>
      <c r="N50" s="22">
        <f t="shared" si="1"/>
        <v>0</v>
      </c>
      <c r="O50" s="11"/>
      <c r="P50" s="2">
        <f>-118.7</f>
        <v>-118.7</v>
      </c>
      <c r="Q50" s="2"/>
      <c r="R50" s="22"/>
      <c r="S50" s="2"/>
      <c r="T50" s="2"/>
      <c r="U50" s="2"/>
      <c r="V50" s="22"/>
      <c r="W50" s="2"/>
      <c r="X50" s="2">
        <f t="shared" si="2"/>
        <v>-118.7</v>
      </c>
      <c r="Y50" s="2"/>
      <c r="Z50" s="22">
        <f t="shared" si="3"/>
        <v>0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25">
      <c r="A52" s="10"/>
      <c r="B52" s="26" t="s">
        <v>8</v>
      </c>
      <c r="C52" s="10"/>
      <c r="D52" s="4">
        <f>SUM(OSRRefD16x_0)</f>
        <v>123873.99999999999</v>
      </c>
      <c r="E52" s="4"/>
      <c r="F52" s="12">
        <f t="shared" ref="F52:F74" si="5">IF(D$12=0,0,D52/D$12)</f>
        <v>0.57709050305647303</v>
      </c>
      <c r="G52" s="4"/>
      <c r="H52" s="4">
        <f>SUM(OSRRefH16x_0)</f>
        <v>134766</v>
      </c>
      <c r="I52" s="4"/>
      <c r="J52" s="12">
        <f t="shared" ref="J52:J74" si="6">IF(H$12=0,0,H52/H$12)</f>
        <v>0.45704925371615779</v>
      </c>
      <c r="K52" s="4"/>
      <c r="L52" s="4">
        <f t="shared" ref="L52:L74" si="7">+D52-H52</f>
        <v>-10892.000000000015</v>
      </c>
      <c r="M52" s="4"/>
      <c r="N52" s="12">
        <f t="shared" ref="N52:N74" si="8">IF(H52=0,0,L52/H52)</f>
        <v>-8.0821572206639769E-2</v>
      </c>
      <c r="O52" s="10"/>
      <c r="P52" s="4">
        <f>SUM(OSRRefP16x_0)</f>
        <v>598207.53999999992</v>
      </c>
      <c r="Q52" s="4"/>
      <c r="R52" s="12">
        <f t="shared" ref="R52:R74" si="9">IF(P$12=0,0,P52/P$12)</f>
        <v>0.58049064620787993</v>
      </c>
      <c r="S52" s="4"/>
      <c r="T52" s="4">
        <f>SUM(OSRRefT16x_0)</f>
        <v>865230</v>
      </c>
      <c r="U52" s="4"/>
      <c r="V52" s="12">
        <f t="shared" ref="V52:V74" si="10">IF(T$12=0,0,T52/T$12)</f>
        <v>0.45785397123748056</v>
      </c>
      <c r="W52" s="4"/>
      <c r="X52" s="4">
        <f t="shared" ref="X52:X74" si="11">+P52-T52</f>
        <v>-267022.46000000008</v>
      </c>
      <c r="Y52" s="4"/>
      <c r="Z52" s="12">
        <f t="shared" ref="Z52:Z74" si="12">IF(T52=0,0,X52/T52)</f>
        <v>-0.30861442622192953</v>
      </c>
    </row>
    <row r="53" spans="1:26" s="24" customFormat="1" hidden="1" outlineLevel="1" x14ac:dyDescent="0.25">
      <c r="A53" s="51"/>
      <c r="B53" s="11" t="str">
        <f>CONCATENATE("          ", "5000", " - ", "PURCHASES @ COST")</f>
        <v xml:space="preserve">          5000 - PURCHASES @ COST</v>
      </c>
      <c r="C53" s="11"/>
      <c r="D53" s="2"/>
      <c r="E53" s="2"/>
      <c r="F53" s="22">
        <f t="shared" si="5"/>
        <v>0</v>
      </c>
      <c r="G53" s="2"/>
      <c r="H53" s="2">
        <v>134766</v>
      </c>
      <c r="I53" s="2"/>
      <c r="J53" s="22">
        <f t="shared" si="6"/>
        <v>0.45704925371615779</v>
      </c>
      <c r="K53" s="2"/>
      <c r="L53" s="2">
        <f t="shared" si="7"/>
        <v>-134766</v>
      </c>
      <c r="M53" s="2"/>
      <c r="N53" s="22">
        <f t="shared" si="8"/>
        <v>-1</v>
      </c>
      <c r="O53" s="11"/>
      <c r="P53" s="2"/>
      <c r="Q53" s="2"/>
      <c r="R53" s="22">
        <f t="shared" si="9"/>
        <v>0</v>
      </c>
      <c r="S53" s="2"/>
      <c r="T53" s="2">
        <v>865230</v>
      </c>
      <c r="U53" s="2"/>
      <c r="V53" s="22">
        <f t="shared" si="10"/>
        <v>0.45785397123748056</v>
      </c>
      <c r="W53" s="2"/>
      <c r="X53" s="2">
        <f t="shared" si="11"/>
        <v>-865230</v>
      </c>
      <c r="Y53" s="2"/>
      <c r="Z53" s="22">
        <f t="shared" si="12"/>
        <v>-1</v>
      </c>
    </row>
    <row r="54" spans="1:26" s="24" customFormat="1" hidden="1" outlineLevel="1" x14ac:dyDescent="0.25">
      <c r="A54" s="51"/>
      <c r="B54" s="11" t="str">
        <f>CONCATENATE("          ", "5025", " - ", "PURCHASES @ COST-TEST FORMS")</f>
        <v xml:space="preserve">          5025 - PURCHASES @ COST-TEST FORMS</v>
      </c>
      <c r="C54" s="11"/>
      <c r="D54" s="2"/>
      <c r="E54" s="2"/>
      <c r="F54" s="22">
        <f t="shared" si="5"/>
        <v>0</v>
      </c>
      <c r="G54" s="2"/>
      <c r="H54" s="2"/>
      <c r="I54" s="2"/>
      <c r="J54" s="22">
        <f t="shared" si="6"/>
        <v>0</v>
      </c>
      <c r="K54" s="2"/>
      <c r="L54" s="2">
        <f t="shared" si="7"/>
        <v>0</v>
      </c>
      <c r="M54" s="2"/>
      <c r="N54" s="22">
        <f t="shared" si="8"/>
        <v>0</v>
      </c>
      <c r="O54" s="11"/>
      <c r="P54" s="2">
        <v>599.29</v>
      </c>
      <c r="Q54" s="2"/>
      <c r="R54" s="22">
        <f t="shared" si="9"/>
        <v>5.8154104738619716E-4</v>
      </c>
      <c r="S54" s="2"/>
      <c r="T54" s="2"/>
      <c r="U54" s="2"/>
      <c r="V54" s="22">
        <f t="shared" si="10"/>
        <v>0</v>
      </c>
      <c r="W54" s="2"/>
      <c r="X54" s="2">
        <f t="shared" si="11"/>
        <v>599.29</v>
      </c>
      <c r="Y54" s="2"/>
      <c r="Z54" s="22">
        <f t="shared" si="12"/>
        <v>0</v>
      </c>
    </row>
    <row r="55" spans="1:26" s="24" customFormat="1" hidden="1" outlineLevel="1" x14ac:dyDescent="0.25">
      <c r="A55" s="51"/>
      <c r="B55" s="11" t="str">
        <f>CONCATENATE("          ", "5026", " - ", "PURCHASES @ COST-WRITING INSTR")</f>
        <v xml:space="preserve">          5026 - PURCHASES @ COST-WRITING INSTR</v>
      </c>
      <c r="C55" s="11"/>
      <c r="D55" s="2"/>
      <c r="E55" s="2"/>
      <c r="F55" s="22">
        <f t="shared" si="5"/>
        <v>0</v>
      </c>
      <c r="G55" s="2"/>
      <c r="H55" s="2"/>
      <c r="I55" s="2"/>
      <c r="J55" s="22">
        <f t="shared" si="6"/>
        <v>0</v>
      </c>
      <c r="K55" s="2"/>
      <c r="L55" s="2">
        <f t="shared" si="7"/>
        <v>0</v>
      </c>
      <c r="M55" s="2"/>
      <c r="N55" s="22">
        <f t="shared" si="8"/>
        <v>0</v>
      </c>
      <c r="O55" s="11"/>
      <c r="P55" s="2">
        <v>10</v>
      </c>
      <c r="Q55" s="2"/>
      <c r="R55" s="22">
        <f t="shared" si="9"/>
        <v>9.7038336596004807E-6</v>
      </c>
      <c r="S55" s="2"/>
      <c r="T55" s="2"/>
      <c r="U55" s="2"/>
      <c r="V55" s="22">
        <f t="shared" si="10"/>
        <v>0</v>
      </c>
      <c r="W55" s="2"/>
      <c r="X55" s="2">
        <f t="shared" si="11"/>
        <v>10</v>
      </c>
      <c r="Y55" s="2"/>
      <c r="Z55" s="22">
        <f t="shared" si="12"/>
        <v>0</v>
      </c>
    </row>
    <row r="56" spans="1:26" s="24" customFormat="1" hidden="1" outlineLevel="1" x14ac:dyDescent="0.25">
      <c r="A56" s="51"/>
      <c r="B56" s="11" t="str">
        <f>CONCATENATE("          ", "5027", " - ", "PURCHASES @ COST-SCHOOL SUPPLI")</f>
        <v xml:space="preserve">          5027 - PURCHASES @ COST-SCHOOL SUPPLI</v>
      </c>
      <c r="C56" s="11"/>
      <c r="D56" s="2"/>
      <c r="E56" s="2"/>
      <c r="F56" s="22">
        <f t="shared" si="5"/>
        <v>0</v>
      </c>
      <c r="G56" s="2"/>
      <c r="H56" s="2"/>
      <c r="I56" s="2"/>
      <c r="J56" s="22">
        <f t="shared" si="6"/>
        <v>0</v>
      </c>
      <c r="K56" s="2"/>
      <c r="L56" s="2">
        <f t="shared" si="7"/>
        <v>0</v>
      </c>
      <c r="M56" s="2"/>
      <c r="N56" s="22">
        <f t="shared" si="8"/>
        <v>0</v>
      </c>
      <c r="O56" s="11"/>
      <c r="P56" s="2">
        <v>18175.88</v>
      </c>
      <c r="Q56" s="2"/>
      <c r="R56" s="22">
        <f t="shared" si="9"/>
        <v>1.7637571613685919E-2</v>
      </c>
      <c r="S56" s="2"/>
      <c r="T56" s="2"/>
      <c r="U56" s="2"/>
      <c r="V56" s="22">
        <f t="shared" si="10"/>
        <v>0</v>
      </c>
      <c r="W56" s="2"/>
      <c r="X56" s="2">
        <f t="shared" si="11"/>
        <v>18175.88</v>
      </c>
      <c r="Y56" s="2"/>
      <c r="Z56" s="22">
        <f t="shared" si="12"/>
        <v>0</v>
      </c>
    </row>
    <row r="57" spans="1:26" s="24" customFormat="1" hidden="1" outlineLevel="1" x14ac:dyDescent="0.25">
      <c r="A57" s="51"/>
      <c r="B57" s="11" t="str">
        <f>CONCATENATE("          ", "5028", " - ", "PURCHASES @ COST-ART/TECH")</f>
        <v xml:space="preserve">          5028 - PURCHASES @ COST-ART/TECH</v>
      </c>
      <c r="C57" s="11"/>
      <c r="D57" s="2"/>
      <c r="E57" s="2"/>
      <c r="F57" s="22">
        <f t="shared" si="5"/>
        <v>0</v>
      </c>
      <c r="G57" s="2"/>
      <c r="H57" s="2"/>
      <c r="I57" s="2"/>
      <c r="J57" s="22">
        <f t="shared" si="6"/>
        <v>0</v>
      </c>
      <c r="K57" s="2"/>
      <c r="L57" s="2">
        <f t="shared" si="7"/>
        <v>0</v>
      </c>
      <c r="M57" s="2"/>
      <c r="N57" s="22">
        <f t="shared" si="8"/>
        <v>0</v>
      </c>
      <c r="O57" s="11"/>
      <c r="P57" s="2">
        <v>-83.4</v>
      </c>
      <c r="Q57" s="2"/>
      <c r="R57" s="22">
        <f t="shared" si="9"/>
        <v>-8.0929972721068011E-5</v>
      </c>
      <c r="S57" s="2"/>
      <c r="T57" s="2"/>
      <c r="U57" s="2"/>
      <c r="V57" s="22">
        <f t="shared" si="10"/>
        <v>0</v>
      </c>
      <c r="W57" s="2"/>
      <c r="X57" s="2">
        <f t="shared" si="11"/>
        <v>-83.4</v>
      </c>
      <c r="Y57" s="2"/>
      <c r="Z57" s="22">
        <f t="shared" si="12"/>
        <v>0</v>
      </c>
    </row>
    <row r="58" spans="1:26" s="24" customFormat="1" hidden="1" outlineLevel="1" x14ac:dyDescent="0.25">
      <c r="A58" s="51"/>
      <c r="B58" s="11" t="str">
        <f>CONCATENATE("          ", "5031", " - ", "PURCHASES @ COST-FOOD")</f>
        <v xml:space="preserve">          5031 - PURCHASES @ COST-FOOD</v>
      </c>
      <c r="C58" s="11"/>
      <c r="D58" s="2">
        <v>-771.9</v>
      </c>
      <c r="E58" s="2"/>
      <c r="F58" s="22">
        <f t="shared" si="5"/>
        <v>-3.596042424635449E-3</v>
      </c>
      <c r="G58" s="2"/>
      <c r="H58" s="2"/>
      <c r="I58" s="2"/>
      <c r="J58" s="22">
        <f t="shared" si="6"/>
        <v>0</v>
      </c>
      <c r="K58" s="2"/>
      <c r="L58" s="2">
        <f t="shared" si="7"/>
        <v>-771.9</v>
      </c>
      <c r="M58" s="2"/>
      <c r="N58" s="22">
        <f t="shared" si="8"/>
        <v>0</v>
      </c>
      <c r="O58" s="11"/>
      <c r="P58" s="2">
        <v>4833.53</v>
      </c>
      <c r="Q58" s="2"/>
      <c r="R58" s="22">
        <f t="shared" si="9"/>
        <v>4.6903771108688704E-3</v>
      </c>
      <c r="S58" s="2"/>
      <c r="T58" s="2"/>
      <c r="U58" s="2"/>
      <c r="V58" s="22">
        <f t="shared" si="10"/>
        <v>0</v>
      </c>
      <c r="W58" s="2"/>
      <c r="X58" s="2">
        <f t="shared" si="11"/>
        <v>4833.53</v>
      </c>
      <c r="Y58" s="2"/>
      <c r="Z58" s="22">
        <f t="shared" si="12"/>
        <v>0</v>
      </c>
    </row>
    <row r="59" spans="1:26" s="24" customFormat="1" hidden="1" outlineLevel="1" x14ac:dyDescent="0.25">
      <c r="A59" s="51"/>
      <c r="B59" s="11" t="str">
        <f>CONCATENATE("          ", "5040", " - ", "PURCHASES @ COST-LOGO CLOTHING")</f>
        <v xml:space="preserve">          5040 - PURCHASES @ COST-LOGO CLOTHING</v>
      </c>
      <c r="C59" s="11"/>
      <c r="D59" s="2">
        <v>38175.120000000003</v>
      </c>
      <c r="E59" s="2"/>
      <c r="F59" s="22">
        <f t="shared" si="5"/>
        <v>0.17784603068473795</v>
      </c>
      <c r="G59" s="2"/>
      <c r="H59" s="2"/>
      <c r="I59" s="2"/>
      <c r="J59" s="22">
        <f t="shared" si="6"/>
        <v>0</v>
      </c>
      <c r="K59" s="2"/>
      <c r="L59" s="2">
        <f t="shared" si="7"/>
        <v>38175.120000000003</v>
      </c>
      <c r="M59" s="2"/>
      <c r="N59" s="22">
        <f t="shared" si="8"/>
        <v>0</v>
      </c>
      <c r="O59" s="11"/>
      <c r="P59" s="2">
        <v>132470.39999999999</v>
      </c>
      <c r="Q59" s="2"/>
      <c r="R59" s="22">
        <f t="shared" si="9"/>
        <v>0.12854707264207393</v>
      </c>
      <c r="S59" s="2"/>
      <c r="T59" s="2"/>
      <c r="U59" s="2"/>
      <c r="V59" s="22">
        <f t="shared" si="10"/>
        <v>0</v>
      </c>
      <c r="W59" s="2"/>
      <c r="X59" s="2">
        <f t="shared" si="11"/>
        <v>132470.39999999999</v>
      </c>
      <c r="Y59" s="2"/>
      <c r="Z59" s="22">
        <f t="shared" si="12"/>
        <v>0</v>
      </c>
    </row>
    <row r="60" spans="1:26" s="24" customFormat="1" hidden="1" outlineLevel="1" x14ac:dyDescent="0.25">
      <c r="A60" s="51"/>
      <c r="B60" s="11" t="str">
        <f>CONCATENATE("          ", "5041", " - ", "PURCHASES @ COST-LOGO GIFTS")</f>
        <v xml:space="preserve">          5041 - PURCHASES @ COST-LOGO GIFTS</v>
      </c>
      <c r="C60" s="11"/>
      <c r="D60" s="2">
        <v>5559.99</v>
      </c>
      <c r="E60" s="2"/>
      <c r="F60" s="22">
        <f t="shared" si="5"/>
        <v>2.590226703011899E-2</v>
      </c>
      <c r="G60" s="2"/>
      <c r="H60" s="2"/>
      <c r="I60" s="2"/>
      <c r="J60" s="22">
        <f t="shared" si="6"/>
        <v>0</v>
      </c>
      <c r="K60" s="2"/>
      <c r="L60" s="2">
        <f t="shared" si="7"/>
        <v>5559.99</v>
      </c>
      <c r="M60" s="2"/>
      <c r="N60" s="22">
        <f t="shared" si="8"/>
        <v>0</v>
      </c>
      <c r="O60" s="11"/>
      <c r="P60" s="2">
        <v>32201.759999999998</v>
      </c>
      <c r="Q60" s="2"/>
      <c r="R60" s="22">
        <f t="shared" si="9"/>
        <v>3.1248052258637634E-2</v>
      </c>
      <c r="S60" s="2"/>
      <c r="T60" s="2"/>
      <c r="U60" s="2"/>
      <c r="V60" s="22">
        <f t="shared" si="10"/>
        <v>0</v>
      </c>
      <c r="W60" s="2"/>
      <c r="X60" s="2">
        <f t="shared" si="11"/>
        <v>32201.759999999998</v>
      </c>
      <c r="Y60" s="2"/>
      <c r="Z60" s="22">
        <f t="shared" si="12"/>
        <v>0</v>
      </c>
    </row>
    <row r="61" spans="1:26" s="24" customFormat="1" hidden="1" outlineLevel="1" x14ac:dyDescent="0.25">
      <c r="A61" s="51"/>
      <c r="B61" s="11" t="str">
        <f>CONCATENATE("          ", "5042", " - ", "PURCHASES @ COST-EVERYDAY GIFT")</f>
        <v xml:space="preserve">          5042 - PURCHASES @ COST-EVERYDAY GIFT</v>
      </c>
      <c r="C61" s="11"/>
      <c r="D61" s="2">
        <v>148.6</v>
      </c>
      <c r="E61" s="2"/>
      <c r="F61" s="22">
        <f t="shared" si="5"/>
        <v>6.9228125962019394E-4</v>
      </c>
      <c r="G61" s="2"/>
      <c r="H61" s="2"/>
      <c r="I61" s="2"/>
      <c r="J61" s="22">
        <f t="shared" si="6"/>
        <v>0</v>
      </c>
      <c r="K61" s="2"/>
      <c r="L61" s="2">
        <f t="shared" si="7"/>
        <v>148.6</v>
      </c>
      <c r="M61" s="2"/>
      <c r="N61" s="22">
        <f t="shared" si="8"/>
        <v>0</v>
      </c>
      <c r="O61" s="11"/>
      <c r="P61" s="2">
        <v>11061.28</v>
      </c>
      <c r="Q61" s="2"/>
      <c r="R61" s="22">
        <f t="shared" si="9"/>
        <v>1.073368211822656E-2</v>
      </c>
      <c r="S61" s="2"/>
      <c r="T61" s="2"/>
      <c r="U61" s="2"/>
      <c r="V61" s="22">
        <f t="shared" si="10"/>
        <v>0</v>
      </c>
      <c r="W61" s="2"/>
      <c r="X61" s="2">
        <f t="shared" si="11"/>
        <v>11061.28</v>
      </c>
      <c r="Y61" s="2"/>
      <c r="Z61" s="22">
        <f t="shared" si="12"/>
        <v>0</v>
      </c>
    </row>
    <row r="62" spans="1:26" s="24" customFormat="1" hidden="1" outlineLevel="1" x14ac:dyDescent="0.25">
      <c r="A62" s="51"/>
      <c r="B62" s="11" t="str">
        <f>CONCATENATE("          ", "5043", " - ", "PURCHASES @ COST-CARDS")</f>
        <v xml:space="preserve">          5043 - PURCHASES @ COST-CARDS</v>
      </c>
      <c r="C62" s="11"/>
      <c r="D62" s="2">
        <v>2448</v>
      </c>
      <c r="E62" s="2"/>
      <c r="F62" s="22">
        <f t="shared" si="5"/>
        <v>1.1404471894685296E-2</v>
      </c>
      <c r="G62" s="2"/>
      <c r="H62" s="2"/>
      <c r="I62" s="2"/>
      <c r="J62" s="22">
        <f t="shared" si="6"/>
        <v>0</v>
      </c>
      <c r="K62" s="2"/>
      <c r="L62" s="2">
        <f t="shared" si="7"/>
        <v>2448</v>
      </c>
      <c r="M62" s="2"/>
      <c r="N62" s="22">
        <f t="shared" si="8"/>
        <v>0</v>
      </c>
      <c r="O62" s="11"/>
      <c r="P62" s="2">
        <v>46621.23</v>
      </c>
      <c r="Q62" s="2"/>
      <c r="R62" s="22">
        <f t="shared" si="9"/>
        <v>4.5240466092597575E-2</v>
      </c>
      <c r="S62" s="2"/>
      <c r="T62" s="2"/>
      <c r="U62" s="2"/>
      <c r="V62" s="22">
        <f t="shared" si="10"/>
        <v>0</v>
      </c>
      <c r="W62" s="2"/>
      <c r="X62" s="2">
        <f t="shared" si="11"/>
        <v>46621.23</v>
      </c>
      <c r="Y62" s="2"/>
      <c r="Z62" s="22">
        <f t="shared" si="12"/>
        <v>0</v>
      </c>
    </row>
    <row r="63" spans="1:26" s="24" customFormat="1" hidden="1" outlineLevel="1" x14ac:dyDescent="0.25">
      <c r="A63" s="51"/>
      <c r="B63" s="11" t="str">
        <f>CONCATENATE("          ", "5044", " - ", "PURCHASES @ COST-ACCESSORIES")</f>
        <v xml:space="preserve">          5044 - PURCHASES @ COST-ACCESSORIES</v>
      </c>
      <c r="C63" s="11"/>
      <c r="D63" s="2"/>
      <c r="E63" s="2"/>
      <c r="F63" s="22">
        <f t="shared" si="5"/>
        <v>0</v>
      </c>
      <c r="G63" s="2"/>
      <c r="H63" s="2"/>
      <c r="I63" s="2"/>
      <c r="J63" s="22">
        <f t="shared" si="6"/>
        <v>0</v>
      </c>
      <c r="K63" s="2"/>
      <c r="L63" s="2">
        <f t="shared" si="7"/>
        <v>0</v>
      </c>
      <c r="M63" s="2"/>
      <c r="N63" s="22">
        <f t="shared" si="8"/>
        <v>0</v>
      </c>
      <c r="O63" s="11"/>
      <c r="P63" s="2">
        <v>282.33</v>
      </c>
      <c r="Q63" s="2"/>
      <c r="R63" s="22">
        <f t="shared" si="9"/>
        <v>2.7396833571150035E-4</v>
      </c>
      <c r="S63" s="2"/>
      <c r="T63" s="2"/>
      <c r="U63" s="2"/>
      <c r="V63" s="22">
        <f t="shared" si="10"/>
        <v>0</v>
      </c>
      <c r="W63" s="2"/>
      <c r="X63" s="2">
        <f t="shared" si="11"/>
        <v>282.33</v>
      </c>
      <c r="Y63" s="2"/>
      <c r="Z63" s="22">
        <f t="shared" si="12"/>
        <v>0</v>
      </c>
    </row>
    <row r="64" spans="1:26" s="24" customFormat="1" hidden="1" outlineLevel="1" x14ac:dyDescent="0.25">
      <c r="A64" s="51"/>
      <c r="B64" s="11" t="str">
        <f>CONCATENATE("          ", "5045", " - ", "PURCHASES @ COST-SPECIAL ORDER")</f>
        <v xml:space="preserve">          5045 - PURCHASES @ COST-SPECIAL ORDER</v>
      </c>
      <c r="C64" s="11"/>
      <c r="D64" s="2">
        <v>10676.48</v>
      </c>
      <c r="E64" s="2"/>
      <c r="F64" s="22">
        <f t="shared" si="5"/>
        <v>4.9738405267226164E-2</v>
      </c>
      <c r="G64" s="2"/>
      <c r="H64" s="2"/>
      <c r="I64" s="2"/>
      <c r="J64" s="22">
        <f t="shared" si="6"/>
        <v>0</v>
      </c>
      <c r="K64" s="2"/>
      <c r="L64" s="2">
        <f t="shared" si="7"/>
        <v>10676.48</v>
      </c>
      <c r="M64" s="2"/>
      <c r="N64" s="22">
        <f t="shared" si="8"/>
        <v>0</v>
      </c>
      <c r="O64" s="11"/>
      <c r="P64" s="2">
        <v>87609</v>
      </c>
      <c r="Q64" s="2"/>
      <c r="R64" s="22">
        <f t="shared" si="9"/>
        <v>8.5014316308393845E-2</v>
      </c>
      <c r="S64" s="2"/>
      <c r="T64" s="2"/>
      <c r="U64" s="2"/>
      <c r="V64" s="22">
        <f t="shared" si="10"/>
        <v>0</v>
      </c>
      <c r="W64" s="2"/>
      <c r="X64" s="2">
        <f t="shared" si="11"/>
        <v>87609</v>
      </c>
      <c r="Y64" s="2"/>
      <c r="Z64" s="22">
        <f t="shared" si="12"/>
        <v>0</v>
      </c>
    </row>
    <row r="65" spans="1:26" s="24" customFormat="1" hidden="1" outlineLevel="1" x14ac:dyDescent="0.25">
      <c r="A65" s="51"/>
      <c r="B65" s="11" t="str">
        <f>CONCATENATE("          ", "5200", " - ", "PURCHASES OFFSET")</f>
        <v xml:space="preserve">          5200 - PURCHASES OFFSET</v>
      </c>
      <c r="C65" s="11"/>
      <c r="D65" s="2">
        <v>-58180.68</v>
      </c>
      <c r="E65" s="2"/>
      <c r="F65" s="22">
        <f t="shared" si="5"/>
        <v>-0.27104572298761392</v>
      </c>
      <c r="G65" s="2"/>
      <c r="H65" s="2"/>
      <c r="I65" s="2"/>
      <c r="J65" s="22">
        <f t="shared" si="6"/>
        <v>0</v>
      </c>
      <c r="K65" s="2"/>
      <c r="L65" s="2">
        <f t="shared" si="7"/>
        <v>-58180.68</v>
      </c>
      <c r="M65" s="2"/>
      <c r="N65" s="22">
        <f t="shared" si="8"/>
        <v>0</v>
      </c>
      <c r="O65" s="11"/>
      <c r="P65" s="2">
        <v>-348485.3</v>
      </c>
      <c r="Q65" s="2"/>
      <c r="R65" s="22">
        <f t="shared" si="9"/>
        <v>-0.3381643384015971</v>
      </c>
      <c r="S65" s="2"/>
      <c r="T65" s="2"/>
      <c r="U65" s="2"/>
      <c r="V65" s="22">
        <f t="shared" si="10"/>
        <v>0</v>
      </c>
      <c r="W65" s="2"/>
      <c r="X65" s="2">
        <f t="shared" si="11"/>
        <v>-348485.3</v>
      </c>
      <c r="Y65" s="2"/>
      <c r="Z65" s="22">
        <f t="shared" si="12"/>
        <v>0</v>
      </c>
    </row>
    <row r="66" spans="1:26" s="24" customFormat="1" hidden="1" outlineLevel="1" x14ac:dyDescent="0.25">
      <c r="A66" s="51"/>
      <c r="B66" s="11" t="str">
        <f>CONCATENATE("          ", "5300", " - ", "COG$ OFFSET")</f>
        <v xml:space="preserve">          5300 - COG$ OFFSET</v>
      </c>
      <c r="C66" s="11"/>
      <c r="D66" s="2">
        <v>123873.99999999999</v>
      </c>
      <c r="E66" s="2"/>
      <c r="F66" s="22">
        <f t="shared" si="5"/>
        <v>0.57709050305647303</v>
      </c>
      <c r="G66" s="2"/>
      <c r="H66" s="2"/>
      <c r="I66" s="2"/>
      <c r="J66" s="22">
        <f t="shared" si="6"/>
        <v>0</v>
      </c>
      <c r="K66" s="2"/>
      <c r="L66" s="2">
        <f t="shared" si="7"/>
        <v>123873.99999999999</v>
      </c>
      <c r="M66" s="2"/>
      <c r="N66" s="22">
        <f t="shared" si="8"/>
        <v>0</v>
      </c>
      <c r="O66" s="11"/>
      <c r="P66" s="2">
        <v>597291</v>
      </c>
      <c r="Q66" s="2"/>
      <c r="R66" s="22">
        <f t="shared" si="9"/>
        <v>0.57960125103764304</v>
      </c>
      <c r="S66" s="2"/>
      <c r="T66" s="2"/>
      <c r="U66" s="2"/>
      <c r="V66" s="22">
        <f t="shared" si="10"/>
        <v>0</v>
      </c>
      <c r="W66" s="2"/>
      <c r="X66" s="2">
        <f t="shared" si="11"/>
        <v>597291</v>
      </c>
      <c r="Y66" s="2"/>
      <c r="Z66" s="22">
        <f t="shared" si="12"/>
        <v>0</v>
      </c>
    </row>
    <row r="67" spans="1:26" s="24" customFormat="1" hidden="1" outlineLevel="1" x14ac:dyDescent="0.25">
      <c r="A67" s="51"/>
      <c r="B67" s="11" t="str">
        <f>CONCATENATE("          ", "5525", " - ", "FREIGHT-IN-TEST FORMS")</f>
        <v xml:space="preserve">          5525 - FREIGHT-IN-TEST FORMS</v>
      </c>
      <c r="C67" s="11"/>
      <c r="D67" s="2"/>
      <c r="E67" s="2"/>
      <c r="F67" s="22">
        <f t="shared" si="5"/>
        <v>0</v>
      </c>
      <c r="G67" s="2"/>
      <c r="H67" s="2"/>
      <c r="I67" s="2"/>
      <c r="J67" s="22">
        <f t="shared" si="6"/>
        <v>0</v>
      </c>
      <c r="K67" s="2"/>
      <c r="L67" s="2">
        <f t="shared" si="7"/>
        <v>0</v>
      </c>
      <c r="M67" s="2"/>
      <c r="N67" s="22">
        <f t="shared" si="8"/>
        <v>0</v>
      </c>
      <c r="O67" s="11"/>
      <c r="P67" s="2">
        <v>48.14</v>
      </c>
      <c r="Q67" s="2"/>
      <c r="R67" s="22">
        <f t="shared" si="9"/>
        <v>4.6714255237316715E-5</v>
      </c>
      <c r="S67" s="2"/>
      <c r="T67" s="2"/>
      <c r="U67" s="2"/>
      <c r="V67" s="22">
        <f t="shared" si="10"/>
        <v>0</v>
      </c>
      <c r="W67" s="2"/>
      <c r="X67" s="2">
        <f t="shared" si="11"/>
        <v>48.14</v>
      </c>
      <c r="Y67" s="2"/>
      <c r="Z67" s="22">
        <f t="shared" si="12"/>
        <v>0</v>
      </c>
    </row>
    <row r="68" spans="1:26" s="24" customFormat="1" hidden="1" outlineLevel="1" x14ac:dyDescent="0.25">
      <c r="A68" s="51"/>
      <c r="B68" s="11" t="str">
        <f>CONCATENATE("          ", "5527", " - ", "FREIGHT-IN-SCHOOL SUPPLIES")</f>
        <v xml:space="preserve">          5527 - FREIGHT-IN-SCHOOL SUPPLIES</v>
      </c>
      <c r="C68" s="11"/>
      <c r="D68" s="2">
        <v>121.5</v>
      </c>
      <c r="E68" s="2"/>
      <c r="F68" s="22">
        <f t="shared" si="5"/>
        <v>5.6603077418474813E-4</v>
      </c>
      <c r="G68" s="2"/>
      <c r="H68" s="2"/>
      <c r="I68" s="2"/>
      <c r="J68" s="22">
        <f t="shared" si="6"/>
        <v>0</v>
      </c>
      <c r="K68" s="2"/>
      <c r="L68" s="2">
        <f t="shared" si="7"/>
        <v>121.5</v>
      </c>
      <c r="M68" s="2"/>
      <c r="N68" s="22">
        <f t="shared" si="8"/>
        <v>0</v>
      </c>
      <c r="O68" s="11"/>
      <c r="P68" s="2">
        <v>177.5</v>
      </c>
      <c r="Q68" s="2"/>
      <c r="R68" s="22">
        <f t="shared" si="9"/>
        <v>1.7224304745790852E-4</v>
      </c>
      <c r="S68" s="2"/>
      <c r="T68" s="2"/>
      <c r="U68" s="2"/>
      <c r="V68" s="22">
        <f t="shared" si="10"/>
        <v>0</v>
      </c>
      <c r="W68" s="2"/>
      <c r="X68" s="2">
        <f t="shared" si="11"/>
        <v>177.5</v>
      </c>
      <c r="Y68" s="2"/>
      <c r="Z68" s="22">
        <f t="shared" si="12"/>
        <v>0</v>
      </c>
    </row>
    <row r="69" spans="1:26" s="24" customFormat="1" hidden="1" outlineLevel="1" x14ac:dyDescent="0.25">
      <c r="A69" s="51"/>
      <c r="B69" s="11" t="str">
        <f>CONCATENATE("          ", "5528", " - ", "FREIGHT-IN-ART/TECH")</f>
        <v xml:space="preserve">          5528 - FREIGHT-IN-ART/TECH</v>
      </c>
      <c r="C69" s="11"/>
      <c r="D69" s="2"/>
      <c r="E69" s="2"/>
      <c r="F69" s="22">
        <f t="shared" si="5"/>
        <v>0</v>
      </c>
      <c r="G69" s="2"/>
      <c r="H69" s="2"/>
      <c r="I69" s="2"/>
      <c r="J69" s="22">
        <f t="shared" si="6"/>
        <v>0</v>
      </c>
      <c r="K69" s="2"/>
      <c r="L69" s="2">
        <f t="shared" si="7"/>
        <v>0</v>
      </c>
      <c r="M69" s="2"/>
      <c r="N69" s="22">
        <f t="shared" si="8"/>
        <v>0</v>
      </c>
      <c r="O69" s="11"/>
      <c r="P69" s="2">
        <v>3.94</v>
      </c>
      <c r="Q69" s="2"/>
      <c r="R69" s="22">
        <f t="shared" si="9"/>
        <v>3.8233104618825889E-6</v>
      </c>
      <c r="S69" s="2"/>
      <c r="T69" s="2"/>
      <c r="U69" s="2"/>
      <c r="V69" s="22">
        <f t="shared" si="10"/>
        <v>0</v>
      </c>
      <c r="W69" s="2"/>
      <c r="X69" s="2">
        <f t="shared" si="11"/>
        <v>3.94</v>
      </c>
      <c r="Y69" s="2"/>
      <c r="Z69" s="22">
        <f t="shared" si="12"/>
        <v>0</v>
      </c>
    </row>
    <row r="70" spans="1:26" s="24" customFormat="1" hidden="1" outlineLevel="1" x14ac:dyDescent="0.25">
      <c r="A70" s="51"/>
      <c r="B70" s="11" t="str">
        <f>CONCATENATE("          ", "5540", " - ", "FREIGHT-IN-LOGO CLOTHING")</f>
        <v xml:space="preserve">          5540 - FREIGHT-IN-LOGO CLOTHING</v>
      </c>
      <c r="C70" s="11"/>
      <c r="D70" s="2">
        <v>907.48</v>
      </c>
      <c r="E70" s="2"/>
      <c r="F70" s="22">
        <f t="shared" si="5"/>
        <v>4.2276675469726356E-3</v>
      </c>
      <c r="G70" s="2"/>
      <c r="H70" s="2"/>
      <c r="I70" s="2"/>
      <c r="J70" s="22">
        <f t="shared" si="6"/>
        <v>0</v>
      </c>
      <c r="K70" s="2"/>
      <c r="L70" s="2">
        <f t="shared" si="7"/>
        <v>907.48</v>
      </c>
      <c r="M70" s="2"/>
      <c r="N70" s="22">
        <f t="shared" si="8"/>
        <v>0</v>
      </c>
      <c r="O70" s="11"/>
      <c r="P70" s="2">
        <v>5442.96</v>
      </c>
      <c r="Q70" s="2"/>
      <c r="R70" s="22">
        <f t="shared" si="9"/>
        <v>5.2817578455859032E-3</v>
      </c>
      <c r="S70" s="2"/>
      <c r="T70" s="2"/>
      <c r="U70" s="2"/>
      <c r="V70" s="22">
        <f t="shared" si="10"/>
        <v>0</v>
      </c>
      <c r="W70" s="2"/>
      <c r="X70" s="2">
        <f t="shared" si="11"/>
        <v>5442.96</v>
      </c>
      <c r="Y70" s="2"/>
      <c r="Z70" s="22">
        <f t="shared" si="12"/>
        <v>0</v>
      </c>
    </row>
    <row r="71" spans="1:26" s="24" customFormat="1" hidden="1" outlineLevel="1" x14ac:dyDescent="0.25">
      <c r="A71" s="51"/>
      <c r="B71" s="11" t="str">
        <f>CONCATENATE("          ", "5541", " - ", "FREIGHT-IN-LOGO GIFTS")</f>
        <v xml:space="preserve">          5541 - FREIGHT-IN-LOGO GIFTS</v>
      </c>
      <c r="C71" s="11"/>
      <c r="D71" s="2">
        <v>84.07</v>
      </c>
      <c r="E71" s="2"/>
      <c r="F71" s="22">
        <f t="shared" si="5"/>
        <v>3.9165602621984996E-4</v>
      </c>
      <c r="G71" s="2"/>
      <c r="H71" s="2"/>
      <c r="I71" s="2"/>
      <c r="J71" s="22">
        <f t="shared" si="6"/>
        <v>0</v>
      </c>
      <c r="K71" s="2"/>
      <c r="L71" s="2">
        <f t="shared" si="7"/>
        <v>84.07</v>
      </c>
      <c r="M71" s="2"/>
      <c r="N71" s="22">
        <f t="shared" si="8"/>
        <v>0</v>
      </c>
      <c r="O71" s="11"/>
      <c r="P71" s="2">
        <v>1519.94</v>
      </c>
      <c r="Q71" s="2"/>
      <c r="R71" s="22">
        <f t="shared" si="9"/>
        <v>1.4749244932573155E-3</v>
      </c>
      <c r="S71" s="2"/>
      <c r="T71" s="2"/>
      <c r="U71" s="2"/>
      <c r="V71" s="22">
        <f t="shared" si="10"/>
        <v>0</v>
      </c>
      <c r="W71" s="2"/>
      <c r="X71" s="2">
        <f t="shared" si="11"/>
        <v>1519.94</v>
      </c>
      <c r="Y71" s="2"/>
      <c r="Z71" s="22">
        <f t="shared" si="12"/>
        <v>0</v>
      </c>
    </row>
    <row r="72" spans="1:26" s="24" customFormat="1" hidden="1" outlineLevel="1" x14ac:dyDescent="0.25">
      <c r="A72" s="51"/>
      <c r="B72" s="11" t="str">
        <f>CONCATENATE("          ", "5542", " - ", "FREIGHT-IN-EVERYDAY GIFTS")</f>
        <v xml:space="preserve">          5542 - FREIGHT-IN-EVERYDAY GIFTS</v>
      </c>
      <c r="C72" s="11"/>
      <c r="D72" s="2"/>
      <c r="E72" s="2"/>
      <c r="F72" s="22">
        <f t="shared" si="5"/>
        <v>0</v>
      </c>
      <c r="G72" s="2"/>
      <c r="H72" s="2"/>
      <c r="I72" s="2"/>
      <c r="J72" s="22">
        <f t="shared" si="6"/>
        <v>0</v>
      </c>
      <c r="K72" s="2"/>
      <c r="L72" s="2">
        <f t="shared" si="7"/>
        <v>0</v>
      </c>
      <c r="M72" s="2"/>
      <c r="N72" s="22">
        <f t="shared" si="8"/>
        <v>0</v>
      </c>
      <c r="O72" s="11"/>
      <c r="P72" s="2">
        <v>196.55</v>
      </c>
      <c r="Q72" s="2"/>
      <c r="R72" s="22">
        <f t="shared" si="9"/>
        <v>1.9072885057944746E-4</v>
      </c>
      <c r="S72" s="2"/>
      <c r="T72" s="2"/>
      <c r="U72" s="2"/>
      <c r="V72" s="22">
        <f t="shared" si="10"/>
        <v>0</v>
      </c>
      <c r="W72" s="2"/>
      <c r="X72" s="2">
        <f t="shared" si="11"/>
        <v>196.55</v>
      </c>
      <c r="Y72" s="2"/>
      <c r="Z72" s="22">
        <f t="shared" si="12"/>
        <v>0</v>
      </c>
    </row>
    <row r="73" spans="1:26" s="24" customFormat="1" hidden="1" outlineLevel="1" x14ac:dyDescent="0.25">
      <c r="A73" s="51"/>
      <c r="B73" s="11" t="str">
        <f>CONCATENATE("          ", "5543", " - ", "FREIGHT-IN-CARDS")</f>
        <v xml:space="preserve">          5543 - FREIGHT-IN-CARDS</v>
      </c>
      <c r="C73" s="11"/>
      <c r="D73" s="2">
        <v>605.41</v>
      </c>
      <c r="E73" s="2"/>
      <c r="F73" s="22">
        <f t="shared" si="5"/>
        <v>2.8204172098698628E-3</v>
      </c>
      <c r="G73" s="2"/>
      <c r="H73" s="2"/>
      <c r="I73" s="2"/>
      <c r="J73" s="22">
        <f t="shared" si="6"/>
        <v>0</v>
      </c>
      <c r="K73" s="2"/>
      <c r="L73" s="2">
        <f t="shared" si="7"/>
        <v>605.41</v>
      </c>
      <c r="M73" s="2"/>
      <c r="N73" s="22">
        <f t="shared" si="8"/>
        <v>0</v>
      </c>
      <c r="O73" s="11"/>
      <c r="P73" s="2">
        <v>7117.72</v>
      </c>
      <c r="Q73" s="2"/>
      <c r="R73" s="22">
        <f t="shared" si="9"/>
        <v>6.906917091561153E-3</v>
      </c>
      <c r="S73" s="2"/>
      <c r="T73" s="2"/>
      <c r="U73" s="2"/>
      <c r="V73" s="22">
        <f t="shared" si="10"/>
        <v>0</v>
      </c>
      <c r="W73" s="2"/>
      <c r="X73" s="2">
        <f t="shared" si="11"/>
        <v>7117.72</v>
      </c>
      <c r="Y73" s="2"/>
      <c r="Z73" s="22">
        <f t="shared" si="12"/>
        <v>0</v>
      </c>
    </row>
    <row r="74" spans="1:26" s="24" customFormat="1" hidden="1" outlineLevel="1" x14ac:dyDescent="0.25">
      <c r="A74" s="51"/>
      <c r="B74" s="11" t="str">
        <f>CONCATENATE("          ", "5545", " - ", "FREIGHT-IN-SPECIAL ORDERS")</f>
        <v xml:space="preserve">          5545 - FREIGHT-IN-SPECIAL ORDERS</v>
      </c>
      <c r="C74" s="11"/>
      <c r="D74" s="2">
        <v>225.93</v>
      </c>
      <c r="E74" s="2"/>
      <c r="F74" s="22">
        <f t="shared" si="5"/>
        <v>1.0525377186136637E-3</v>
      </c>
      <c r="G74" s="2"/>
      <c r="H74" s="2"/>
      <c r="I74" s="2"/>
      <c r="J74" s="22">
        <f t="shared" si="6"/>
        <v>0</v>
      </c>
      <c r="K74" s="2"/>
      <c r="L74" s="2">
        <f t="shared" si="7"/>
        <v>225.93</v>
      </c>
      <c r="M74" s="2"/>
      <c r="N74" s="22">
        <f t="shared" si="8"/>
        <v>0</v>
      </c>
      <c r="O74" s="11"/>
      <c r="P74" s="2">
        <v>1113.79</v>
      </c>
      <c r="Q74" s="2"/>
      <c r="R74" s="22">
        <f t="shared" si="9"/>
        <v>1.0808032891726418E-3</v>
      </c>
      <c r="S74" s="2"/>
      <c r="T74" s="2"/>
      <c r="U74" s="2"/>
      <c r="V74" s="22">
        <f t="shared" si="10"/>
        <v>0</v>
      </c>
      <c r="W74" s="2"/>
      <c r="X74" s="2">
        <f t="shared" si="11"/>
        <v>1113.79</v>
      </c>
      <c r="Y74" s="2"/>
      <c r="Z74" s="22">
        <f t="shared" si="12"/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5" t="s">
        <v>6</v>
      </c>
      <c r="C76" s="25"/>
      <c r="D76" s="21">
        <f>D12-D52</f>
        <v>90778.63999999997</v>
      </c>
      <c r="E76" s="13"/>
      <c r="F76" s="19">
        <f>IF(D$12=0,0,D76/D$12)</f>
        <v>0.42290949694352692</v>
      </c>
      <c r="G76" s="13"/>
      <c r="H76" s="21">
        <f>H12-H52</f>
        <v>160095</v>
      </c>
      <c r="I76" s="13"/>
      <c r="J76" s="19">
        <f>IF(H$12=0,0,H76/H$12)</f>
        <v>0.54295074628384221</v>
      </c>
      <c r="K76" s="16"/>
      <c r="L76" s="21">
        <f>+D76-H76</f>
        <v>-69316.36000000003</v>
      </c>
      <c r="M76" s="16"/>
      <c r="N76" s="19">
        <f>IF(H76=0,0,L76/H76)</f>
        <v>-0.43297017395921189</v>
      </c>
      <c r="O76" s="26"/>
      <c r="P76" s="21">
        <f>P12-P52</f>
        <v>432313.01000000013</v>
      </c>
      <c r="Q76" s="13"/>
      <c r="R76" s="19">
        <f>IF(P$12=0,0,P76/P$12)</f>
        <v>0.41950935379212001</v>
      </c>
      <c r="S76" s="13"/>
      <c r="T76" s="21">
        <f>T12-T52</f>
        <v>1024520.9999999998</v>
      </c>
      <c r="U76" s="13"/>
      <c r="V76" s="19">
        <f>IF(T$12=0,0,T76/T$12)</f>
        <v>0.54214602876251949</v>
      </c>
      <c r="W76" s="16"/>
      <c r="X76" s="21">
        <f>+P76-T76</f>
        <v>-592207.98999999964</v>
      </c>
      <c r="Y76" s="16"/>
      <c r="Z76" s="19">
        <f>IF(T76=0,0,X76/T76)</f>
        <v>-0.57803401784834063</v>
      </c>
    </row>
    <row r="77" spans="1:26" x14ac:dyDescent="0.25">
      <c r="A77" s="9"/>
      <c r="B77" s="10"/>
      <c r="C77" s="9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6" t="s">
        <v>9</v>
      </c>
      <c r="C78" s="10"/>
      <c r="D78" s="20">
        <f>SUM(OSRRefD22x_0)</f>
        <v>63544.32</v>
      </c>
      <c r="E78" s="20"/>
      <c r="F78" s="30">
        <f t="shared" ref="F78:F88" si="13">IF(D$12=0,0,D78/D$12)</f>
        <v>0.29603325633451333</v>
      </c>
      <c r="G78" s="20"/>
      <c r="H78" s="20">
        <f>SUM(OSRRefH22x_0)</f>
        <v>116288.65427692306</v>
      </c>
      <c r="I78" s="20"/>
      <c r="J78" s="30">
        <f t="shared" ref="J78:J88" si="14">IF(H$12=0,0,H78/H$12)</f>
        <v>0.39438465676004308</v>
      </c>
      <c r="K78" s="4"/>
      <c r="L78" s="20">
        <f t="shared" ref="L78:L88" si="15">+D78-H78</f>
        <v>-52744.334276923058</v>
      </c>
      <c r="M78" s="4"/>
      <c r="N78" s="30">
        <f t="shared" ref="N78:N88" si="16">IF(H78=0,0,L78/H78)</f>
        <v>-0.45356388896994854</v>
      </c>
      <c r="O78" s="10"/>
      <c r="P78" s="20">
        <f>SUM(OSRRefP22x_0)</f>
        <v>405679.94000000006</v>
      </c>
      <c r="Q78" s="20"/>
      <c r="R78" s="30">
        <f t="shared" ref="R78:R88" si="17">IF(P$12=0,0,P78/P$12)</f>
        <v>0.39366506567967036</v>
      </c>
      <c r="S78" s="20"/>
      <c r="T78" s="20">
        <f>SUM(OSRRefT22x_0)</f>
        <v>743257.04024499992</v>
      </c>
      <c r="U78" s="20"/>
      <c r="V78" s="30">
        <f t="shared" ref="V78:V88" si="18">IF(T$12=0,0,T78/T$12)</f>
        <v>0.39330951021854205</v>
      </c>
      <c r="W78" s="4"/>
      <c r="X78" s="20">
        <f t="shared" ref="X78:X88" si="19">+P78-T78</f>
        <v>-337577.10024499986</v>
      </c>
      <c r="Y78" s="4"/>
      <c r="Z78" s="30">
        <f t="shared" ref="Z78:Z88" si="20">IF(T78=0,0,X78/T78)</f>
        <v>-0.45418621279890503</v>
      </c>
    </row>
    <row r="79" spans="1:26" s="28" customFormat="1" outlineLevel="1" collapsed="1" x14ac:dyDescent="0.25">
      <c r="A79" s="27"/>
      <c r="B79" s="14" t="str">
        <f>CONCATENATE("     ","*Benefits                                         ")</f>
        <v xml:space="preserve">     *Benefits                                         </v>
      </c>
      <c r="C79" s="14"/>
      <c r="D79" s="1">
        <f>SUM(OSRRefD22_0x_0)</f>
        <v>14608.029999999999</v>
      </c>
      <c r="E79" s="1"/>
      <c r="F79" s="5">
        <f t="shared" si="13"/>
        <v>6.8054275968839714E-2</v>
      </c>
      <c r="G79" s="1"/>
      <c r="H79" s="1">
        <f>SUM(OSRRefH22_0x_0)</f>
        <v>13619.192738461536</v>
      </c>
      <c r="I79" s="1"/>
      <c r="J79" s="5">
        <f t="shared" si="14"/>
        <v>4.6188518449240608E-2</v>
      </c>
      <c r="K79" s="1"/>
      <c r="L79" s="1">
        <f t="shared" si="15"/>
        <v>988.83726153846328</v>
      </c>
      <c r="M79" s="1"/>
      <c r="N79" s="5">
        <f t="shared" si="16"/>
        <v>7.2606158127560591E-2</v>
      </c>
      <c r="O79" s="14"/>
      <c r="P79" s="1">
        <f>SUM(OSRRefP22_0x_0)</f>
        <v>92980.55</v>
      </c>
      <c r="Q79" s="1"/>
      <c r="R79" s="5">
        <f t="shared" si="17"/>
        <v>9.0226779077816552E-2</v>
      </c>
      <c r="S79" s="1"/>
      <c r="T79" s="1">
        <f>SUM(OSRRefT22_0x_0)</f>
        <v>91731.040244999953</v>
      </c>
      <c r="U79" s="1"/>
      <c r="V79" s="5">
        <f t="shared" si="18"/>
        <v>4.8541337057104332E-2</v>
      </c>
      <c r="W79" s="1"/>
      <c r="X79" s="1">
        <f t="shared" si="19"/>
        <v>1249.5097550000501</v>
      </c>
      <c r="Y79" s="1"/>
      <c r="Z79" s="5">
        <f t="shared" si="20"/>
        <v>1.3621449747684051E-2</v>
      </c>
    </row>
    <row r="80" spans="1:26" s="24" customFormat="1" hidden="1" outlineLevel="2" x14ac:dyDescent="0.25">
      <c r="A80" s="29"/>
      <c r="B80" s="11" t="str">
        <f>CONCATENATE("          ", "6111", " - ", "F.I.C.A.")</f>
        <v xml:space="preserve">          6111 - F.I.C.A.</v>
      </c>
      <c r="C80" s="11"/>
      <c r="D80" s="7">
        <v>2339.63</v>
      </c>
      <c r="E80" s="2"/>
      <c r="F80" s="6">
        <f t="shared" si="13"/>
        <v>1.0899609713628496E-2</v>
      </c>
      <c r="G80" s="2"/>
      <c r="H80" s="7">
        <v>1741.3518461538481</v>
      </c>
      <c r="I80" s="2"/>
      <c r="J80" s="6">
        <f t="shared" si="14"/>
        <v>5.9056702858426447E-3</v>
      </c>
      <c r="K80" s="2"/>
      <c r="L80" s="7">
        <f t="shared" si="15"/>
        <v>598.27815384615201</v>
      </c>
      <c r="M80" s="2"/>
      <c r="N80" s="6">
        <f t="shared" si="16"/>
        <v>0.34357109114253881</v>
      </c>
      <c r="O80" s="11"/>
      <c r="P80" s="7">
        <v>18847.7</v>
      </c>
      <c r="Q80" s="2"/>
      <c r="R80" s="6">
        <f t="shared" si="17"/>
        <v>1.8289494566605197E-2</v>
      </c>
      <c r="S80" s="2"/>
      <c r="T80" s="7">
        <v>17474.209695000001</v>
      </c>
      <c r="U80" s="2"/>
      <c r="V80" s="6">
        <f t="shared" si="18"/>
        <v>9.2468318286377423E-3</v>
      </c>
      <c r="W80" s="2"/>
      <c r="X80" s="7">
        <f t="shared" si="19"/>
        <v>1373.4903049999994</v>
      </c>
      <c r="Y80" s="2"/>
      <c r="Z80" s="6">
        <f t="shared" si="20"/>
        <v>7.8600997067867634E-2</v>
      </c>
    </row>
    <row r="81" spans="1:26" s="24" customFormat="1" hidden="1" outlineLevel="2" x14ac:dyDescent="0.25">
      <c r="A81" s="29"/>
      <c r="B81" s="11" t="str">
        <f>CONCATENATE("          ", "6112", " - ", "COMPENSATION INSURANCE")</f>
        <v xml:space="preserve">          6112 - COMPENSATION INSURANCE</v>
      </c>
      <c r="C81" s="11"/>
      <c r="D81" s="7">
        <v>1236.27</v>
      </c>
      <c r="E81" s="2"/>
      <c r="F81" s="6">
        <f t="shared" si="13"/>
        <v>5.7593980675010575E-3</v>
      </c>
      <c r="G81" s="2"/>
      <c r="H81" s="7">
        <v>1113.068153846154</v>
      </c>
      <c r="I81" s="2"/>
      <c r="J81" s="6">
        <f t="shared" si="14"/>
        <v>3.7748910634032781E-3</v>
      </c>
      <c r="K81" s="2"/>
      <c r="L81" s="7">
        <f t="shared" si="15"/>
        <v>123.20184615384596</v>
      </c>
      <c r="M81" s="2"/>
      <c r="N81" s="6">
        <f t="shared" si="16"/>
        <v>0.11068670478813705</v>
      </c>
      <c r="O81" s="11"/>
      <c r="P81" s="7">
        <v>7474.78</v>
      </c>
      <c r="Q81" s="2"/>
      <c r="R81" s="6">
        <f t="shared" si="17"/>
        <v>7.2534021762108471E-3</v>
      </c>
      <c r="S81" s="2"/>
      <c r="T81" s="7">
        <v>7330.6342500000001</v>
      </c>
      <c r="U81" s="2"/>
      <c r="V81" s="6">
        <f t="shared" si="18"/>
        <v>3.8791535234007023E-3</v>
      </c>
      <c r="W81" s="2"/>
      <c r="X81" s="7">
        <f t="shared" si="19"/>
        <v>144.14574999999968</v>
      </c>
      <c r="Y81" s="2"/>
      <c r="Z81" s="6">
        <f t="shared" si="20"/>
        <v>1.966347591274243E-2</v>
      </c>
    </row>
    <row r="82" spans="1:26" s="24" customFormat="1" hidden="1" outlineLevel="2" x14ac:dyDescent="0.25">
      <c r="A82" s="29"/>
      <c r="B82" s="11" t="str">
        <f>CONCATENATE("          ", "6113", " - ", "GROUP INSURANCE")</f>
        <v xml:space="preserve">          6113 - GROUP INSURANCE</v>
      </c>
      <c r="C82" s="11"/>
      <c r="D82" s="7">
        <v>5577.16</v>
      </c>
      <c r="E82" s="2"/>
      <c r="F82" s="6">
        <f t="shared" si="13"/>
        <v>2.598225672882477E-2</v>
      </c>
      <c r="G82" s="2"/>
      <c r="H82" s="7">
        <v>5958.8461538461497</v>
      </c>
      <c r="I82" s="2"/>
      <c r="J82" s="6">
        <f t="shared" si="14"/>
        <v>2.020900069472107E-2</v>
      </c>
      <c r="K82" s="2"/>
      <c r="L82" s="7">
        <f t="shared" si="15"/>
        <v>-381.68615384614986</v>
      </c>
      <c r="M82" s="2"/>
      <c r="N82" s="6">
        <f t="shared" si="16"/>
        <v>-6.4053701671722085E-2</v>
      </c>
      <c r="O82" s="11"/>
      <c r="P82" s="7">
        <v>33416.42</v>
      </c>
      <c r="Q82" s="2"/>
      <c r="R82" s="6">
        <f t="shared" si="17"/>
        <v>3.2426738117934666E-2</v>
      </c>
      <c r="S82" s="2"/>
      <c r="T82" s="7">
        <v>36059.999999999978</v>
      </c>
      <c r="U82" s="2"/>
      <c r="V82" s="6">
        <f t="shared" si="18"/>
        <v>1.9081879041207006E-2</v>
      </c>
      <c r="W82" s="2"/>
      <c r="X82" s="7">
        <f t="shared" si="19"/>
        <v>-2643.5799999999799</v>
      </c>
      <c r="Y82" s="2"/>
      <c r="Z82" s="6">
        <f t="shared" si="20"/>
        <v>-7.331059345535168E-2</v>
      </c>
    </row>
    <row r="83" spans="1:26" s="24" customFormat="1" hidden="1" outlineLevel="2" x14ac:dyDescent="0.25">
      <c r="A83" s="29"/>
      <c r="B83" s="11" t="str">
        <f>CONCATENATE("          ", "6114", " - ", "STATE UNEMPLOYMENT INSURANCE")</f>
        <v xml:space="preserve">          6114 - STATE UNEMPLOYMENT INSURANCE</v>
      </c>
      <c r="C83" s="11"/>
      <c r="D83" s="7"/>
      <c r="E83" s="2"/>
      <c r="F83" s="6">
        <f t="shared" si="13"/>
        <v>0</v>
      </c>
      <c r="G83" s="2"/>
      <c r="H83" s="7">
        <v>156.43119999999999</v>
      </c>
      <c r="I83" s="2"/>
      <c r="J83" s="6">
        <f t="shared" si="14"/>
        <v>5.3052523053235255E-4</v>
      </c>
      <c r="K83" s="2"/>
      <c r="L83" s="7">
        <f t="shared" si="15"/>
        <v>-156.43119999999999</v>
      </c>
      <c r="M83" s="2"/>
      <c r="N83" s="6">
        <f t="shared" si="16"/>
        <v>-1</v>
      </c>
      <c r="O83" s="11"/>
      <c r="P83" s="7">
        <v>676.65</v>
      </c>
      <c r="Q83" s="2"/>
      <c r="R83" s="6">
        <f t="shared" si="17"/>
        <v>6.5660990457686648E-4</v>
      </c>
      <c r="S83" s="2"/>
      <c r="T83" s="7">
        <v>1030.2512999999999</v>
      </c>
      <c r="U83" s="2"/>
      <c r="V83" s="6">
        <f t="shared" si="18"/>
        <v>5.4517833301847706E-4</v>
      </c>
      <c r="W83" s="2"/>
      <c r="X83" s="7">
        <f t="shared" si="19"/>
        <v>-353.60129999999992</v>
      </c>
      <c r="Y83" s="2"/>
      <c r="Z83" s="6">
        <f t="shared" si="20"/>
        <v>-0.34321849436152124</v>
      </c>
    </row>
    <row r="84" spans="1:26" s="24" customFormat="1" hidden="1" outlineLevel="2" x14ac:dyDescent="0.25">
      <c r="A84" s="29"/>
      <c r="B84" s="11" t="str">
        <f>CONCATENATE("          ", "6115", " - ", "P.E.R.S.")</f>
        <v xml:space="preserve">          6115 - P.E.R.S.</v>
      </c>
      <c r="C84" s="11"/>
      <c r="D84" s="7">
        <v>1916.82</v>
      </c>
      <c r="E84" s="2"/>
      <c r="F84" s="6">
        <f t="shared" si="13"/>
        <v>8.9298692063605658E-3</v>
      </c>
      <c r="G84" s="2"/>
      <c r="H84" s="7">
        <v>1342.790769230772</v>
      </c>
      <c r="I84" s="2"/>
      <c r="J84" s="6">
        <f t="shared" si="14"/>
        <v>4.5539788891402113E-3</v>
      </c>
      <c r="K84" s="2"/>
      <c r="L84" s="7">
        <f t="shared" si="15"/>
        <v>574.02923076922798</v>
      </c>
      <c r="M84" s="2"/>
      <c r="N84" s="6">
        <f t="shared" si="16"/>
        <v>0.42748970571049205</v>
      </c>
      <c r="O84" s="11"/>
      <c r="P84" s="7">
        <v>11560.12</v>
      </c>
      <c r="Q84" s="2"/>
      <c r="R84" s="6">
        <f t="shared" si="17"/>
        <v>1.1217748156502071E-2</v>
      </c>
      <c r="S84" s="2"/>
      <c r="T84" s="7">
        <v>8728.1400000000012</v>
      </c>
      <c r="U84" s="2"/>
      <c r="V84" s="6">
        <f t="shared" si="18"/>
        <v>4.6186719837692913E-3</v>
      </c>
      <c r="W84" s="2"/>
      <c r="X84" s="7">
        <f t="shared" si="19"/>
        <v>2831.9799999999996</v>
      </c>
      <c r="Y84" s="2"/>
      <c r="Z84" s="6">
        <f t="shared" si="20"/>
        <v>0.3244654645777908</v>
      </c>
    </row>
    <row r="85" spans="1:26" s="24" customFormat="1" hidden="1" outlineLevel="2" x14ac:dyDescent="0.25">
      <c r="A85" s="29"/>
      <c r="B85" s="11" t="str">
        <f>CONCATENATE("          ", "6116", " - ", "EDUCATIONAL BENEFITS")</f>
        <v xml:space="preserve">          6116 - EDUCATIONAL BENEFITS</v>
      </c>
      <c r="C85" s="11"/>
      <c r="D85" s="7"/>
      <c r="E85" s="2"/>
      <c r="F85" s="6">
        <f t="shared" si="13"/>
        <v>0</v>
      </c>
      <c r="G85" s="2"/>
      <c r="H85" s="7">
        <v>0</v>
      </c>
      <c r="I85" s="2"/>
      <c r="J85" s="6">
        <f t="shared" si="14"/>
        <v>0</v>
      </c>
      <c r="K85" s="2"/>
      <c r="L85" s="7">
        <f t="shared" si="15"/>
        <v>0</v>
      </c>
      <c r="M85" s="2"/>
      <c r="N85" s="6">
        <f t="shared" si="16"/>
        <v>0</v>
      </c>
      <c r="O85" s="11"/>
      <c r="P85" s="7"/>
      <c r="Q85" s="2"/>
      <c r="R85" s="6">
        <f t="shared" si="17"/>
        <v>0</v>
      </c>
      <c r="S85" s="2"/>
      <c r="T85" s="7">
        <v>0</v>
      </c>
      <c r="U85" s="2"/>
      <c r="V85" s="6">
        <f t="shared" si="18"/>
        <v>0</v>
      </c>
      <c r="W85" s="2"/>
      <c r="X85" s="7">
        <f t="shared" si="19"/>
        <v>0</v>
      </c>
      <c r="Y85" s="2"/>
      <c r="Z85" s="6">
        <f t="shared" si="20"/>
        <v>0</v>
      </c>
    </row>
    <row r="86" spans="1:26" s="24" customFormat="1" hidden="1" outlineLevel="2" x14ac:dyDescent="0.25">
      <c r="A86" s="29"/>
      <c r="B86" s="11" t="str">
        <f>CONCATENATE("          ", "6118", " - ", "VACATION")</f>
        <v xml:space="preserve">          6118 - VACATION</v>
      </c>
      <c r="C86" s="11"/>
      <c r="D86" s="7">
        <v>1789.38</v>
      </c>
      <c r="E86" s="2"/>
      <c r="F86" s="6">
        <f t="shared" si="13"/>
        <v>8.3361658165490085E-3</v>
      </c>
      <c r="G86" s="2"/>
      <c r="H86" s="7">
        <v>972.69230769230808</v>
      </c>
      <c r="I86" s="2"/>
      <c r="J86" s="6">
        <f t="shared" si="14"/>
        <v>3.2988164175401565E-3</v>
      </c>
      <c r="K86" s="2"/>
      <c r="L86" s="7">
        <f t="shared" si="15"/>
        <v>816.68769230769203</v>
      </c>
      <c r="M86" s="2"/>
      <c r="N86" s="6">
        <f t="shared" si="16"/>
        <v>0.83961565836298868</v>
      </c>
      <c r="O86" s="11"/>
      <c r="P86" s="7">
        <v>10266.799999999999</v>
      </c>
      <c r="Q86" s="2"/>
      <c r="R86" s="6">
        <f t="shared" si="17"/>
        <v>9.9627319416386202E-3</v>
      </c>
      <c r="S86" s="2"/>
      <c r="T86" s="7">
        <v>6322.4999999999945</v>
      </c>
      <c r="U86" s="2"/>
      <c r="V86" s="6">
        <f t="shared" si="18"/>
        <v>3.3456788751533907E-3</v>
      </c>
      <c r="W86" s="2"/>
      <c r="X86" s="7">
        <f t="shared" si="19"/>
        <v>3944.3000000000047</v>
      </c>
      <c r="Y86" s="2"/>
      <c r="Z86" s="6">
        <f t="shared" si="20"/>
        <v>0.62385132463424409</v>
      </c>
    </row>
    <row r="87" spans="1:26" s="24" customFormat="1" hidden="1" outlineLevel="2" x14ac:dyDescent="0.25">
      <c r="A87" s="29"/>
      <c r="B87" s="11" t="str">
        <f>CONCATENATE("          ", "6119", " - ", "SICK LEAVE")</f>
        <v xml:space="preserve">          6119 - SICK LEAVE</v>
      </c>
      <c r="C87" s="11"/>
      <c r="D87" s="7">
        <v>1336.24</v>
      </c>
      <c r="E87" s="2"/>
      <c r="F87" s="6">
        <f t="shared" si="13"/>
        <v>6.2251272567623687E-3</v>
      </c>
      <c r="G87" s="2"/>
      <c r="H87" s="7">
        <v>1459.0123076923051</v>
      </c>
      <c r="I87" s="2"/>
      <c r="J87" s="6">
        <f t="shared" si="14"/>
        <v>4.9481359274108992E-3</v>
      </c>
      <c r="K87" s="2"/>
      <c r="L87" s="7">
        <f t="shared" si="15"/>
        <v>-122.77230769230505</v>
      </c>
      <c r="M87" s="2"/>
      <c r="N87" s="6">
        <f t="shared" si="16"/>
        <v>-8.4147547656052271E-2</v>
      </c>
      <c r="O87" s="11"/>
      <c r="P87" s="7">
        <v>7804.47</v>
      </c>
      <c r="Q87" s="2"/>
      <c r="R87" s="6">
        <f t="shared" si="17"/>
        <v>7.5733278681342159E-3</v>
      </c>
      <c r="S87" s="2"/>
      <c r="T87" s="7">
        <v>9535.3049999999821</v>
      </c>
      <c r="U87" s="2"/>
      <c r="V87" s="6">
        <f t="shared" si="18"/>
        <v>5.0457996847203587E-3</v>
      </c>
      <c r="W87" s="2"/>
      <c r="X87" s="7">
        <f t="shared" si="19"/>
        <v>-1730.8349999999818</v>
      </c>
      <c r="Y87" s="2"/>
      <c r="Z87" s="6">
        <f t="shared" si="20"/>
        <v>-0.18151857753894449</v>
      </c>
    </row>
    <row r="88" spans="1:26" s="24" customFormat="1" hidden="1" outlineLevel="2" x14ac:dyDescent="0.25">
      <c r="A88" s="29"/>
      <c r="B88" s="11" t="str">
        <f>CONCATENATE("          ", "6156", " - ", "EMPLOYEE MEALS")</f>
        <v xml:space="preserve">          6156 - EMPLOYEE MEALS</v>
      </c>
      <c r="C88" s="11"/>
      <c r="D88" s="7">
        <v>412.53</v>
      </c>
      <c r="E88" s="2"/>
      <c r="F88" s="6">
        <f t="shared" si="13"/>
        <v>1.9218491792134494E-3</v>
      </c>
      <c r="G88" s="2"/>
      <c r="H88" s="7">
        <v>875</v>
      </c>
      <c r="I88" s="2"/>
      <c r="J88" s="6">
        <f t="shared" si="14"/>
        <v>2.9674999406500012E-3</v>
      </c>
      <c r="K88" s="2"/>
      <c r="L88" s="7">
        <f t="shared" si="15"/>
        <v>-462.47</v>
      </c>
      <c r="M88" s="2"/>
      <c r="N88" s="6">
        <f t="shared" si="16"/>
        <v>-0.52853714285714293</v>
      </c>
      <c r="O88" s="11"/>
      <c r="P88" s="7">
        <v>2933.61</v>
      </c>
      <c r="Q88" s="2"/>
      <c r="R88" s="6">
        <f t="shared" si="17"/>
        <v>2.8467263462140565E-3</v>
      </c>
      <c r="S88" s="2"/>
      <c r="T88" s="7">
        <v>5250</v>
      </c>
      <c r="U88" s="2"/>
      <c r="V88" s="6">
        <f t="shared" si="18"/>
        <v>2.7781437871973614E-3</v>
      </c>
      <c r="W88" s="2"/>
      <c r="X88" s="7">
        <f t="shared" si="19"/>
        <v>-2316.39</v>
      </c>
      <c r="Y88" s="2"/>
      <c r="Z88" s="6">
        <f t="shared" si="20"/>
        <v>-0.44121714285714281</v>
      </c>
    </row>
    <row r="89" spans="1:26" s="28" customFormat="1" outlineLevel="1" collapsed="1" x14ac:dyDescent="0.25">
      <c r="A89" s="27"/>
      <c r="B89" s="14" t="str">
        <f>CONCATENATE("     ","*Payroll                                          ")</f>
        <v xml:space="preserve">     *Payroll                                          </v>
      </c>
      <c r="C89" s="14"/>
      <c r="D89" s="1">
        <f>SUM(OSRRefD22_1x_0)</f>
        <v>37554.350000000006</v>
      </c>
      <c r="E89" s="1"/>
      <c r="F89" s="5">
        <f t="shared" ref="F89:F99" si="21">IF(D$12=0,0,D89/D$12)</f>
        <v>0.17495405600415637</v>
      </c>
      <c r="G89" s="1"/>
      <c r="H89" s="1">
        <f>SUM(OSRRefH22_1x_0)</f>
        <v>58121.461538461517</v>
      </c>
      <c r="I89" s="1"/>
      <c r="J89" s="5">
        <f t="shared" ref="J89:J99" si="22">IF(H$12=0,0,H89/H$12)</f>
        <v>0.19711478133242957</v>
      </c>
      <c r="K89" s="1"/>
      <c r="L89" s="1">
        <f t="shared" ref="L89:L99" si="23">+D89-H89</f>
        <v>-20567.111538461511</v>
      </c>
      <c r="M89" s="1"/>
      <c r="N89" s="5">
        <f t="shared" ref="N89:N99" si="24">IF(H89=0,0,L89/H89)</f>
        <v>-0.35386432126885442</v>
      </c>
      <c r="O89" s="14"/>
      <c r="P89" s="1">
        <f>SUM(OSRRefP22_1x_0)</f>
        <v>221213.85</v>
      </c>
      <c r="Q89" s="1"/>
      <c r="R89" s="5">
        <f t="shared" ref="R89:R99" si="25">IF(P$12=0,0,P89/P$12)</f>
        <v>0.21466224035998116</v>
      </c>
      <c r="S89" s="1"/>
      <c r="T89" s="1">
        <f>SUM(OSRRefT22_1x_0)</f>
        <v>382962</v>
      </c>
      <c r="U89" s="1"/>
      <c r="V89" s="5">
        <f t="shared" ref="V89:V99" si="26">IF(T$12=0,0,T89/T$12)</f>
        <v>0.2026520954347954</v>
      </c>
      <c r="W89" s="1"/>
      <c r="X89" s="1">
        <f t="shared" ref="X89:X99" si="27">+P89-T89</f>
        <v>-161748.15</v>
      </c>
      <c r="Y89" s="1"/>
      <c r="Z89" s="5">
        <f t="shared" ref="Z89:Z99" si="28">IF(T89=0,0,X89/T89)</f>
        <v>-0.42236083475645103</v>
      </c>
    </row>
    <row r="90" spans="1:26" s="24" customFormat="1" hidden="1" outlineLevel="2" x14ac:dyDescent="0.25">
      <c r="A90" s="29"/>
      <c r="B90" s="11" t="str">
        <f>CONCATENATE("          ", "6001", " - ", "ADMINISTRATIVE SALARIES")</f>
        <v xml:space="preserve">          6001 - ADMINISTRATIVE SALARIES</v>
      </c>
      <c r="C90" s="11"/>
      <c r="D90" s="7"/>
      <c r="E90" s="2"/>
      <c r="F90" s="6">
        <f t="shared" si="21"/>
        <v>0</v>
      </c>
      <c r="G90" s="2"/>
      <c r="H90" s="7">
        <v>0</v>
      </c>
      <c r="I90" s="2"/>
      <c r="J90" s="6">
        <f t="shared" si="22"/>
        <v>0</v>
      </c>
      <c r="K90" s="2"/>
      <c r="L90" s="7">
        <f t="shared" si="23"/>
        <v>0</v>
      </c>
      <c r="M90" s="2"/>
      <c r="N90" s="6">
        <f t="shared" si="24"/>
        <v>0</v>
      </c>
      <c r="O90" s="11"/>
      <c r="P90" s="7"/>
      <c r="Q90" s="2"/>
      <c r="R90" s="6">
        <f t="shared" si="25"/>
        <v>0</v>
      </c>
      <c r="S90" s="2"/>
      <c r="T90" s="7">
        <v>0</v>
      </c>
      <c r="U90" s="2"/>
      <c r="V90" s="6">
        <f t="shared" si="26"/>
        <v>0</v>
      </c>
      <c r="W90" s="2"/>
      <c r="X90" s="7">
        <f t="shared" si="27"/>
        <v>0</v>
      </c>
      <c r="Y90" s="2"/>
      <c r="Z90" s="6">
        <f t="shared" si="28"/>
        <v>0</v>
      </c>
    </row>
    <row r="91" spans="1:26" s="24" customFormat="1" hidden="1" outlineLevel="2" x14ac:dyDescent="0.25">
      <c r="A91" s="29"/>
      <c r="B91" s="11" t="str">
        <f>CONCATENATE("          ", "6002", " - ", "STAFF SALARIES")</f>
        <v xml:space="preserve">          6002 - STAFF SALARIES</v>
      </c>
      <c r="C91" s="11"/>
      <c r="D91" s="7">
        <v>18940.030000000002</v>
      </c>
      <c r="E91" s="2"/>
      <c r="F91" s="6">
        <f t="shared" si="21"/>
        <v>8.8235718880513223E-2</v>
      </c>
      <c r="G91" s="2"/>
      <c r="H91" s="7">
        <v>14052.461538461519</v>
      </c>
      <c r="I91" s="2"/>
      <c r="J91" s="6">
        <f t="shared" si="22"/>
        <v>4.7657918607281122E-2</v>
      </c>
      <c r="K91" s="2"/>
      <c r="L91" s="7">
        <f t="shared" si="23"/>
        <v>4887.5684615384835</v>
      </c>
      <c r="M91" s="2"/>
      <c r="N91" s="6">
        <f t="shared" si="24"/>
        <v>0.34780870583856305</v>
      </c>
      <c r="O91" s="11"/>
      <c r="P91" s="7">
        <v>103693.19</v>
      </c>
      <c r="Q91" s="2"/>
      <c r="R91" s="6">
        <f t="shared" si="25"/>
        <v>0.1006221467393348</v>
      </c>
      <c r="S91" s="2"/>
      <c r="T91" s="7">
        <v>91340.999999999985</v>
      </c>
      <c r="U91" s="2"/>
      <c r="V91" s="6">
        <f t="shared" si="26"/>
        <v>4.8334939365027453E-2</v>
      </c>
      <c r="W91" s="2"/>
      <c r="X91" s="7">
        <f t="shared" si="27"/>
        <v>12352.190000000017</v>
      </c>
      <c r="Y91" s="2"/>
      <c r="Z91" s="6">
        <f t="shared" si="28"/>
        <v>0.13523160464632553</v>
      </c>
    </row>
    <row r="92" spans="1:26" s="24" customFormat="1" hidden="1" outlineLevel="2" x14ac:dyDescent="0.25">
      <c r="A92" s="29"/>
      <c r="B92" s="11" t="str">
        <f>CONCATENATE("          ", "6003", " - ", "STAFF HOURLY-9 MONTH")</f>
        <v xml:space="preserve">          6003 - STAFF HOURLY-9 MONTH</v>
      </c>
      <c r="C92" s="11"/>
      <c r="D92" s="7"/>
      <c r="E92" s="2"/>
      <c r="F92" s="6">
        <f t="shared" si="21"/>
        <v>0</v>
      </c>
      <c r="G92" s="2"/>
      <c r="H92" s="7">
        <v>0</v>
      </c>
      <c r="I92" s="2"/>
      <c r="J92" s="6">
        <f t="shared" si="22"/>
        <v>0</v>
      </c>
      <c r="K92" s="2"/>
      <c r="L92" s="7">
        <f t="shared" si="23"/>
        <v>0</v>
      </c>
      <c r="M92" s="2"/>
      <c r="N92" s="6">
        <f t="shared" si="24"/>
        <v>0</v>
      </c>
      <c r="O92" s="11"/>
      <c r="P92" s="7"/>
      <c r="Q92" s="2"/>
      <c r="R92" s="6">
        <f t="shared" si="25"/>
        <v>0</v>
      </c>
      <c r="S92" s="2"/>
      <c r="T92" s="7">
        <v>0</v>
      </c>
      <c r="U92" s="2"/>
      <c r="V92" s="6">
        <f t="shared" si="26"/>
        <v>0</v>
      </c>
      <c r="W92" s="2"/>
      <c r="X92" s="7">
        <f t="shared" si="27"/>
        <v>0</v>
      </c>
      <c r="Y92" s="2"/>
      <c r="Z92" s="6">
        <f t="shared" si="28"/>
        <v>0</v>
      </c>
    </row>
    <row r="93" spans="1:26" s="24" customFormat="1" hidden="1" outlineLevel="2" x14ac:dyDescent="0.25">
      <c r="A93" s="29"/>
      <c r="B93" s="11" t="str">
        <f>CONCATENATE("          ", "6004", " - ", "STAFF HOURLY")</f>
        <v xml:space="preserve">          6004 - STAFF HOURLY</v>
      </c>
      <c r="C93" s="11"/>
      <c r="D93" s="7">
        <v>3854.25</v>
      </c>
      <c r="E93" s="2"/>
      <c r="F93" s="6">
        <f t="shared" si="21"/>
        <v>1.7955754003305065E-2</v>
      </c>
      <c r="G93" s="2"/>
      <c r="H93" s="7">
        <v>6657</v>
      </c>
      <c r="I93" s="2"/>
      <c r="J93" s="6">
        <f t="shared" si="22"/>
        <v>2.2576739548465209E-2</v>
      </c>
      <c r="K93" s="2"/>
      <c r="L93" s="7">
        <f t="shared" si="23"/>
        <v>-2802.75</v>
      </c>
      <c r="M93" s="2"/>
      <c r="N93" s="6">
        <f t="shared" si="24"/>
        <v>-0.42102298332582244</v>
      </c>
      <c r="O93" s="11"/>
      <c r="P93" s="7">
        <v>41891.75</v>
      </c>
      <c r="Q93" s="2"/>
      <c r="R93" s="6">
        <f t="shared" si="25"/>
        <v>4.0651057370956839E-2</v>
      </c>
      <c r="S93" s="2"/>
      <c r="T93" s="7">
        <v>43270.5</v>
      </c>
      <c r="U93" s="2"/>
      <c r="V93" s="6">
        <f t="shared" si="26"/>
        <v>2.289746109408065E-2</v>
      </c>
      <c r="W93" s="2"/>
      <c r="X93" s="7">
        <f t="shared" si="27"/>
        <v>-1378.75</v>
      </c>
      <c r="Y93" s="2"/>
      <c r="Z93" s="6">
        <f t="shared" si="28"/>
        <v>-3.1863509781490856E-2</v>
      </c>
    </row>
    <row r="94" spans="1:26" s="24" customFormat="1" hidden="1" outlineLevel="2" x14ac:dyDescent="0.25">
      <c r="A94" s="29"/>
      <c r="B94" s="11" t="str">
        <f>CONCATENATE("          ", "6005", " - ", "TEMPORARY WAGES-HOURLY")</f>
        <v xml:space="preserve">          6005 - TEMPORARY WAGES-HOURLY</v>
      </c>
      <c r="C94" s="11"/>
      <c r="D94" s="7">
        <v>5638.39</v>
      </c>
      <c r="E94" s="2"/>
      <c r="F94" s="6">
        <f t="shared" si="21"/>
        <v>2.6267508286876889E-2</v>
      </c>
      <c r="G94" s="2"/>
      <c r="H94" s="7">
        <v>0</v>
      </c>
      <c r="I94" s="2"/>
      <c r="J94" s="6">
        <f t="shared" si="22"/>
        <v>0</v>
      </c>
      <c r="K94" s="2"/>
      <c r="L94" s="7">
        <f t="shared" si="23"/>
        <v>5638.39</v>
      </c>
      <c r="M94" s="2"/>
      <c r="N94" s="6">
        <f t="shared" si="24"/>
        <v>0</v>
      </c>
      <c r="O94" s="11"/>
      <c r="P94" s="7">
        <v>31525.329999999998</v>
      </c>
      <c r="Q94" s="2"/>
      <c r="R94" s="6">
        <f t="shared" si="25"/>
        <v>3.0591655838401278E-2</v>
      </c>
      <c r="S94" s="2"/>
      <c r="T94" s="7">
        <v>0</v>
      </c>
      <c r="U94" s="2"/>
      <c r="V94" s="6">
        <f t="shared" si="26"/>
        <v>0</v>
      </c>
      <c r="W94" s="2"/>
      <c r="X94" s="7">
        <f t="shared" si="27"/>
        <v>31525.329999999998</v>
      </c>
      <c r="Y94" s="2"/>
      <c r="Z94" s="6">
        <f t="shared" si="28"/>
        <v>0</v>
      </c>
    </row>
    <row r="95" spans="1:26" s="24" customFormat="1" hidden="1" outlineLevel="2" x14ac:dyDescent="0.25">
      <c r="A95" s="29"/>
      <c r="B95" s="11" t="str">
        <f>CONCATENATE("          ", "6006", " - ", "TEMPORARY PART TIME")</f>
        <v xml:space="preserve">          6006 - TEMPORARY PART TIME</v>
      </c>
      <c r="C95" s="11"/>
      <c r="D95" s="7"/>
      <c r="E95" s="2"/>
      <c r="F95" s="6">
        <f t="shared" si="21"/>
        <v>0</v>
      </c>
      <c r="G95" s="2"/>
      <c r="H95" s="7">
        <v>0</v>
      </c>
      <c r="I95" s="2"/>
      <c r="J95" s="6">
        <f t="shared" si="22"/>
        <v>0</v>
      </c>
      <c r="K95" s="2"/>
      <c r="L95" s="7">
        <f t="shared" si="23"/>
        <v>0</v>
      </c>
      <c r="M95" s="2"/>
      <c r="N95" s="6">
        <f t="shared" si="24"/>
        <v>0</v>
      </c>
      <c r="O95" s="11"/>
      <c r="P95" s="7"/>
      <c r="Q95" s="2"/>
      <c r="R95" s="6">
        <f t="shared" si="25"/>
        <v>0</v>
      </c>
      <c r="S95" s="2"/>
      <c r="T95" s="7">
        <v>0</v>
      </c>
      <c r="U95" s="2"/>
      <c r="V95" s="6">
        <f t="shared" si="26"/>
        <v>0</v>
      </c>
      <c r="W95" s="2"/>
      <c r="X95" s="7">
        <f t="shared" si="27"/>
        <v>0</v>
      </c>
      <c r="Y95" s="2"/>
      <c r="Z95" s="6">
        <f t="shared" si="28"/>
        <v>0</v>
      </c>
    </row>
    <row r="96" spans="1:26" s="24" customFormat="1" hidden="1" outlineLevel="2" x14ac:dyDescent="0.25">
      <c r="A96" s="29"/>
      <c r="B96" s="11" t="str">
        <f>CONCATENATE("          ", "6007", " - ", "STUDENT HOURLY")</f>
        <v xml:space="preserve">          6007 - STUDENT HOURLY</v>
      </c>
      <c r="C96" s="11"/>
      <c r="D96" s="7">
        <v>8038.52</v>
      </c>
      <c r="E96" s="2"/>
      <c r="F96" s="6">
        <f t="shared" si="21"/>
        <v>3.7448968715222894E-2</v>
      </c>
      <c r="G96" s="2"/>
      <c r="H96" s="7">
        <v>0</v>
      </c>
      <c r="I96" s="2"/>
      <c r="J96" s="6">
        <f t="shared" si="22"/>
        <v>0</v>
      </c>
      <c r="K96" s="2"/>
      <c r="L96" s="7">
        <f t="shared" si="23"/>
        <v>8038.52</v>
      </c>
      <c r="M96" s="2"/>
      <c r="N96" s="6">
        <f t="shared" si="24"/>
        <v>0</v>
      </c>
      <c r="O96" s="11"/>
      <c r="P96" s="7">
        <v>39173.129999999997</v>
      </c>
      <c r="Q96" s="2"/>
      <c r="R96" s="6">
        <f t="shared" si="25"/>
        <v>3.801295374459053E-2</v>
      </c>
      <c r="S96" s="2"/>
      <c r="T96" s="7">
        <v>80431.5</v>
      </c>
      <c r="U96" s="2"/>
      <c r="V96" s="6">
        <f t="shared" si="26"/>
        <v>4.2561956575231347E-2</v>
      </c>
      <c r="W96" s="2"/>
      <c r="X96" s="7">
        <f t="shared" si="27"/>
        <v>-41258.370000000003</v>
      </c>
      <c r="Y96" s="2"/>
      <c r="Z96" s="6">
        <f t="shared" si="28"/>
        <v>-0.51296283172637591</v>
      </c>
    </row>
    <row r="97" spans="1:26" s="24" customFormat="1" hidden="1" outlineLevel="2" x14ac:dyDescent="0.25">
      <c r="A97" s="29"/>
      <c r="B97" s="11" t="str">
        <f>CONCATENATE("          ", "6008", " - ", "STUDENT HOURLY-FICA EXEMPT")</f>
        <v xml:space="preserve">          6008 - STUDENT HOURLY-FICA EXEMPT</v>
      </c>
      <c r="C97" s="11"/>
      <c r="D97" s="7">
        <v>1083.1600000000001</v>
      </c>
      <c r="E97" s="2"/>
      <c r="F97" s="6">
        <f t="shared" si="21"/>
        <v>5.0461061182382862E-3</v>
      </c>
      <c r="G97" s="2"/>
      <c r="H97" s="7">
        <v>37412</v>
      </c>
      <c r="I97" s="2"/>
      <c r="J97" s="6">
        <f t="shared" si="22"/>
        <v>0.12688012317668326</v>
      </c>
      <c r="K97" s="2"/>
      <c r="L97" s="7">
        <f t="shared" si="23"/>
        <v>-36328.839999999997</v>
      </c>
      <c r="M97" s="2"/>
      <c r="N97" s="6">
        <f t="shared" si="24"/>
        <v>-0.97104779215225057</v>
      </c>
      <c r="O97" s="11"/>
      <c r="P97" s="7">
        <v>4930.45</v>
      </c>
      <c r="Q97" s="2"/>
      <c r="R97" s="6">
        <f t="shared" si="25"/>
        <v>4.7844266666977183E-3</v>
      </c>
      <c r="S97" s="2"/>
      <c r="T97" s="7">
        <v>167919</v>
      </c>
      <c r="U97" s="2"/>
      <c r="V97" s="6">
        <f t="shared" si="26"/>
        <v>8.8857738400455938E-2</v>
      </c>
      <c r="W97" s="2"/>
      <c r="X97" s="7">
        <f t="shared" si="27"/>
        <v>-162988.54999999999</v>
      </c>
      <c r="Y97" s="2"/>
      <c r="Z97" s="6">
        <f t="shared" si="28"/>
        <v>-0.97063792661938186</v>
      </c>
    </row>
    <row r="98" spans="1:26" s="24" customFormat="1" hidden="1" outlineLevel="2" x14ac:dyDescent="0.25">
      <c r="A98" s="29"/>
      <c r="B98" s="11" t="str">
        <f>CONCATENATE("          ", "6009", " - ", "TEMPORARY-SEASONAL")</f>
        <v xml:space="preserve">          6009 - TEMPORARY-SEASONAL</v>
      </c>
      <c r="C98" s="11"/>
      <c r="D98" s="7"/>
      <c r="E98" s="2"/>
      <c r="F98" s="6">
        <f t="shared" si="21"/>
        <v>0</v>
      </c>
      <c r="G98" s="2"/>
      <c r="H98" s="7">
        <v>0</v>
      </c>
      <c r="I98" s="2"/>
      <c r="J98" s="6">
        <f t="shared" si="22"/>
        <v>0</v>
      </c>
      <c r="K98" s="2"/>
      <c r="L98" s="7">
        <f t="shared" si="23"/>
        <v>0</v>
      </c>
      <c r="M98" s="2"/>
      <c r="N98" s="6">
        <f t="shared" si="24"/>
        <v>0</v>
      </c>
      <c r="O98" s="11"/>
      <c r="P98" s="7"/>
      <c r="Q98" s="2"/>
      <c r="R98" s="6">
        <f t="shared" si="25"/>
        <v>0</v>
      </c>
      <c r="S98" s="2"/>
      <c r="T98" s="7">
        <v>0</v>
      </c>
      <c r="U98" s="2"/>
      <c r="V98" s="6">
        <f t="shared" si="26"/>
        <v>0</v>
      </c>
      <c r="W98" s="2"/>
      <c r="X98" s="7">
        <f t="shared" si="27"/>
        <v>0</v>
      </c>
      <c r="Y98" s="2"/>
      <c r="Z98" s="6">
        <f t="shared" si="28"/>
        <v>0</v>
      </c>
    </row>
    <row r="99" spans="1:26" s="24" customFormat="1" hidden="1" outlineLevel="2" x14ac:dyDescent="0.25">
      <c r="A99" s="29"/>
      <c r="B99" s="11" t="str">
        <f>CONCATENATE("          ", "6010", " - ", "GRATUITY")</f>
        <v xml:space="preserve">          6010 - GRATUITY</v>
      </c>
      <c r="C99" s="11"/>
      <c r="D99" s="7"/>
      <c r="E99" s="2"/>
      <c r="F99" s="6">
        <f t="shared" si="21"/>
        <v>0</v>
      </c>
      <c r="G99" s="2"/>
      <c r="H99" s="7">
        <v>0</v>
      </c>
      <c r="I99" s="2"/>
      <c r="J99" s="6">
        <f t="shared" si="22"/>
        <v>0</v>
      </c>
      <c r="K99" s="2"/>
      <c r="L99" s="7">
        <f t="shared" si="23"/>
        <v>0</v>
      </c>
      <c r="M99" s="2"/>
      <c r="N99" s="6">
        <f t="shared" si="24"/>
        <v>0</v>
      </c>
      <c r="O99" s="11"/>
      <c r="P99" s="7"/>
      <c r="Q99" s="2"/>
      <c r="R99" s="6">
        <f t="shared" si="25"/>
        <v>0</v>
      </c>
      <c r="S99" s="2"/>
      <c r="T99" s="7">
        <v>0</v>
      </c>
      <c r="U99" s="2"/>
      <c r="V99" s="6">
        <f t="shared" si="26"/>
        <v>0</v>
      </c>
      <c r="W99" s="2"/>
      <c r="X99" s="7">
        <f t="shared" si="27"/>
        <v>0</v>
      </c>
      <c r="Y99" s="2"/>
      <c r="Z99" s="6">
        <f t="shared" si="28"/>
        <v>0</v>
      </c>
    </row>
    <row r="100" spans="1:26" s="28" customFormat="1" outlineLevel="1" collapsed="1" x14ac:dyDescent="0.25">
      <c r="A100" s="27"/>
      <c r="B100" s="14" t="str">
        <f>CONCATENATE("     ","Advertising/Promo                                 ")</f>
        <v xml:space="preserve">     Advertising/Promo                                 </v>
      </c>
      <c r="C100" s="14"/>
      <c r="D100" s="1">
        <f>SUM(OSRRefD22_2x_0)</f>
        <v>273.42</v>
      </c>
      <c r="E100" s="1"/>
      <c r="F100" s="5">
        <f t="shared" ref="F100:F114" si="29">IF(D$12=0,0,D100/D$12)</f>
        <v>1.2737788829431591E-3</v>
      </c>
      <c r="G100" s="1"/>
      <c r="H100" s="1">
        <f>SUM(OSRRefH22_2x_0)</f>
        <v>630</v>
      </c>
      <c r="I100" s="1"/>
      <c r="J100" s="5">
        <f t="shared" ref="J100:J114" si="30">IF(H$12=0,0,H100/H$12)</f>
        <v>2.1365999572680009E-3</v>
      </c>
      <c r="K100" s="1"/>
      <c r="L100" s="1">
        <f t="shared" ref="L100:L114" si="31">+D100-H100</f>
        <v>-356.58</v>
      </c>
      <c r="M100" s="1"/>
      <c r="N100" s="5">
        <f t="shared" ref="N100:N114" si="32">IF(H100=0,0,L100/H100)</f>
        <v>-0.56599999999999995</v>
      </c>
      <c r="O100" s="14"/>
      <c r="P100" s="1">
        <f>SUM(OSRRefP22_2x_0)</f>
        <v>13047.35</v>
      </c>
      <c r="Q100" s="1"/>
      <c r="R100" s="5">
        <f t="shared" ref="R100:R114" si="33">IF(P$12=0,0,P100/P$12)</f>
        <v>1.2660931409858833E-2</v>
      </c>
      <c r="S100" s="1"/>
      <c r="T100" s="1">
        <f>SUM(OSRRefT22_2x_0)</f>
        <v>4280</v>
      </c>
      <c r="U100" s="1"/>
      <c r="V100" s="5">
        <f t="shared" ref="V100:V114" si="34">IF(T$12=0,0,T100/T$12)</f>
        <v>2.2648486493723249E-3</v>
      </c>
      <c r="W100" s="1"/>
      <c r="X100" s="1">
        <f t="shared" ref="X100:X114" si="35">+P100-T100</f>
        <v>8767.35</v>
      </c>
      <c r="Y100" s="1"/>
      <c r="Z100" s="5">
        <f t="shared" ref="Z100:Z114" si="36">IF(T100=0,0,X100/T100)</f>
        <v>2.0484462616822432</v>
      </c>
    </row>
    <row r="101" spans="1:26" s="24" customFormat="1" hidden="1" outlineLevel="2" x14ac:dyDescent="0.25">
      <c r="A101" s="29"/>
      <c r="B101" s="11" t="str">
        <f>CONCATENATE("          ", "6362", " - ", "ADVERTISING EXPENSE")</f>
        <v xml:space="preserve">          6362 - ADVERTISING EXPENSE</v>
      </c>
      <c r="C101" s="11"/>
      <c r="D101" s="7">
        <v>273.42</v>
      </c>
      <c r="E101" s="2"/>
      <c r="F101" s="6">
        <f t="shared" si="29"/>
        <v>1.2737788829431591E-3</v>
      </c>
      <c r="G101" s="2"/>
      <c r="H101" s="7">
        <v>630</v>
      </c>
      <c r="I101" s="2"/>
      <c r="J101" s="6">
        <f t="shared" si="30"/>
        <v>2.1365999572680009E-3</v>
      </c>
      <c r="K101" s="2"/>
      <c r="L101" s="7">
        <f t="shared" si="31"/>
        <v>-356.58</v>
      </c>
      <c r="M101" s="2"/>
      <c r="N101" s="6">
        <f t="shared" si="32"/>
        <v>-0.56599999999999995</v>
      </c>
      <c r="O101" s="11"/>
      <c r="P101" s="7">
        <v>13047.35</v>
      </c>
      <c r="Q101" s="2"/>
      <c r="R101" s="6">
        <f t="shared" si="33"/>
        <v>1.2660931409858833E-2</v>
      </c>
      <c r="S101" s="2"/>
      <c r="T101" s="7">
        <v>4280</v>
      </c>
      <c r="U101" s="2"/>
      <c r="V101" s="6">
        <f t="shared" si="34"/>
        <v>2.2648486493723249E-3</v>
      </c>
      <c r="W101" s="2"/>
      <c r="X101" s="7">
        <f t="shared" si="35"/>
        <v>8767.35</v>
      </c>
      <c r="Y101" s="2"/>
      <c r="Z101" s="6">
        <f t="shared" si="36"/>
        <v>2.0484462616822432</v>
      </c>
    </row>
    <row r="102" spans="1:26" s="28" customFormat="1" outlineLevel="1" collapsed="1" x14ac:dyDescent="0.25">
      <c r="A102" s="27"/>
      <c r="B102" s="14" t="str">
        <f>CONCATENATE("     ","Bad Debts/Over/Short                              ")</f>
        <v xml:space="preserve">     Bad Debts/Over/Short                              </v>
      </c>
      <c r="C102" s="14"/>
      <c r="D102" s="1">
        <f>SUM(OSRRefD22_3x_0)</f>
        <v>-0.38</v>
      </c>
      <c r="E102" s="1"/>
      <c r="F102" s="5">
        <f t="shared" si="29"/>
        <v>-1.77030200979592E-6</v>
      </c>
      <c r="G102" s="1"/>
      <c r="H102" s="1">
        <f>SUM(OSRRefH22_3x_0)</f>
        <v>10</v>
      </c>
      <c r="I102" s="1"/>
      <c r="J102" s="5">
        <f t="shared" si="30"/>
        <v>3.3914285036000012E-5</v>
      </c>
      <c r="K102" s="1"/>
      <c r="L102" s="1">
        <f t="shared" si="31"/>
        <v>-10.38</v>
      </c>
      <c r="M102" s="1"/>
      <c r="N102" s="5">
        <f t="shared" si="32"/>
        <v>-1.038</v>
      </c>
      <c r="O102" s="14"/>
      <c r="P102" s="1">
        <f>SUM(OSRRefP22_3x_0)</f>
        <v>-1.39</v>
      </c>
      <c r="Q102" s="1"/>
      <c r="R102" s="5">
        <f t="shared" si="33"/>
        <v>-1.3488328786844667E-6</v>
      </c>
      <c r="S102" s="1"/>
      <c r="T102" s="1">
        <f>SUM(OSRRefT22_3x_0)</f>
        <v>60</v>
      </c>
      <c r="U102" s="1"/>
      <c r="V102" s="5">
        <f t="shared" si="34"/>
        <v>3.1750214710826984E-5</v>
      </c>
      <c r="W102" s="1"/>
      <c r="X102" s="1">
        <f t="shared" si="35"/>
        <v>-61.39</v>
      </c>
      <c r="Y102" s="1"/>
      <c r="Z102" s="5">
        <f t="shared" si="36"/>
        <v>-1.0231666666666668</v>
      </c>
    </row>
    <row r="103" spans="1:26" s="24" customFormat="1" hidden="1" outlineLevel="2" x14ac:dyDescent="0.25">
      <c r="A103" s="29"/>
      <c r="B103" s="11" t="str">
        <f>CONCATENATE("          ", "6272", " - ", "CASH (OVER/SHORT)")</f>
        <v xml:space="preserve">          6272 - CASH (OVER/SHORT)</v>
      </c>
      <c r="C103" s="11"/>
      <c r="D103" s="7">
        <v>-0.38</v>
      </c>
      <c r="E103" s="2"/>
      <c r="F103" s="6">
        <f t="shared" si="29"/>
        <v>-1.77030200979592E-6</v>
      </c>
      <c r="G103" s="2"/>
      <c r="H103" s="7">
        <v>10</v>
      </c>
      <c r="I103" s="2"/>
      <c r="J103" s="6">
        <f t="shared" si="30"/>
        <v>3.3914285036000012E-5</v>
      </c>
      <c r="K103" s="2"/>
      <c r="L103" s="7">
        <f t="shared" si="31"/>
        <v>-10.38</v>
      </c>
      <c r="M103" s="2"/>
      <c r="N103" s="6">
        <f t="shared" si="32"/>
        <v>-1.038</v>
      </c>
      <c r="O103" s="11"/>
      <c r="P103" s="7">
        <v>-1.39</v>
      </c>
      <c r="Q103" s="2"/>
      <c r="R103" s="6">
        <f t="shared" si="33"/>
        <v>-1.3488328786844667E-6</v>
      </c>
      <c r="S103" s="2"/>
      <c r="T103" s="7">
        <v>60</v>
      </c>
      <c r="U103" s="2"/>
      <c r="V103" s="6">
        <f t="shared" si="34"/>
        <v>3.1750214710826984E-5</v>
      </c>
      <c r="W103" s="2"/>
      <c r="X103" s="7">
        <f t="shared" si="35"/>
        <v>-61.39</v>
      </c>
      <c r="Y103" s="2"/>
      <c r="Z103" s="6">
        <f t="shared" si="36"/>
        <v>-1.0231666666666668</v>
      </c>
    </row>
    <row r="104" spans="1:26" s="28" customFormat="1" outlineLevel="1" collapsed="1" x14ac:dyDescent="0.25">
      <c r="A104" s="27"/>
      <c r="B104" s="14" t="str">
        <f>CONCATENATE("     ","Bank/card Fees                                    ")</f>
        <v xml:space="preserve">     Bank/card Fees                                    </v>
      </c>
      <c r="C104" s="14"/>
      <c r="D104" s="1">
        <f>SUM(OSRRefD22_4x_0)</f>
        <v>641.35</v>
      </c>
      <c r="E104" s="1"/>
      <c r="F104" s="5">
        <f t="shared" si="29"/>
        <v>2.9878505104805613E-3</v>
      </c>
      <c r="G104" s="1"/>
      <c r="H104" s="1">
        <f>SUM(OSRRefH22_4x_0)</f>
        <v>1650</v>
      </c>
      <c r="I104" s="1"/>
      <c r="J104" s="5">
        <f t="shared" si="30"/>
        <v>5.5958570309400024E-3</v>
      </c>
      <c r="K104" s="1"/>
      <c r="L104" s="1">
        <f t="shared" si="31"/>
        <v>-1008.65</v>
      </c>
      <c r="M104" s="1"/>
      <c r="N104" s="5">
        <f t="shared" si="32"/>
        <v>-0.61130303030303024</v>
      </c>
      <c r="O104" s="14"/>
      <c r="P104" s="1">
        <f>SUM(OSRRefP22_4x_0)</f>
        <v>2314.27</v>
      </c>
      <c r="Q104" s="1"/>
      <c r="R104" s="5">
        <f t="shared" si="33"/>
        <v>2.2457291123403602E-3</v>
      </c>
      <c r="S104" s="1"/>
      <c r="T104" s="1">
        <f>SUM(OSRRefT22_4x_0)</f>
        <v>4496</v>
      </c>
      <c r="U104" s="1"/>
      <c r="V104" s="5">
        <f t="shared" si="34"/>
        <v>2.379149422331302E-3</v>
      </c>
      <c r="W104" s="1"/>
      <c r="X104" s="1">
        <f t="shared" si="35"/>
        <v>-2181.73</v>
      </c>
      <c r="Y104" s="1"/>
      <c r="Z104" s="5">
        <f t="shared" si="36"/>
        <v>-0.48526023131672597</v>
      </c>
    </row>
    <row r="105" spans="1:26" s="24" customFormat="1" hidden="1" outlineLevel="2" x14ac:dyDescent="0.25">
      <c r="A105" s="29"/>
      <c r="B105" s="11" t="str">
        <f>CONCATENATE("          ", "6381", " - ", "BANK/CREDIT CARD FEES")</f>
        <v xml:space="preserve">          6381 - BANK/CREDIT CARD FEES</v>
      </c>
      <c r="C105" s="11"/>
      <c r="D105" s="7">
        <v>641.35</v>
      </c>
      <c r="E105" s="2"/>
      <c r="F105" s="6">
        <f t="shared" si="29"/>
        <v>2.9878505104805613E-3</v>
      </c>
      <c r="G105" s="2"/>
      <c r="H105" s="7">
        <v>1650</v>
      </c>
      <c r="I105" s="2"/>
      <c r="J105" s="6">
        <f t="shared" si="30"/>
        <v>5.5958570309400024E-3</v>
      </c>
      <c r="K105" s="2"/>
      <c r="L105" s="7">
        <f t="shared" si="31"/>
        <v>-1008.65</v>
      </c>
      <c r="M105" s="2"/>
      <c r="N105" s="6">
        <f t="shared" si="32"/>
        <v>-0.61130303030303024</v>
      </c>
      <c r="O105" s="11"/>
      <c r="P105" s="7">
        <v>2314.27</v>
      </c>
      <c r="Q105" s="2"/>
      <c r="R105" s="6">
        <f t="shared" si="33"/>
        <v>2.2457291123403602E-3</v>
      </c>
      <c r="S105" s="2"/>
      <c r="T105" s="7">
        <v>4496</v>
      </c>
      <c r="U105" s="2"/>
      <c r="V105" s="6">
        <f t="shared" si="34"/>
        <v>2.379149422331302E-3</v>
      </c>
      <c r="W105" s="2"/>
      <c r="X105" s="7">
        <f t="shared" si="35"/>
        <v>-2181.73</v>
      </c>
      <c r="Y105" s="2"/>
      <c r="Z105" s="6">
        <f t="shared" si="36"/>
        <v>-0.48526023131672597</v>
      </c>
    </row>
    <row r="106" spans="1:26" s="28" customFormat="1" outlineLevel="1" collapsed="1" x14ac:dyDescent="0.25">
      <c r="A106" s="27"/>
      <c r="B106" s="14" t="str">
        <f>CONCATENATE("     ","Discounts and Markdowns                           ")</f>
        <v xml:space="preserve">     Discounts and Markdowns                           </v>
      </c>
      <c r="C106" s="14"/>
      <c r="D106" s="1">
        <f>SUM(OSRRefD22_5x_0)</f>
        <v>0</v>
      </c>
      <c r="E106" s="1"/>
      <c r="F106" s="5">
        <f t="shared" si="29"/>
        <v>0</v>
      </c>
      <c r="G106" s="1"/>
      <c r="H106" s="1">
        <f>SUM(OSRRefH22_5x_0)</f>
        <v>23351</v>
      </c>
      <c r="I106" s="1"/>
      <c r="J106" s="5">
        <f t="shared" si="30"/>
        <v>7.9193246987563637E-2</v>
      </c>
      <c r="K106" s="1"/>
      <c r="L106" s="1">
        <f t="shared" si="31"/>
        <v>-23351</v>
      </c>
      <c r="M106" s="1"/>
      <c r="N106" s="5">
        <f t="shared" si="32"/>
        <v>-1</v>
      </c>
      <c r="O106" s="14"/>
      <c r="P106" s="1">
        <f>SUM(OSRRefP22_5x_0)</f>
        <v>0</v>
      </c>
      <c r="Q106" s="1"/>
      <c r="R106" s="5">
        <f t="shared" si="33"/>
        <v>0</v>
      </c>
      <c r="S106" s="1"/>
      <c r="T106" s="1">
        <f>SUM(OSRRefT22_5x_0)</f>
        <v>148485</v>
      </c>
      <c r="U106" s="1"/>
      <c r="V106" s="5">
        <f t="shared" si="34"/>
        <v>7.857384385561908E-2</v>
      </c>
      <c r="W106" s="1"/>
      <c r="X106" s="1">
        <f t="shared" si="35"/>
        <v>-148485</v>
      </c>
      <c r="Y106" s="1"/>
      <c r="Z106" s="5">
        <f t="shared" si="36"/>
        <v>-1</v>
      </c>
    </row>
    <row r="107" spans="1:26" s="24" customFormat="1" hidden="1" outlineLevel="2" x14ac:dyDescent="0.25">
      <c r="A107" s="29"/>
      <c r="B107" s="11" t="str">
        <f>CONCATENATE("          ", "6382", " - ", "DISCOUNTS/MARK DOWNS")</f>
        <v xml:space="preserve">          6382 - DISCOUNTS/MARK DOWNS</v>
      </c>
      <c r="C107" s="11"/>
      <c r="D107" s="7"/>
      <c r="E107" s="2"/>
      <c r="F107" s="6">
        <f t="shared" si="29"/>
        <v>0</v>
      </c>
      <c r="G107" s="2"/>
      <c r="H107" s="7">
        <v>23351</v>
      </c>
      <c r="I107" s="2"/>
      <c r="J107" s="6">
        <f t="shared" si="30"/>
        <v>7.9193246987563637E-2</v>
      </c>
      <c r="K107" s="2"/>
      <c r="L107" s="7">
        <f t="shared" si="31"/>
        <v>-23351</v>
      </c>
      <c r="M107" s="2"/>
      <c r="N107" s="6">
        <f t="shared" si="32"/>
        <v>-1</v>
      </c>
      <c r="O107" s="11"/>
      <c r="P107" s="7">
        <v>0</v>
      </c>
      <c r="Q107" s="2"/>
      <c r="R107" s="6">
        <f t="shared" si="33"/>
        <v>0</v>
      </c>
      <c r="S107" s="2"/>
      <c r="T107" s="7">
        <v>148485</v>
      </c>
      <c r="U107" s="2"/>
      <c r="V107" s="6">
        <f t="shared" si="34"/>
        <v>7.857384385561908E-2</v>
      </c>
      <c r="W107" s="2"/>
      <c r="X107" s="7">
        <f t="shared" si="35"/>
        <v>-148485</v>
      </c>
      <c r="Y107" s="2"/>
      <c r="Z107" s="6">
        <f t="shared" si="36"/>
        <v>-1</v>
      </c>
    </row>
    <row r="108" spans="1:26" s="28" customFormat="1" outlineLevel="1" collapsed="1" x14ac:dyDescent="0.25">
      <c r="A108" s="27"/>
      <c r="B108" s="14" t="str">
        <f>CONCATENATE("     ","Donations                                         ")</f>
        <v xml:space="preserve">     Donations                                         </v>
      </c>
      <c r="C108" s="14"/>
      <c r="D108" s="1">
        <f>SUM(OSRRefD22_6x_0)</f>
        <v>0</v>
      </c>
      <c r="E108" s="1"/>
      <c r="F108" s="5">
        <f t="shared" si="29"/>
        <v>0</v>
      </c>
      <c r="G108" s="1"/>
      <c r="H108" s="1">
        <f>SUM(OSRRefH22_6x_0)</f>
        <v>0</v>
      </c>
      <c r="I108" s="1"/>
      <c r="J108" s="5">
        <f t="shared" si="30"/>
        <v>0</v>
      </c>
      <c r="K108" s="1"/>
      <c r="L108" s="1">
        <f t="shared" si="31"/>
        <v>0</v>
      </c>
      <c r="M108" s="1"/>
      <c r="N108" s="5">
        <f t="shared" si="32"/>
        <v>0</v>
      </c>
      <c r="O108" s="14"/>
      <c r="P108" s="1">
        <f>SUM(OSRRefP22_6x_0)</f>
        <v>0</v>
      </c>
      <c r="Q108" s="1"/>
      <c r="R108" s="5">
        <f t="shared" si="33"/>
        <v>0</v>
      </c>
      <c r="S108" s="1"/>
      <c r="T108" s="1">
        <f>SUM(OSRRefT22_6x_0)</f>
        <v>0</v>
      </c>
      <c r="U108" s="1"/>
      <c r="V108" s="5">
        <f t="shared" si="34"/>
        <v>0</v>
      </c>
      <c r="W108" s="1"/>
      <c r="X108" s="1">
        <f t="shared" si="35"/>
        <v>0</v>
      </c>
      <c r="Y108" s="1"/>
      <c r="Z108" s="5">
        <f t="shared" si="36"/>
        <v>0</v>
      </c>
    </row>
    <row r="109" spans="1:26" s="24" customFormat="1" hidden="1" outlineLevel="2" x14ac:dyDescent="0.25">
      <c r="A109" s="29"/>
      <c r="B109" s="11" t="str">
        <f>CONCATENATE("          ", "6395", " - ", "DONATION-OFF CAMPUS")</f>
        <v xml:space="preserve">          6395 - DONATION-OFF CAMPUS</v>
      </c>
      <c r="C109" s="11"/>
      <c r="D109" s="7"/>
      <c r="E109" s="2"/>
      <c r="F109" s="6">
        <f t="shared" si="29"/>
        <v>0</v>
      </c>
      <c r="G109" s="2"/>
      <c r="H109" s="7"/>
      <c r="I109" s="2"/>
      <c r="J109" s="6">
        <f t="shared" si="30"/>
        <v>0</v>
      </c>
      <c r="K109" s="2"/>
      <c r="L109" s="7">
        <f t="shared" si="31"/>
        <v>0</v>
      </c>
      <c r="M109" s="2"/>
      <c r="N109" s="6">
        <f t="shared" si="32"/>
        <v>0</v>
      </c>
      <c r="O109" s="11"/>
      <c r="P109" s="7"/>
      <c r="Q109" s="2"/>
      <c r="R109" s="6">
        <f t="shared" si="33"/>
        <v>0</v>
      </c>
      <c r="S109" s="2"/>
      <c r="T109" s="7">
        <v>0</v>
      </c>
      <c r="U109" s="2"/>
      <c r="V109" s="6">
        <f t="shared" si="34"/>
        <v>0</v>
      </c>
      <c r="W109" s="2"/>
      <c r="X109" s="7">
        <f t="shared" si="35"/>
        <v>0</v>
      </c>
      <c r="Y109" s="2"/>
      <c r="Z109" s="6">
        <f t="shared" si="36"/>
        <v>0</v>
      </c>
    </row>
    <row r="110" spans="1:26" s="28" customFormat="1" outlineLevel="1" collapsed="1" x14ac:dyDescent="0.25">
      <c r="A110" s="27"/>
      <c r="B110" s="14" t="str">
        <f>CONCATENATE("     ","Employees' Appreciation                           ")</f>
        <v xml:space="preserve">     Employees' Appreciation                           </v>
      </c>
      <c r="C110" s="14"/>
      <c r="D110" s="1">
        <f>SUM(OSRRefD22_7x_0)</f>
        <v>0</v>
      </c>
      <c r="E110" s="1"/>
      <c r="F110" s="5">
        <f t="shared" si="29"/>
        <v>0</v>
      </c>
      <c r="G110" s="1"/>
      <c r="H110" s="1">
        <f>SUM(OSRRefH22_7x_0)</f>
        <v>200</v>
      </c>
      <c r="I110" s="1"/>
      <c r="J110" s="5">
        <f t="shared" si="30"/>
        <v>6.782857007200003E-4</v>
      </c>
      <c r="K110" s="1"/>
      <c r="L110" s="1">
        <f t="shared" si="31"/>
        <v>-200</v>
      </c>
      <c r="M110" s="1"/>
      <c r="N110" s="5">
        <f t="shared" si="32"/>
        <v>-1</v>
      </c>
      <c r="O110" s="14"/>
      <c r="P110" s="1">
        <f>SUM(OSRRefP22_7x_0)</f>
        <v>0</v>
      </c>
      <c r="Q110" s="1"/>
      <c r="R110" s="5">
        <f t="shared" si="33"/>
        <v>0</v>
      </c>
      <c r="S110" s="1"/>
      <c r="T110" s="1">
        <f>SUM(OSRRefT22_7x_0)</f>
        <v>1200</v>
      </c>
      <c r="U110" s="1"/>
      <c r="V110" s="5">
        <f t="shared" si="34"/>
        <v>6.3500429421653969E-4</v>
      </c>
      <c r="W110" s="1"/>
      <c r="X110" s="1">
        <f t="shared" si="35"/>
        <v>-1200</v>
      </c>
      <c r="Y110" s="1"/>
      <c r="Z110" s="5">
        <f t="shared" si="36"/>
        <v>-1</v>
      </c>
    </row>
    <row r="111" spans="1:26" s="24" customFormat="1" hidden="1" outlineLevel="2" x14ac:dyDescent="0.25">
      <c r="A111" s="29"/>
      <c r="B111" s="11" t="str">
        <f>CONCATENATE("          ", "6277", " - ", "EMPLOYEE APPRECIATION")</f>
        <v xml:space="preserve">          6277 - EMPLOYEE APPRECIATION</v>
      </c>
      <c r="C111" s="11"/>
      <c r="D111" s="7"/>
      <c r="E111" s="2"/>
      <c r="F111" s="6">
        <f t="shared" si="29"/>
        <v>0</v>
      </c>
      <c r="G111" s="2"/>
      <c r="H111" s="7">
        <v>200</v>
      </c>
      <c r="I111" s="2"/>
      <c r="J111" s="6">
        <f t="shared" si="30"/>
        <v>6.782857007200003E-4</v>
      </c>
      <c r="K111" s="2"/>
      <c r="L111" s="7">
        <f t="shared" si="31"/>
        <v>-200</v>
      </c>
      <c r="M111" s="2"/>
      <c r="N111" s="6">
        <f t="shared" si="32"/>
        <v>-1</v>
      </c>
      <c r="O111" s="11"/>
      <c r="P111" s="7"/>
      <c r="Q111" s="2"/>
      <c r="R111" s="6">
        <f t="shared" si="33"/>
        <v>0</v>
      </c>
      <c r="S111" s="2"/>
      <c r="T111" s="7">
        <v>1200</v>
      </c>
      <c r="U111" s="2"/>
      <c r="V111" s="6">
        <f t="shared" si="34"/>
        <v>6.3500429421653969E-4</v>
      </c>
      <c r="W111" s="2"/>
      <c r="X111" s="7">
        <f t="shared" si="35"/>
        <v>-1200</v>
      </c>
      <c r="Y111" s="2"/>
      <c r="Z111" s="6">
        <f t="shared" si="36"/>
        <v>-1</v>
      </c>
    </row>
    <row r="112" spans="1:26" s="28" customFormat="1" outlineLevel="1" collapsed="1" x14ac:dyDescent="0.25">
      <c r="A112" s="27"/>
      <c r="B112" s="14" t="str">
        <f>CONCATENATE("     ","Freight out/Postage                               ")</f>
        <v xml:space="preserve">     Freight out/Postage                               </v>
      </c>
      <c r="C112" s="14"/>
      <c r="D112" s="1">
        <f>SUM(OSRRefD22_8x_0)</f>
        <v>15.280000000000001</v>
      </c>
      <c r="E112" s="1"/>
      <c r="F112" s="5">
        <f t="shared" si="29"/>
        <v>7.1184775551793835E-5</v>
      </c>
      <c r="G112" s="1"/>
      <c r="H112" s="1">
        <f>SUM(OSRRefH22_8x_0)</f>
        <v>10</v>
      </c>
      <c r="I112" s="1"/>
      <c r="J112" s="5">
        <f t="shared" si="30"/>
        <v>3.3914285036000012E-5</v>
      </c>
      <c r="K112" s="1"/>
      <c r="L112" s="1">
        <f t="shared" si="31"/>
        <v>5.2800000000000011</v>
      </c>
      <c r="M112" s="1"/>
      <c r="N112" s="5">
        <f t="shared" si="32"/>
        <v>0.52800000000000014</v>
      </c>
      <c r="O112" s="14"/>
      <c r="P112" s="1">
        <f>SUM(OSRRefP22_8x_0)</f>
        <v>107.24</v>
      </c>
      <c r="Q112" s="1"/>
      <c r="R112" s="5">
        <f t="shared" si="33"/>
        <v>1.0406391216555554E-4</v>
      </c>
      <c r="S112" s="1"/>
      <c r="T112" s="1">
        <f>SUM(OSRRefT22_8x_0)</f>
        <v>60</v>
      </c>
      <c r="U112" s="1"/>
      <c r="V112" s="5">
        <f t="shared" si="34"/>
        <v>3.1750214710826984E-5</v>
      </c>
      <c r="W112" s="1"/>
      <c r="X112" s="1">
        <f t="shared" si="35"/>
        <v>47.239999999999995</v>
      </c>
      <c r="Y112" s="1"/>
      <c r="Z112" s="5">
        <f t="shared" si="36"/>
        <v>0.78733333333333322</v>
      </c>
    </row>
    <row r="113" spans="1:26" s="24" customFormat="1" hidden="1" outlineLevel="2" x14ac:dyDescent="0.25">
      <c r="A113" s="29"/>
      <c r="B113" s="11" t="str">
        <f>CONCATENATE("          ", "6305", " - ", "FREIGHT OUT")</f>
        <v xml:space="preserve">          6305 - FREIGHT OUT</v>
      </c>
      <c r="C113" s="11"/>
      <c r="D113" s="7">
        <v>21.28</v>
      </c>
      <c r="E113" s="2"/>
      <c r="F113" s="6">
        <f t="shared" si="29"/>
        <v>9.9136912548571519E-5</v>
      </c>
      <c r="G113" s="2"/>
      <c r="H113" s="7"/>
      <c r="I113" s="2"/>
      <c r="J113" s="6">
        <f t="shared" si="30"/>
        <v>0</v>
      </c>
      <c r="K113" s="2"/>
      <c r="L113" s="7">
        <f t="shared" si="31"/>
        <v>21.28</v>
      </c>
      <c r="M113" s="2"/>
      <c r="N113" s="6">
        <f t="shared" si="32"/>
        <v>0</v>
      </c>
      <c r="O113" s="11"/>
      <c r="P113" s="7">
        <v>113.24</v>
      </c>
      <c r="Q113" s="2"/>
      <c r="R113" s="6">
        <f t="shared" si="33"/>
        <v>1.0988621236131583E-4</v>
      </c>
      <c r="S113" s="2"/>
      <c r="T113" s="7"/>
      <c r="U113" s="2"/>
      <c r="V113" s="6">
        <f t="shared" si="34"/>
        <v>0</v>
      </c>
      <c r="W113" s="2"/>
      <c r="X113" s="7">
        <f t="shared" si="35"/>
        <v>113.24</v>
      </c>
      <c r="Y113" s="2"/>
      <c r="Z113" s="6">
        <f t="shared" si="36"/>
        <v>0</v>
      </c>
    </row>
    <row r="114" spans="1:26" s="24" customFormat="1" hidden="1" outlineLevel="2" x14ac:dyDescent="0.25">
      <c r="A114" s="29"/>
      <c r="B114" s="11" t="str">
        <f>CONCATENATE("          ", "6307", " - ", "POSTAGE")</f>
        <v xml:space="preserve">          6307 - POSTAGE</v>
      </c>
      <c r="C114" s="11"/>
      <c r="D114" s="7">
        <v>-6</v>
      </c>
      <c r="E114" s="2"/>
      <c r="F114" s="6">
        <f t="shared" si="29"/>
        <v>-2.7952136996777684E-5</v>
      </c>
      <c r="G114" s="2"/>
      <c r="H114" s="7">
        <v>10</v>
      </c>
      <c r="I114" s="2"/>
      <c r="J114" s="6">
        <f t="shared" si="30"/>
        <v>3.3914285036000012E-5</v>
      </c>
      <c r="K114" s="2"/>
      <c r="L114" s="7">
        <f t="shared" si="31"/>
        <v>-16</v>
      </c>
      <c r="M114" s="2"/>
      <c r="N114" s="6">
        <f t="shared" si="32"/>
        <v>-1.6</v>
      </c>
      <c r="O114" s="11"/>
      <c r="P114" s="7">
        <v>-6</v>
      </c>
      <c r="Q114" s="2"/>
      <c r="R114" s="6">
        <f t="shared" si="33"/>
        <v>-5.8223001957602884E-6</v>
      </c>
      <c r="S114" s="2"/>
      <c r="T114" s="7">
        <v>60</v>
      </c>
      <c r="U114" s="2"/>
      <c r="V114" s="6">
        <f t="shared" si="34"/>
        <v>3.1750214710826984E-5</v>
      </c>
      <c r="W114" s="2"/>
      <c r="X114" s="7">
        <f t="shared" si="35"/>
        <v>-66</v>
      </c>
      <c r="Y114" s="2"/>
      <c r="Z114" s="6">
        <f t="shared" si="36"/>
        <v>-1.1000000000000001</v>
      </c>
    </row>
    <row r="115" spans="1:26" s="28" customFormat="1" outlineLevel="1" collapsed="1" x14ac:dyDescent="0.25">
      <c r="A115" s="27"/>
      <c r="B115" s="14" t="str">
        <f>CONCATENATE("     ","General                                           ")</f>
        <v xml:space="preserve">     General                                           </v>
      </c>
      <c r="C115" s="14"/>
      <c r="D115" s="1">
        <f>SUM(OSRRefD22_9x_0)</f>
        <v>1285.46</v>
      </c>
      <c r="E115" s="1"/>
      <c r="F115" s="5">
        <f t="shared" ref="F115:F117" si="37">IF(D$12=0,0,D115/D$12)</f>
        <v>5.9885590039796405E-3</v>
      </c>
      <c r="G115" s="1"/>
      <c r="H115" s="1">
        <f>SUM(OSRRefH22_9x_0)</f>
        <v>200</v>
      </c>
      <c r="I115" s="1"/>
      <c r="J115" s="5">
        <f t="shared" ref="J115:J117" si="38">IF(H$12=0,0,H115/H$12)</f>
        <v>6.782857007200003E-4</v>
      </c>
      <c r="K115" s="1"/>
      <c r="L115" s="1">
        <f t="shared" ref="L115:L117" si="39">+D115-H115</f>
        <v>1085.46</v>
      </c>
      <c r="M115" s="1"/>
      <c r="N115" s="5">
        <f t="shared" ref="N115:N117" si="40">IF(H115=0,0,L115/H115)</f>
        <v>5.4272999999999998</v>
      </c>
      <c r="O115" s="14"/>
      <c r="P115" s="1">
        <f>SUM(OSRRefP22_9x_0)</f>
        <v>1285.46</v>
      </c>
      <c r="Q115" s="1"/>
      <c r="R115" s="5">
        <f t="shared" ref="R115:R117" si="41">IF(P$12=0,0,P115/P$12)</f>
        <v>1.2473890016070034E-3</v>
      </c>
      <c r="S115" s="1"/>
      <c r="T115" s="1">
        <f>SUM(OSRRefT22_9x_0)</f>
        <v>1700</v>
      </c>
      <c r="U115" s="1"/>
      <c r="V115" s="5">
        <f t="shared" ref="V115:V117" si="42">IF(T$12=0,0,T115/T$12)</f>
        <v>8.9958941680676457E-4</v>
      </c>
      <c r="W115" s="1"/>
      <c r="X115" s="1">
        <f t="shared" ref="X115:X117" si="43">+P115-T115</f>
        <v>-414.53999999999996</v>
      </c>
      <c r="Y115" s="1"/>
      <c r="Z115" s="5">
        <f t="shared" ref="Z115:Z117" si="44">IF(T115=0,0,X115/T115)</f>
        <v>-0.24384705882352939</v>
      </c>
    </row>
    <row r="116" spans="1:26" s="24" customFormat="1" hidden="1" outlineLevel="2" x14ac:dyDescent="0.25">
      <c r="A116" s="29"/>
      <c r="B116" s="11" t="str">
        <f>CONCATENATE("          ", "6276", " - ", "PROPERTY TAX")</f>
        <v xml:space="preserve">          6276 - PROPERTY TAX</v>
      </c>
      <c r="C116" s="11"/>
      <c r="D116" s="7"/>
      <c r="E116" s="2"/>
      <c r="F116" s="6">
        <f t="shared" si="37"/>
        <v>0</v>
      </c>
      <c r="G116" s="2"/>
      <c r="H116" s="7"/>
      <c r="I116" s="2"/>
      <c r="J116" s="6">
        <f t="shared" si="38"/>
        <v>0</v>
      </c>
      <c r="K116" s="2"/>
      <c r="L116" s="7">
        <f t="shared" si="39"/>
        <v>0</v>
      </c>
      <c r="M116" s="2"/>
      <c r="N116" s="6">
        <f t="shared" si="40"/>
        <v>0</v>
      </c>
      <c r="O116" s="11"/>
      <c r="P116" s="7"/>
      <c r="Q116" s="2"/>
      <c r="R116" s="6">
        <f t="shared" si="41"/>
        <v>0</v>
      </c>
      <c r="S116" s="2"/>
      <c r="T116" s="7">
        <v>150</v>
      </c>
      <c r="U116" s="2"/>
      <c r="V116" s="6">
        <f t="shared" si="42"/>
        <v>7.9375536777067461E-5</v>
      </c>
      <c r="W116" s="2"/>
      <c r="X116" s="7">
        <f t="shared" si="43"/>
        <v>-150</v>
      </c>
      <c r="Y116" s="2"/>
      <c r="Z116" s="6">
        <f t="shared" si="44"/>
        <v>-1</v>
      </c>
    </row>
    <row r="117" spans="1:26" s="24" customFormat="1" hidden="1" outlineLevel="2" x14ac:dyDescent="0.25">
      <c r="A117" s="29"/>
      <c r="B117" s="11" t="str">
        <f>CONCATENATE("          ", "6279", " - ", "GENERAL EXPENSE")</f>
        <v xml:space="preserve">          6279 - GENERAL EXPENSE</v>
      </c>
      <c r="C117" s="11"/>
      <c r="D117" s="7">
        <v>1285.46</v>
      </c>
      <c r="E117" s="2"/>
      <c r="F117" s="6">
        <f t="shared" si="37"/>
        <v>5.9885590039796405E-3</v>
      </c>
      <c r="G117" s="2"/>
      <c r="H117" s="7">
        <v>200</v>
      </c>
      <c r="I117" s="2"/>
      <c r="J117" s="6">
        <f t="shared" si="38"/>
        <v>6.782857007200003E-4</v>
      </c>
      <c r="K117" s="2"/>
      <c r="L117" s="7">
        <f t="shared" si="39"/>
        <v>1085.46</v>
      </c>
      <c r="M117" s="2"/>
      <c r="N117" s="6">
        <f t="shared" si="40"/>
        <v>5.4272999999999998</v>
      </c>
      <c r="O117" s="11"/>
      <c r="P117" s="7">
        <v>1285.46</v>
      </c>
      <c r="Q117" s="2"/>
      <c r="R117" s="6">
        <f t="shared" si="41"/>
        <v>1.2473890016070034E-3</v>
      </c>
      <c r="S117" s="2"/>
      <c r="T117" s="7">
        <v>1550</v>
      </c>
      <c r="U117" s="2"/>
      <c r="V117" s="6">
        <f t="shared" si="42"/>
        <v>8.2021388002969709E-4</v>
      </c>
      <c r="W117" s="2"/>
      <c r="X117" s="7">
        <f t="shared" si="43"/>
        <v>-264.53999999999996</v>
      </c>
      <c r="Y117" s="2"/>
      <c r="Z117" s="6">
        <f t="shared" si="44"/>
        <v>-0.17067096774193546</v>
      </c>
    </row>
    <row r="118" spans="1:26" s="28" customFormat="1" outlineLevel="1" collapsed="1" x14ac:dyDescent="0.25">
      <c r="A118" s="27"/>
      <c r="B118" s="14" t="str">
        <f>CONCATENATE("     ","Insurance                                         ")</f>
        <v xml:space="preserve">     Insurance                                         </v>
      </c>
      <c r="C118" s="14"/>
      <c r="D118" s="1">
        <f>SUM(OSRRefD22_10x_0)</f>
        <v>161.18</v>
      </c>
      <c r="E118" s="1"/>
      <c r="F118" s="5">
        <f t="shared" ref="F118:F128" si="45">IF(D$12=0,0,D118/D$12)</f>
        <v>7.5088757352343783E-4</v>
      </c>
      <c r="G118" s="1"/>
      <c r="H118" s="1">
        <f>SUM(OSRRefH22_10x_0)</f>
        <v>176</v>
      </c>
      <c r="I118" s="1"/>
      <c r="J118" s="5">
        <f t="shared" ref="J118:J128" si="46">IF(H$12=0,0,H118/H$12)</f>
        <v>5.9689141663360023E-4</v>
      </c>
      <c r="K118" s="1"/>
      <c r="L118" s="1">
        <f t="shared" ref="L118:L128" si="47">+D118-H118</f>
        <v>-14.819999999999993</v>
      </c>
      <c r="M118" s="1"/>
      <c r="N118" s="5">
        <f t="shared" ref="N118:N128" si="48">IF(H118=0,0,L118/H118)</f>
        <v>-8.4204545454545421E-2</v>
      </c>
      <c r="O118" s="14"/>
      <c r="P118" s="1">
        <f>SUM(OSRRefP22_10x_0)</f>
        <v>967.08</v>
      </c>
      <c r="Q118" s="1"/>
      <c r="R118" s="5">
        <f t="shared" ref="R118:R128" si="49">IF(P$12=0,0,P118/P$12)</f>
        <v>9.3843834555264324E-4</v>
      </c>
      <c r="S118" s="1"/>
      <c r="T118" s="1">
        <f>SUM(OSRRefT22_10x_0)</f>
        <v>1056</v>
      </c>
      <c r="U118" s="1"/>
      <c r="V118" s="5">
        <f t="shared" ref="V118:V128" si="50">IF(T$12=0,0,T118/T$12)</f>
        <v>5.5880377891055495E-4</v>
      </c>
      <c r="W118" s="1"/>
      <c r="X118" s="1">
        <f t="shared" ref="X118:X128" si="51">+P118-T118</f>
        <v>-88.919999999999959</v>
      </c>
      <c r="Y118" s="1"/>
      <c r="Z118" s="5">
        <f t="shared" ref="Z118:Z128" si="52">IF(T118=0,0,X118/T118)</f>
        <v>-8.4204545454545421E-2</v>
      </c>
    </row>
    <row r="119" spans="1:26" s="24" customFormat="1" hidden="1" outlineLevel="2" x14ac:dyDescent="0.25">
      <c r="A119" s="29"/>
      <c r="B119" s="11" t="str">
        <f>CONCATENATE("          ", "6314", " - ", "LIABILITY INSURANCE")</f>
        <v xml:space="preserve">          6314 - LIABILITY INSURANCE</v>
      </c>
      <c r="C119" s="11"/>
      <c r="D119" s="7">
        <v>161.18</v>
      </c>
      <c r="E119" s="2"/>
      <c r="F119" s="6">
        <f t="shared" si="45"/>
        <v>7.5088757352343783E-4</v>
      </c>
      <c r="G119" s="2"/>
      <c r="H119" s="7">
        <v>176</v>
      </c>
      <c r="I119" s="2"/>
      <c r="J119" s="6">
        <f t="shared" si="46"/>
        <v>5.9689141663360023E-4</v>
      </c>
      <c r="K119" s="2"/>
      <c r="L119" s="7">
        <f t="shared" si="47"/>
        <v>-14.819999999999993</v>
      </c>
      <c r="M119" s="2"/>
      <c r="N119" s="6">
        <f t="shared" si="48"/>
        <v>-8.4204545454545421E-2</v>
      </c>
      <c r="O119" s="11"/>
      <c r="P119" s="7">
        <v>967.08</v>
      </c>
      <c r="Q119" s="2"/>
      <c r="R119" s="6">
        <f t="shared" si="49"/>
        <v>9.3843834555264324E-4</v>
      </c>
      <c r="S119" s="2"/>
      <c r="T119" s="7">
        <v>1056</v>
      </c>
      <c r="U119" s="2"/>
      <c r="V119" s="6">
        <f t="shared" si="50"/>
        <v>5.5880377891055495E-4</v>
      </c>
      <c r="W119" s="2"/>
      <c r="X119" s="7">
        <f t="shared" si="51"/>
        <v>-88.919999999999959</v>
      </c>
      <c r="Y119" s="2"/>
      <c r="Z119" s="6">
        <f t="shared" si="52"/>
        <v>-8.4204545454545421E-2</v>
      </c>
    </row>
    <row r="120" spans="1:26" s="28" customFormat="1" outlineLevel="1" collapsed="1" x14ac:dyDescent="0.25">
      <c r="A120" s="27"/>
      <c r="B120" s="14" t="str">
        <f>CONCATENATE("     ","Inventory Adjustment                              ")</f>
        <v xml:space="preserve">     Inventory Adjustment                              </v>
      </c>
      <c r="C120" s="14"/>
      <c r="D120" s="1">
        <f>SUM(OSRRefD22_11x_0)</f>
        <v>1100</v>
      </c>
      <c r="E120" s="1"/>
      <c r="F120" s="5">
        <f t="shared" si="45"/>
        <v>5.124558449409242E-3</v>
      </c>
      <c r="G120" s="1"/>
      <c r="H120" s="1">
        <f>SUM(OSRRefH22_11x_0)</f>
        <v>1100</v>
      </c>
      <c r="I120" s="1"/>
      <c r="J120" s="5">
        <f t="shared" si="46"/>
        <v>3.7305713539600013E-3</v>
      </c>
      <c r="K120" s="1"/>
      <c r="L120" s="1">
        <f t="shared" si="47"/>
        <v>0</v>
      </c>
      <c r="M120" s="1"/>
      <c r="N120" s="5">
        <f t="shared" si="48"/>
        <v>0</v>
      </c>
      <c r="O120" s="14"/>
      <c r="P120" s="1">
        <f>SUM(OSRRefP22_11x_0)</f>
        <v>6600</v>
      </c>
      <c r="Q120" s="1"/>
      <c r="R120" s="5">
        <f t="shared" si="49"/>
        <v>6.4045302153363168E-3</v>
      </c>
      <c r="S120" s="1"/>
      <c r="T120" s="1">
        <f>SUM(OSRRefT22_11x_0)</f>
        <v>6600</v>
      </c>
      <c r="U120" s="1"/>
      <c r="V120" s="5">
        <f t="shared" si="50"/>
        <v>3.4925236181909684E-3</v>
      </c>
      <c r="W120" s="1"/>
      <c r="X120" s="1">
        <f t="shared" si="51"/>
        <v>0</v>
      </c>
      <c r="Y120" s="1"/>
      <c r="Z120" s="5">
        <f t="shared" si="52"/>
        <v>0</v>
      </c>
    </row>
    <row r="121" spans="1:26" s="24" customFormat="1" hidden="1" outlineLevel="2" x14ac:dyDescent="0.25">
      <c r="A121" s="29"/>
      <c r="B121" s="11" t="str">
        <f>CONCATENATE("          ", "6408", " - ", "INVENTORY ADJUSTMENT")</f>
        <v xml:space="preserve">          6408 - INVENTORY ADJUSTMENT</v>
      </c>
      <c r="C121" s="11"/>
      <c r="D121" s="7">
        <v>1100</v>
      </c>
      <c r="E121" s="2"/>
      <c r="F121" s="6">
        <f t="shared" si="45"/>
        <v>5.124558449409242E-3</v>
      </c>
      <c r="G121" s="2"/>
      <c r="H121" s="7">
        <v>1100</v>
      </c>
      <c r="I121" s="2"/>
      <c r="J121" s="6">
        <f t="shared" si="46"/>
        <v>3.7305713539600013E-3</v>
      </c>
      <c r="K121" s="2"/>
      <c r="L121" s="7">
        <f t="shared" si="47"/>
        <v>0</v>
      </c>
      <c r="M121" s="2"/>
      <c r="N121" s="6">
        <f t="shared" si="48"/>
        <v>0</v>
      </c>
      <c r="O121" s="11"/>
      <c r="P121" s="7">
        <v>6600</v>
      </c>
      <c r="Q121" s="2"/>
      <c r="R121" s="6">
        <f t="shared" si="49"/>
        <v>6.4045302153363168E-3</v>
      </c>
      <c r="S121" s="2"/>
      <c r="T121" s="7">
        <v>6600</v>
      </c>
      <c r="U121" s="2"/>
      <c r="V121" s="6">
        <f t="shared" si="50"/>
        <v>3.4925236181909684E-3</v>
      </c>
      <c r="W121" s="2"/>
      <c r="X121" s="7">
        <f t="shared" si="51"/>
        <v>0</v>
      </c>
      <c r="Y121" s="2"/>
      <c r="Z121" s="6">
        <f t="shared" si="52"/>
        <v>0</v>
      </c>
    </row>
    <row r="122" spans="1:26" s="28" customFormat="1" outlineLevel="1" collapsed="1" x14ac:dyDescent="0.25">
      <c r="A122" s="27"/>
      <c r="B122" s="14" t="str">
        <f>CONCATENATE("     ","Professional Services                             ")</f>
        <v xml:space="preserve">     Professional Services                             </v>
      </c>
      <c r="C122" s="14"/>
      <c r="D122" s="1">
        <f>SUM(OSRRefD22_12x_0)</f>
        <v>0</v>
      </c>
      <c r="E122" s="1"/>
      <c r="F122" s="5">
        <f t="shared" si="45"/>
        <v>0</v>
      </c>
      <c r="G122" s="1"/>
      <c r="H122" s="1">
        <f>SUM(OSRRefH22_12x_0)</f>
        <v>0</v>
      </c>
      <c r="I122" s="1"/>
      <c r="J122" s="5">
        <f t="shared" si="46"/>
        <v>0</v>
      </c>
      <c r="K122" s="1"/>
      <c r="L122" s="1">
        <f t="shared" si="47"/>
        <v>0</v>
      </c>
      <c r="M122" s="1"/>
      <c r="N122" s="5">
        <f t="shared" si="48"/>
        <v>0</v>
      </c>
      <c r="O122" s="14"/>
      <c r="P122" s="1">
        <f>SUM(OSRRefP22_12x_0)</f>
        <v>0</v>
      </c>
      <c r="Q122" s="1"/>
      <c r="R122" s="5">
        <f t="shared" si="49"/>
        <v>0</v>
      </c>
      <c r="S122" s="1"/>
      <c r="T122" s="1">
        <f>SUM(OSRRefT22_12x_0)</f>
        <v>6000</v>
      </c>
      <c r="U122" s="1"/>
      <c r="V122" s="5">
        <f t="shared" si="50"/>
        <v>3.1750214710826986E-3</v>
      </c>
      <c r="W122" s="1"/>
      <c r="X122" s="1">
        <f t="shared" si="51"/>
        <v>-6000</v>
      </c>
      <c r="Y122" s="1"/>
      <c r="Z122" s="5">
        <f t="shared" si="52"/>
        <v>-1</v>
      </c>
    </row>
    <row r="123" spans="1:26" s="24" customFormat="1" hidden="1" outlineLevel="2" x14ac:dyDescent="0.25">
      <c r="A123" s="29"/>
      <c r="B123" s="11" t="str">
        <f>CONCATENATE("          ", "6336", " - ", "PROFESSIONAL SERVICES")</f>
        <v xml:space="preserve">          6336 - PROFESSIONAL SERVICES</v>
      </c>
      <c r="C123" s="11"/>
      <c r="D123" s="7"/>
      <c r="E123" s="2"/>
      <c r="F123" s="6">
        <f t="shared" si="45"/>
        <v>0</v>
      </c>
      <c r="G123" s="2"/>
      <c r="H123" s="7">
        <v>0</v>
      </c>
      <c r="I123" s="2"/>
      <c r="J123" s="6">
        <f t="shared" si="46"/>
        <v>0</v>
      </c>
      <c r="K123" s="2"/>
      <c r="L123" s="7">
        <f t="shared" si="47"/>
        <v>0</v>
      </c>
      <c r="M123" s="2"/>
      <c r="N123" s="6">
        <f t="shared" si="48"/>
        <v>0</v>
      </c>
      <c r="O123" s="11"/>
      <c r="P123" s="7"/>
      <c r="Q123" s="2"/>
      <c r="R123" s="6">
        <f t="shared" si="49"/>
        <v>0</v>
      </c>
      <c r="S123" s="2"/>
      <c r="T123" s="7">
        <v>6000</v>
      </c>
      <c r="U123" s="2"/>
      <c r="V123" s="6">
        <f t="shared" si="50"/>
        <v>3.1750214710826986E-3</v>
      </c>
      <c r="W123" s="2"/>
      <c r="X123" s="7">
        <f t="shared" si="51"/>
        <v>-6000</v>
      </c>
      <c r="Y123" s="2"/>
      <c r="Z123" s="6">
        <f t="shared" si="52"/>
        <v>-1</v>
      </c>
    </row>
    <row r="124" spans="1:26" s="28" customFormat="1" outlineLevel="1" collapsed="1" x14ac:dyDescent="0.25">
      <c r="A124" s="27"/>
      <c r="B124" s="14" t="str">
        <f>CONCATENATE("     ","Rent                                              ")</f>
        <v xml:space="preserve">     Rent                                              </v>
      </c>
      <c r="C124" s="14"/>
      <c r="D124" s="1">
        <f>SUM(OSRRefD22_13x_0)</f>
        <v>6900</v>
      </c>
      <c r="E124" s="1"/>
      <c r="F124" s="5">
        <f t="shared" si="45"/>
        <v>3.2144957546294338E-2</v>
      </c>
      <c r="G124" s="1"/>
      <c r="H124" s="1">
        <f>SUM(OSRRefH22_13x_0)</f>
        <v>6900</v>
      </c>
      <c r="I124" s="1"/>
      <c r="J124" s="5">
        <f t="shared" si="46"/>
        <v>2.3400856674840008E-2</v>
      </c>
      <c r="K124" s="1"/>
      <c r="L124" s="1">
        <f t="shared" si="47"/>
        <v>0</v>
      </c>
      <c r="M124" s="1"/>
      <c r="N124" s="5">
        <f t="shared" si="48"/>
        <v>0</v>
      </c>
      <c r="O124" s="14"/>
      <c r="P124" s="1">
        <f>SUM(OSRRefP22_13x_0)</f>
        <v>41400</v>
      </c>
      <c r="Q124" s="1"/>
      <c r="R124" s="5">
        <f t="shared" si="49"/>
        <v>4.0173871350745988E-2</v>
      </c>
      <c r="S124" s="1"/>
      <c r="T124" s="1">
        <f>SUM(OSRRefT22_13x_0)</f>
        <v>41401</v>
      </c>
      <c r="U124" s="1"/>
      <c r="V124" s="5">
        <f t="shared" si="50"/>
        <v>2.1908177320715802E-2</v>
      </c>
      <c r="W124" s="1"/>
      <c r="X124" s="1">
        <f t="shared" si="51"/>
        <v>-1</v>
      </c>
      <c r="Y124" s="1"/>
      <c r="Z124" s="5">
        <f t="shared" si="52"/>
        <v>-2.4154005941885462E-5</v>
      </c>
    </row>
    <row r="125" spans="1:26" s="24" customFormat="1" hidden="1" outlineLevel="2" x14ac:dyDescent="0.25">
      <c r="A125" s="29"/>
      <c r="B125" s="11" t="str">
        <f>CONCATENATE("          ", "6273", " - ", "RENT")</f>
        <v xml:space="preserve">          6273 - RENT</v>
      </c>
      <c r="C125" s="11"/>
      <c r="D125" s="7">
        <v>6900</v>
      </c>
      <c r="E125" s="2"/>
      <c r="F125" s="6">
        <f t="shared" si="45"/>
        <v>3.2144957546294338E-2</v>
      </c>
      <c r="G125" s="2"/>
      <c r="H125" s="7">
        <v>6900</v>
      </c>
      <c r="I125" s="2"/>
      <c r="J125" s="6">
        <f t="shared" si="46"/>
        <v>2.3400856674840008E-2</v>
      </c>
      <c r="K125" s="2"/>
      <c r="L125" s="7">
        <f t="shared" si="47"/>
        <v>0</v>
      </c>
      <c r="M125" s="2"/>
      <c r="N125" s="6">
        <f t="shared" si="48"/>
        <v>0</v>
      </c>
      <c r="O125" s="11"/>
      <c r="P125" s="7">
        <v>41400</v>
      </c>
      <c r="Q125" s="2"/>
      <c r="R125" s="6">
        <f t="shared" si="49"/>
        <v>4.0173871350745988E-2</v>
      </c>
      <c r="S125" s="2"/>
      <c r="T125" s="7">
        <v>41401</v>
      </c>
      <c r="U125" s="2"/>
      <c r="V125" s="6">
        <f t="shared" si="50"/>
        <v>2.1908177320715802E-2</v>
      </c>
      <c r="W125" s="2"/>
      <c r="X125" s="7">
        <f t="shared" si="51"/>
        <v>-1</v>
      </c>
      <c r="Y125" s="2"/>
      <c r="Z125" s="6">
        <f t="shared" si="52"/>
        <v>-2.4154005941885462E-5</v>
      </c>
    </row>
    <row r="126" spans="1:26" s="28" customFormat="1" outlineLevel="1" collapsed="1" x14ac:dyDescent="0.25">
      <c r="A126" s="27"/>
      <c r="B126" s="14" t="str">
        <f>CONCATENATE("     ","Repair and Maintenance                            ")</f>
        <v xml:space="preserve">     Repair and Maintenance                            </v>
      </c>
      <c r="C126" s="14"/>
      <c r="D126" s="1">
        <f>SUM(OSRRefD22_14x_0)</f>
        <v>48.23</v>
      </c>
      <c r="E126" s="1"/>
      <c r="F126" s="5">
        <f t="shared" si="45"/>
        <v>2.2468859455909793E-4</v>
      </c>
      <c r="G126" s="1"/>
      <c r="H126" s="1">
        <f>SUM(OSRRefH22_14x_0)</f>
        <v>150</v>
      </c>
      <c r="I126" s="1"/>
      <c r="J126" s="5">
        <f t="shared" si="46"/>
        <v>5.0871427554000017E-4</v>
      </c>
      <c r="K126" s="1"/>
      <c r="L126" s="1">
        <f t="shared" si="47"/>
        <v>-101.77000000000001</v>
      </c>
      <c r="M126" s="1"/>
      <c r="N126" s="5">
        <f t="shared" si="48"/>
        <v>-0.67846666666666677</v>
      </c>
      <c r="O126" s="14"/>
      <c r="P126" s="1">
        <f>SUM(OSRRefP22_14x_0)</f>
        <v>96.44</v>
      </c>
      <c r="Q126" s="1"/>
      <c r="R126" s="5">
        <f t="shared" si="49"/>
        <v>9.3583771813187026E-5</v>
      </c>
      <c r="S126" s="1"/>
      <c r="T126" s="1">
        <f>SUM(OSRRefT22_14x_0)</f>
        <v>1400</v>
      </c>
      <c r="U126" s="1"/>
      <c r="V126" s="5">
        <f t="shared" si="50"/>
        <v>7.4083834325262962E-4</v>
      </c>
      <c r="W126" s="1"/>
      <c r="X126" s="1">
        <f t="shared" si="51"/>
        <v>-1303.56</v>
      </c>
      <c r="Y126" s="1"/>
      <c r="Z126" s="5">
        <f t="shared" si="52"/>
        <v>-0.93111428571428567</v>
      </c>
    </row>
    <row r="127" spans="1:26" s="24" customFormat="1" hidden="1" outlineLevel="2" x14ac:dyDescent="0.25">
      <c r="A127" s="29"/>
      <c r="B127" s="11" t="str">
        <f>CONCATENATE("          ", "6373", " - ", "MAINTENANCE CONTRACTS")</f>
        <v xml:space="preserve">          6373 - MAINTENANCE CONTRACTS</v>
      </c>
      <c r="C127" s="11"/>
      <c r="D127" s="7">
        <v>48.23</v>
      </c>
      <c r="E127" s="2"/>
      <c r="F127" s="6">
        <f t="shared" si="45"/>
        <v>2.2468859455909793E-4</v>
      </c>
      <c r="G127" s="2"/>
      <c r="H127" s="7"/>
      <c r="I127" s="2"/>
      <c r="J127" s="6">
        <f t="shared" si="46"/>
        <v>0</v>
      </c>
      <c r="K127" s="2"/>
      <c r="L127" s="7">
        <f t="shared" si="47"/>
        <v>48.23</v>
      </c>
      <c r="M127" s="2"/>
      <c r="N127" s="6">
        <f t="shared" si="48"/>
        <v>0</v>
      </c>
      <c r="O127" s="11"/>
      <c r="P127" s="7">
        <v>96.44</v>
      </c>
      <c r="Q127" s="2"/>
      <c r="R127" s="6">
        <f t="shared" si="49"/>
        <v>9.3583771813187026E-5</v>
      </c>
      <c r="S127" s="2"/>
      <c r="T127" s="7"/>
      <c r="U127" s="2"/>
      <c r="V127" s="6">
        <f t="shared" si="50"/>
        <v>0</v>
      </c>
      <c r="W127" s="2"/>
      <c r="X127" s="7">
        <f t="shared" si="51"/>
        <v>96.44</v>
      </c>
      <c r="Y127" s="2"/>
      <c r="Z127" s="6">
        <f t="shared" si="52"/>
        <v>0</v>
      </c>
    </row>
    <row r="128" spans="1:26" s="24" customFormat="1" hidden="1" outlineLevel="2" x14ac:dyDescent="0.25">
      <c r="A128" s="29"/>
      <c r="B128" s="11" t="str">
        <f>CONCATENATE("          ", "6375", " - ", "OUTSIDE REPAIRS &amp; MAINTENANCE")</f>
        <v xml:space="preserve">          6375 - OUTSIDE REPAIRS &amp; MAINTENANCE</v>
      </c>
      <c r="C128" s="11"/>
      <c r="D128" s="7"/>
      <c r="E128" s="2"/>
      <c r="F128" s="6">
        <f t="shared" si="45"/>
        <v>0</v>
      </c>
      <c r="G128" s="2"/>
      <c r="H128" s="7">
        <v>150</v>
      </c>
      <c r="I128" s="2"/>
      <c r="J128" s="6">
        <f t="shared" si="46"/>
        <v>5.0871427554000017E-4</v>
      </c>
      <c r="K128" s="2"/>
      <c r="L128" s="7">
        <f t="shared" si="47"/>
        <v>-150</v>
      </c>
      <c r="M128" s="2"/>
      <c r="N128" s="6">
        <f t="shared" si="48"/>
        <v>-1</v>
      </c>
      <c r="O128" s="11"/>
      <c r="P128" s="7"/>
      <c r="Q128" s="2"/>
      <c r="R128" s="6">
        <f t="shared" si="49"/>
        <v>0</v>
      </c>
      <c r="S128" s="2"/>
      <c r="T128" s="7">
        <v>1400</v>
      </c>
      <c r="U128" s="2"/>
      <c r="V128" s="6">
        <f t="shared" si="50"/>
        <v>7.4083834325262962E-4</v>
      </c>
      <c r="W128" s="2"/>
      <c r="X128" s="7">
        <f t="shared" si="51"/>
        <v>-1400</v>
      </c>
      <c r="Y128" s="2"/>
      <c r="Z128" s="6">
        <f t="shared" si="52"/>
        <v>-1</v>
      </c>
    </row>
    <row r="129" spans="1:26" s="28" customFormat="1" outlineLevel="1" collapsed="1" x14ac:dyDescent="0.25">
      <c r="A129" s="27"/>
      <c r="B129" s="14" t="str">
        <f>CONCATENATE("     ","Royalty &amp; Commissions                             ")</f>
        <v xml:space="preserve">     Royalty &amp; Commissions                             </v>
      </c>
      <c r="C129" s="14"/>
      <c r="D129" s="1">
        <f>SUM(OSRRefD22_15x_0)</f>
        <v>0</v>
      </c>
      <c r="E129" s="1"/>
      <c r="F129" s="5">
        <f t="shared" ref="F129:F132" si="53">IF(D$12=0,0,D129/D$12)</f>
        <v>0</v>
      </c>
      <c r="G129" s="1"/>
      <c r="H129" s="1">
        <f>SUM(OSRRefH22_15x_0)</f>
        <v>6271</v>
      </c>
      <c r="I129" s="1"/>
      <c r="J129" s="5">
        <f t="shared" ref="J129:J132" si="54">IF(H$12=0,0,H129/H$12)</f>
        <v>2.126764814607561E-2</v>
      </c>
      <c r="K129" s="1"/>
      <c r="L129" s="1">
        <f t="shared" ref="L129:L132" si="55">+D129-H129</f>
        <v>-6271</v>
      </c>
      <c r="M129" s="1"/>
      <c r="N129" s="5">
        <f t="shared" ref="N129:N132" si="56">IF(H129=0,0,L129/H129)</f>
        <v>-1</v>
      </c>
      <c r="O129" s="14"/>
      <c r="P129" s="1">
        <f>SUM(OSRRefP22_15x_0)</f>
        <v>18411.8</v>
      </c>
      <c r="Q129" s="1"/>
      <c r="R129" s="5">
        <f t="shared" ref="R129:R132" si="57">IF(P$12=0,0,P129/P$12)</f>
        <v>1.7866504457383213E-2</v>
      </c>
      <c r="S129" s="1"/>
      <c r="T129" s="1">
        <f>SUM(OSRRefT22_15x_0)</f>
        <v>37626</v>
      </c>
      <c r="U129" s="1"/>
      <c r="V129" s="5">
        <f t="shared" ref="V129:V132" si="58">IF(T$12=0,0,T129/T$12)</f>
        <v>1.9910559645159604E-2</v>
      </c>
      <c r="W129" s="1"/>
      <c r="X129" s="1">
        <f t="shared" ref="X129:X132" si="59">+P129-T129</f>
        <v>-19214.2</v>
      </c>
      <c r="Y129" s="1"/>
      <c r="Z129" s="5">
        <f t="shared" ref="Z129:Z132" si="60">IF(T129=0,0,X129/T129)</f>
        <v>-0.51066283952585978</v>
      </c>
    </row>
    <row r="130" spans="1:26" s="24" customFormat="1" hidden="1" outlineLevel="2" x14ac:dyDescent="0.25">
      <c r="A130" s="29"/>
      <c r="B130" s="11" t="str">
        <f>CONCATENATE("          ", "6252", " - ", "ROYALTY DUE CSTV")</f>
        <v xml:space="preserve">          6252 - ROYALTY DUE CSTV</v>
      </c>
      <c r="C130" s="11"/>
      <c r="D130" s="7"/>
      <c r="E130" s="2"/>
      <c r="F130" s="6">
        <f t="shared" si="53"/>
        <v>0</v>
      </c>
      <c r="G130" s="2"/>
      <c r="H130" s="7">
        <v>1085</v>
      </c>
      <c r="I130" s="2"/>
      <c r="J130" s="6">
        <f t="shared" si="54"/>
        <v>3.6796999264060016E-3</v>
      </c>
      <c r="K130" s="2"/>
      <c r="L130" s="7">
        <f t="shared" si="55"/>
        <v>-1085</v>
      </c>
      <c r="M130" s="2"/>
      <c r="N130" s="6">
        <f t="shared" si="56"/>
        <v>-1</v>
      </c>
      <c r="O130" s="11"/>
      <c r="P130" s="7"/>
      <c r="Q130" s="2"/>
      <c r="R130" s="6">
        <f t="shared" si="57"/>
        <v>0</v>
      </c>
      <c r="S130" s="2"/>
      <c r="T130" s="7">
        <v>6510</v>
      </c>
      <c r="U130" s="2"/>
      <c r="V130" s="6">
        <f t="shared" si="58"/>
        <v>3.4448982961247281E-3</v>
      </c>
      <c r="W130" s="2"/>
      <c r="X130" s="7">
        <f t="shared" si="59"/>
        <v>-6510</v>
      </c>
      <c r="Y130" s="2"/>
      <c r="Z130" s="6">
        <f t="shared" si="60"/>
        <v>-1</v>
      </c>
    </row>
    <row r="131" spans="1:26" s="24" customFormat="1" hidden="1" outlineLevel="2" x14ac:dyDescent="0.25">
      <c r="A131" s="29"/>
      <c r="B131" s="11" t="str">
        <f>CONCATENATE("          ", "6253", " - ", "ROYALTY DUE ATHLETICS-LRG")</f>
        <v xml:space="preserve">          6253 - ROYALTY DUE ATHLETICS-LRG</v>
      </c>
      <c r="C131" s="11"/>
      <c r="D131" s="7"/>
      <c r="E131" s="2"/>
      <c r="F131" s="6">
        <f t="shared" si="53"/>
        <v>0</v>
      </c>
      <c r="G131" s="2"/>
      <c r="H131" s="7">
        <v>4037</v>
      </c>
      <c r="I131" s="2"/>
      <c r="J131" s="6">
        <f t="shared" si="54"/>
        <v>1.3691196869033206E-2</v>
      </c>
      <c r="K131" s="2"/>
      <c r="L131" s="7">
        <f t="shared" si="55"/>
        <v>-4037</v>
      </c>
      <c r="M131" s="2"/>
      <c r="N131" s="6">
        <f t="shared" si="56"/>
        <v>-1</v>
      </c>
      <c r="O131" s="11"/>
      <c r="P131" s="7">
        <v>18411.8</v>
      </c>
      <c r="Q131" s="2"/>
      <c r="R131" s="6">
        <f t="shared" si="57"/>
        <v>1.7866504457383213E-2</v>
      </c>
      <c r="S131" s="2"/>
      <c r="T131" s="7">
        <v>24222</v>
      </c>
      <c r="U131" s="2"/>
      <c r="V131" s="6">
        <f t="shared" si="58"/>
        <v>1.2817561678760855E-2</v>
      </c>
      <c r="W131" s="2"/>
      <c r="X131" s="7">
        <f t="shared" si="59"/>
        <v>-5810.2000000000007</v>
      </c>
      <c r="Y131" s="2"/>
      <c r="Z131" s="6">
        <f t="shared" si="60"/>
        <v>-0.23987284287011809</v>
      </c>
    </row>
    <row r="132" spans="1:26" s="24" customFormat="1" hidden="1" outlineLevel="2" x14ac:dyDescent="0.25">
      <c r="A132" s="29"/>
      <c r="B132" s="11" t="str">
        <f>CONCATENATE("          ", "6254", " - ", "ROYALTY &amp; COMMISSIONS")</f>
        <v xml:space="preserve">          6254 - ROYALTY &amp; COMMISSIONS</v>
      </c>
      <c r="C132" s="11"/>
      <c r="D132" s="7"/>
      <c r="E132" s="2"/>
      <c r="F132" s="6">
        <f t="shared" si="53"/>
        <v>0</v>
      </c>
      <c r="G132" s="2"/>
      <c r="H132" s="7">
        <v>1149</v>
      </c>
      <c r="I132" s="2"/>
      <c r="J132" s="6">
        <f t="shared" si="54"/>
        <v>3.8967513506364014E-3</v>
      </c>
      <c r="K132" s="2"/>
      <c r="L132" s="7">
        <f t="shared" si="55"/>
        <v>-1149</v>
      </c>
      <c r="M132" s="2"/>
      <c r="N132" s="6">
        <f t="shared" si="56"/>
        <v>-1</v>
      </c>
      <c r="O132" s="11"/>
      <c r="P132" s="7"/>
      <c r="Q132" s="2"/>
      <c r="R132" s="6">
        <f t="shared" si="57"/>
        <v>0</v>
      </c>
      <c r="S132" s="2"/>
      <c r="T132" s="7">
        <v>6894</v>
      </c>
      <c r="U132" s="2"/>
      <c r="V132" s="6">
        <f t="shared" si="58"/>
        <v>3.6480996702740209E-3</v>
      </c>
      <c r="W132" s="2"/>
      <c r="X132" s="7">
        <f t="shared" si="59"/>
        <v>-6894</v>
      </c>
      <c r="Y132" s="2"/>
      <c r="Z132" s="6">
        <f t="shared" si="60"/>
        <v>-1</v>
      </c>
    </row>
    <row r="133" spans="1:26" s="28" customFormat="1" outlineLevel="1" collapsed="1" x14ac:dyDescent="0.25">
      <c r="A133" s="27"/>
      <c r="B133" s="14" t="str">
        <f>CONCATENATE("     ","Services                                          ")</f>
        <v xml:space="preserve">     Services                                          </v>
      </c>
      <c r="C133" s="14"/>
      <c r="D133" s="1">
        <f>SUM(OSRRefD22_16x_0)</f>
        <v>224.41</v>
      </c>
      <c r="E133" s="1"/>
      <c r="F133" s="5">
        <f t="shared" ref="F133:F136" si="61">IF(D$12=0,0,D133/D$12)</f>
        <v>1.04545651057448E-3</v>
      </c>
      <c r="G133" s="1"/>
      <c r="H133" s="1">
        <f>SUM(OSRRefH22_16x_0)</f>
        <v>210</v>
      </c>
      <c r="I133" s="1"/>
      <c r="J133" s="5">
        <f t="shared" ref="J133:J136" si="62">IF(H$12=0,0,H133/H$12)</f>
        <v>7.1219998575600032E-4</v>
      </c>
      <c r="K133" s="1"/>
      <c r="L133" s="1">
        <f t="shared" ref="L133:L136" si="63">+D133-H133</f>
        <v>14.409999999999997</v>
      </c>
      <c r="M133" s="1"/>
      <c r="N133" s="5">
        <f t="shared" ref="N133:N136" si="64">IF(H133=0,0,L133/H133)</f>
        <v>6.8619047619047607E-2</v>
      </c>
      <c r="O133" s="14"/>
      <c r="P133" s="1">
        <f>SUM(OSRRefP22_16x_0)</f>
        <v>192.82000000000005</v>
      </c>
      <c r="Q133" s="1"/>
      <c r="R133" s="5">
        <f t="shared" ref="R133:R136" si="65">IF(P$12=0,0,P133/P$12)</f>
        <v>1.871093206244165E-4</v>
      </c>
      <c r="S133" s="1"/>
      <c r="T133" s="1">
        <f>SUM(OSRRefT22_16x_0)</f>
        <v>1040</v>
      </c>
      <c r="U133" s="1"/>
      <c r="V133" s="5">
        <f t="shared" ref="V133:V136" si="66">IF(T$12=0,0,T133/T$12)</f>
        <v>5.5033705498766777E-4</v>
      </c>
      <c r="W133" s="1"/>
      <c r="X133" s="1">
        <f t="shared" ref="X133:X136" si="67">+P133-T133</f>
        <v>-847.18</v>
      </c>
      <c r="Y133" s="1"/>
      <c r="Z133" s="5">
        <f t="shared" ref="Z133:Z136" si="68">IF(T133=0,0,X133/T133)</f>
        <v>-0.8145961538461538</v>
      </c>
    </row>
    <row r="134" spans="1:26" s="24" customFormat="1" hidden="1" outlineLevel="2" x14ac:dyDescent="0.25">
      <c r="A134" s="29"/>
      <c r="B134" s="11" t="str">
        <f>CONCATENATE("          ", "6283", " - ", "PLANT SERVICE")</f>
        <v xml:space="preserve">          6283 - PLANT SERVICE</v>
      </c>
      <c r="C134" s="11"/>
      <c r="D134" s="7"/>
      <c r="E134" s="2"/>
      <c r="F134" s="6">
        <f t="shared" si="61"/>
        <v>0</v>
      </c>
      <c r="G134" s="2"/>
      <c r="H134" s="7">
        <v>0</v>
      </c>
      <c r="I134" s="2"/>
      <c r="J134" s="6">
        <f t="shared" si="62"/>
        <v>0</v>
      </c>
      <c r="K134" s="2"/>
      <c r="L134" s="7">
        <f t="shared" si="63"/>
        <v>0</v>
      </c>
      <c r="M134" s="2"/>
      <c r="N134" s="6">
        <f t="shared" si="64"/>
        <v>0</v>
      </c>
      <c r="O134" s="11"/>
      <c r="P134" s="7">
        <v>41.31</v>
      </c>
      <c r="Q134" s="2"/>
      <c r="R134" s="6">
        <f t="shared" si="65"/>
        <v>4.0086536847809583E-5</v>
      </c>
      <c r="S134" s="2"/>
      <c r="T134" s="7">
        <v>0</v>
      </c>
      <c r="U134" s="2"/>
      <c r="V134" s="6">
        <f t="shared" si="66"/>
        <v>0</v>
      </c>
      <c r="W134" s="2"/>
      <c r="X134" s="7">
        <f t="shared" si="67"/>
        <v>41.31</v>
      </c>
      <c r="Y134" s="2"/>
      <c r="Z134" s="6">
        <f t="shared" si="68"/>
        <v>0</v>
      </c>
    </row>
    <row r="135" spans="1:26" s="24" customFormat="1" hidden="1" outlineLevel="2" x14ac:dyDescent="0.25">
      <c r="A135" s="29"/>
      <c r="B135" s="11" t="str">
        <f>CONCATENATE("          ", "6284", " - ", "TRASH REMOVAL EXPENSE")</f>
        <v xml:space="preserve">          6284 - TRASH REMOVAL EXPENSE</v>
      </c>
      <c r="C135" s="11"/>
      <c r="D135" s="7">
        <v>285.14</v>
      </c>
      <c r="E135" s="2"/>
      <c r="F135" s="6">
        <f t="shared" si="61"/>
        <v>1.3283787238768648E-3</v>
      </c>
      <c r="G135" s="2"/>
      <c r="H135" s="7">
        <v>110</v>
      </c>
      <c r="I135" s="2"/>
      <c r="J135" s="6">
        <f t="shared" si="62"/>
        <v>3.7305713539600017E-4</v>
      </c>
      <c r="K135" s="2"/>
      <c r="L135" s="7">
        <f t="shared" si="63"/>
        <v>175.14</v>
      </c>
      <c r="M135" s="2"/>
      <c r="N135" s="6">
        <f t="shared" si="64"/>
        <v>1.5921818181818181</v>
      </c>
      <c r="O135" s="11"/>
      <c r="P135" s="7">
        <v>870.44</v>
      </c>
      <c r="Q135" s="2"/>
      <c r="R135" s="6">
        <f t="shared" si="65"/>
        <v>8.4466049706626424E-4</v>
      </c>
      <c r="S135" s="2"/>
      <c r="T135" s="7">
        <v>440</v>
      </c>
      <c r="U135" s="2"/>
      <c r="V135" s="6">
        <f t="shared" si="66"/>
        <v>2.3283490787939789E-4</v>
      </c>
      <c r="W135" s="2"/>
      <c r="X135" s="7">
        <f t="shared" si="67"/>
        <v>430.44000000000005</v>
      </c>
      <c r="Y135" s="2"/>
      <c r="Z135" s="6">
        <f t="shared" si="68"/>
        <v>0.9782727272727274</v>
      </c>
    </row>
    <row r="136" spans="1:26" s="24" customFormat="1" hidden="1" outlineLevel="2" x14ac:dyDescent="0.25">
      <c r="A136" s="29"/>
      <c r="B136" s="11" t="str">
        <f>CONCATENATE("          ", "6285", " - ", "JANITORIAL SERVICES")</f>
        <v xml:space="preserve">          6285 - JANITORIAL SERVICES</v>
      </c>
      <c r="C136" s="11"/>
      <c r="D136" s="7">
        <v>-60.73</v>
      </c>
      <c r="E136" s="2"/>
      <c r="F136" s="6">
        <f t="shared" si="61"/>
        <v>-2.8292221330238477E-4</v>
      </c>
      <c r="G136" s="2"/>
      <c r="H136" s="7">
        <v>100</v>
      </c>
      <c r="I136" s="2"/>
      <c r="J136" s="6">
        <f t="shared" si="62"/>
        <v>3.3914285036000015E-4</v>
      </c>
      <c r="K136" s="2"/>
      <c r="L136" s="7">
        <f t="shared" si="63"/>
        <v>-160.72999999999999</v>
      </c>
      <c r="M136" s="2"/>
      <c r="N136" s="6">
        <f t="shared" si="64"/>
        <v>-1.6073</v>
      </c>
      <c r="O136" s="11"/>
      <c r="P136" s="7">
        <v>-718.93</v>
      </c>
      <c r="Q136" s="2"/>
      <c r="R136" s="6">
        <f t="shared" si="65"/>
        <v>-6.9763771328965724E-4</v>
      </c>
      <c r="S136" s="2"/>
      <c r="T136" s="7">
        <v>600</v>
      </c>
      <c r="U136" s="2"/>
      <c r="V136" s="6">
        <f t="shared" si="66"/>
        <v>3.1750214710826984E-4</v>
      </c>
      <c r="W136" s="2"/>
      <c r="X136" s="7">
        <f t="shared" si="67"/>
        <v>-1318.9299999999998</v>
      </c>
      <c r="Y136" s="2"/>
      <c r="Z136" s="6">
        <f t="shared" si="68"/>
        <v>-2.1982166666666663</v>
      </c>
    </row>
    <row r="137" spans="1:26" s="28" customFormat="1" outlineLevel="1" collapsed="1" x14ac:dyDescent="0.25">
      <c r="A137" s="27"/>
      <c r="B137" s="14" t="str">
        <f>CONCATENATE("     ","Subscriptions &amp; Dues                              ")</f>
        <v xml:space="preserve">     Subscriptions &amp; Dues                              </v>
      </c>
      <c r="C137" s="14"/>
      <c r="D137" s="1">
        <f>SUM(OSRRefD22_17x_0)</f>
        <v>-60.73</v>
      </c>
      <c r="E137" s="1"/>
      <c r="F137" s="5">
        <f t="shared" ref="F137:F139" si="69">IF(D$12=0,0,D137/D$12)</f>
        <v>-2.8292221330238477E-4</v>
      </c>
      <c r="G137" s="1"/>
      <c r="H137" s="1">
        <f>SUM(OSRRefH22_17x_0)</f>
        <v>0</v>
      </c>
      <c r="I137" s="1"/>
      <c r="J137" s="5">
        <f t="shared" ref="J137:J139" si="70">IF(H$12=0,0,H137/H$12)</f>
        <v>0</v>
      </c>
      <c r="K137" s="1"/>
      <c r="L137" s="1">
        <f t="shared" ref="L137:L139" si="71">+D137-H137</f>
        <v>-60.73</v>
      </c>
      <c r="M137" s="1"/>
      <c r="N137" s="5">
        <f t="shared" ref="N137:N139" si="72">IF(H137=0,0,L137/H137)</f>
        <v>0</v>
      </c>
      <c r="O137" s="14"/>
      <c r="P137" s="1">
        <f>SUM(OSRRefP22_17x_0)</f>
        <v>-276</v>
      </c>
      <c r="Q137" s="1"/>
      <c r="R137" s="5">
        <f t="shared" ref="R137:R139" si="73">IF(P$12=0,0,P137/P$12)</f>
        <v>-2.6782580900497327E-4</v>
      </c>
      <c r="S137" s="1"/>
      <c r="T137" s="1">
        <f>SUM(OSRRefT22_17x_0)</f>
        <v>1395</v>
      </c>
      <c r="U137" s="1"/>
      <c r="V137" s="5">
        <f t="shared" ref="V137:V139" si="74">IF(T$12=0,0,T137/T$12)</f>
        <v>7.3819249202672745E-4</v>
      </c>
      <c r="W137" s="1"/>
      <c r="X137" s="1">
        <f t="shared" ref="X137:X139" si="75">+P137-T137</f>
        <v>-1671</v>
      </c>
      <c r="Y137" s="1"/>
      <c r="Z137" s="5">
        <f t="shared" ref="Z137:Z139" si="76">IF(T137=0,0,X137/T137)</f>
        <v>-1.1978494623655913</v>
      </c>
    </row>
    <row r="138" spans="1:26" s="24" customFormat="1" hidden="1" outlineLevel="2" x14ac:dyDescent="0.25">
      <c r="A138" s="29"/>
      <c r="B138" s="11" t="str">
        <f>CONCATENATE("          ", "6258", " - ", "MEMBERSHIP DUES")</f>
        <v xml:space="preserve">          6258 - MEMBERSHIP DUES</v>
      </c>
      <c r="C138" s="11"/>
      <c r="D138" s="7">
        <v>-60.73</v>
      </c>
      <c r="E138" s="2"/>
      <c r="F138" s="6">
        <f t="shared" si="69"/>
        <v>-2.8292221330238477E-4</v>
      </c>
      <c r="G138" s="2"/>
      <c r="H138" s="7">
        <v>0</v>
      </c>
      <c r="I138" s="2"/>
      <c r="J138" s="6">
        <f t="shared" si="70"/>
        <v>0</v>
      </c>
      <c r="K138" s="2"/>
      <c r="L138" s="7">
        <f t="shared" si="71"/>
        <v>-60.73</v>
      </c>
      <c r="M138" s="2"/>
      <c r="N138" s="6">
        <f t="shared" si="72"/>
        <v>0</v>
      </c>
      <c r="O138" s="11"/>
      <c r="P138" s="7">
        <v>-501.73</v>
      </c>
      <c r="Q138" s="2"/>
      <c r="R138" s="6">
        <f t="shared" si="73"/>
        <v>-4.8687044620313491E-4</v>
      </c>
      <c r="S138" s="2"/>
      <c r="T138" s="7">
        <v>1395</v>
      </c>
      <c r="U138" s="2"/>
      <c r="V138" s="6">
        <f t="shared" si="74"/>
        <v>7.3819249202672745E-4</v>
      </c>
      <c r="W138" s="2"/>
      <c r="X138" s="7">
        <f t="shared" si="75"/>
        <v>-1896.73</v>
      </c>
      <c r="Y138" s="2"/>
      <c r="Z138" s="6">
        <f t="shared" si="76"/>
        <v>-1.359663082437276</v>
      </c>
    </row>
    <row r="139" spans="1:26" s="24" customFormat="1" hidden="1" outlineLevel="2" x14ac:dyDescent="0.25">
      <c r="A139" s="29"/>
      <c r="B139" s="11" t="str">
        <f>CONCATENATE("          ", "6275", " - ", "SUBSCRIPTIONS")</f>
        <v xml:space="preserve">          6275 - SUBSCRIPTIONS</v>
      </c>
      <c r="C139" s="11"/>
      <c r="D139" s="7"/>
      <c r="E139" s="2"/>
      <c r="F139" s="6">
        <f t="shared" si="69"/>
        <v>0</v>
      </c>
      <c r="G139" s="2"/>
      <c r="H139" s="7">
        <v>0</v>
      </c>
      <c r="I139" s="2"/>
      <c r="J139" s="6">
        <f t="shared" si="70"/>
        <v>0</v>
      </c>
      <c r="K139" s="2"/>
      <c r="L139" s="7">
        <f t="shared" si="71"/>
        <v>0</v>
      </c>
      <c r="M139" s="2"/>
      <c r="N139" s="6">
        <f t="shared" si="72"/>
        <v>0</v>
      </c>
      <c r="O139" s="11"/>
      <c r="P139" s="7">
        <v>225.73</v>
      </c>
      <c r="Q139" s="2"/>
      <c r="R139" s="6">
        <f t="shared" si="73"/>
        <v>2.1904463719816164E-4</v>
      </c>
      <c r="S139" s="2"/>
      <c r="T139" s="7">
        <v>0</v>
      </c>
      <c r="U139" s="2"/>
      <c r="V139" s="6">
        <f t="shared" si="74"/>
        <v>0</v>
      </c>
      <c r="W139" s="2"/>
      <c r="X139" s="7">
        <f t="shared" si="75"/>
        <v>225.73</v>
      </c>
      <c r="Y139" s="2"/>
      <c r="Z139" s="6">
        <f t="shared" si="76"/>
        <v>0</v>
      </c>
    </row>
    <row r="140" spans="1:26" s="28" customFormat="1" outlineLevel="1" collapsed="1" x14ac:dyDescent="0.25">
      <c r="A140" s="27"/>
      <c r="B140" s="14" t="str">
        <f>CONCATENATE("     ","Supplies                                          ")</f>
        <v xml:space="preserve">     Supplies                                          </v>
      </c>
      <c r="C140" s="14"/>
      <c r="D140" s="1">
        <f>SUM(OSRRefD22_18x_0)</f>
        <v>57.53</v>
      </c>
      <c r="E140" s="1"/>
      <c r="F140" s="5">
        <f t="shared" ref="F140:F148" si="77">IF(D$12=0,0,D140/D$12)</f>
        <v>2.6801440690410336E-4</v>
      </c>
      <c r="G140" s="1"/>
      <c r="H140" s="1">
        <f>SUM(OSRRefH22_18x_0)</f>
        <v>610</v>
      </c>
      <c r="I140" s="1"/>
      <c r="J140" s="5">
        <f t="shared" ref="J140:J148" si="78">IF(H$12=0,0,H140/H$12)</f>
        <v>2.068771387196001E-3</v>
      </c>
      <c r="K140" s="1"/>
      <c r="L140" s="1">
        <f t="shared" ref="L140:L148" si="79">+D140-H140</f>
        <v>-552.47</v>
      </c>
      <c r="M140" s="1"/>
      <c r="N140" s="5">
        <f t="shared" ref="N140:N148" si="80">IF(H140=0,0,L140/H140)</f>
        <v>-0.90568852459016402</v>
      </c>
      <c r="O140" s="14"/>
      <c r="P140" s="1">
        <f>SUM(OSRRefP22_18x_0)</f>
        <v>2244.4900000000002</v>
      </c>
      <c r="Q140" s="1"/>
      <c r="R140" s="5">
        <f t="shared" ref="R140:R148" si="81">IF(P$12=0,0,P140/P$12)</f>
        <v>2.1780157610636684E-3</v>
      </c>
      <c r="S140" s="1"/>
      <c r="T140" s="1">
        <f>SUM(OSRRefT22_18x_0)</f>
        <v>3760</v>
      </c>
      <c r="U140" s="1"/>
      <c r="V140" s="5">
        <f t="shared" ref="V140:V148" si="82">IF(T$12=0,0,T140/T$12)</f>
        <v>1.989680121878491E-3</v>
      </c>
      <c r="W140" s="1"/>
      <c r="X140" s="1">
        <f t="shared" ref="X140:X148" si="83">+P140-T140</f>
        <v>-1515.5099999999998</v>
      </c>
      <c r="Y140" s="1"/>
      <c r="Z140" s="5">
        <f t="shared" ref="Z140:Z148" si="84">IF(T140=0,0,X140/T140)</f>
        <v>-0.40306117021276588</v>
      </c>
    </row>
    <row r="141" spans="1:26" s="24" customFormat="1" hidden="1" outlineLevel="2" x14ac:dyDescent="0.25">
      <c r="A141" s="29"/>
      <c r="B141" s="11" t="str">
        <f>CONCATENATE("          ", "6234", " - ", "EXPENDABLE SUPPLIES &amp; EQUIPMEN")</f>
        <v xml:space="preserve">          6234 - EXPENDABLE SUPPLIES &amp; EQUIPMEN</v>
      </c>
      <c r="C141" s="11"/>
      <c r="D141" s="7"/>
      <c r="E141" s="2"/>
      <c r="F141" s="6">
        <f t="shared" si="77"/>
        <v>0</v>
      </c>
      <c r="G141" s="2"/>
      <c r="H141" s="7">
        <v>50</v>
      </c>
      <c r="I141" s="2"/>
      <c r="J141" s="6">
        <f t="shared" si="78"/>
        <v>1.6957142518000007E-4</v>
      </c>
      <c r="K141" s="2"/>
      <c r="L141" s="7">
        <f t="shared" si="79"/>
        <v>-50</v>
      </c>
      <c r="M141" s="2"/>
      <c r="N141" s="6">
        <f t="shared" si="80"/>
        <v>-1</v>
      </c>
      <c r="O141" s="11"/>
      <c r="P141" s="7"/>
      <c r="Q141" s="2"/>
      <c r="R141" s="6">
        <f t="shared" si="81"/>
        <v>0</v>
      </c>
      <c r="S141" s="2"/>
      <c r="T141" s="7">
        <v>300</v>
      </c>
      <c r="U141" s="2"/>
      <c r="V141" s="6">
        <f t="shared" si="82"/>
        <v>1.5875107355413492E-4</v>
      </c>
      <c r="W141" s="2"/>
      <c r="X141" s="7">
        <f t="shared" si="83"/>
        <v>-300</v>
      </c>
      <c r="Y141" s="2"/>
      <c r="Z141" s="6">
        <f t="shared" si="84"/>
        <v>-1</v>
      </c>
    </row>
    <row r="142" spans="1:26" s="24" customFormat="1" hidden="1" outlineLevel="2" x14ac:dyDescent="0.25">
      <c r="A142" s="29"/>
      <c r="B142" s="11" t="str">
        <f>CONCATENATE("          ", "6235", " - ", "COVID-19 EXPENSES")</f>
        <v xml:space="preserve">          6235 - COVID-19 EXPENSES</v>
      </c>
      <c r="C142" s="11"/>
      <c r="D142" s="7"/>
      <c r="E142" s="2"/>
      <c r="F142" s="6">
        <f t="shared" si="77"/>
        <v>0</v>
      </c>
      <c r="G142" s="2"/>
      <c r="H142" s="7">
        <v>200</v>
      </c>
      <c r="I142" s="2"/>
      <c r="J142" s="6">
        <f t="shared" si="78"/>
        <v>6.782857007200003E-4</v>
      </c>
      <c r="K142" s="2"/>
      <c r="L142" s="7">
        <f t="shared" si="79"/>
        <v>-200</v>
      </c>
      <c r="M142" s="2"/>
      <c r="N142" s="6">
        <f t="shared" si="80"/>
        <v>-1</v>
      </c>
      <c r="O142" s="11"/>
      <c r="P142" s="7">
        <v>1292.1300000000001</v>
      </c>
      <c r="Q142" s="2"/>
      <c r="R142" s="6">
        <f t="shared" si="81"/>
        <v>1.2538614586579569E-3</v>
      </c>
      <c r="S142" s="2"/>
      <c r="T142" s="7">
        <v>1200</v>
      </c>
      <c r="U142" s="2"/>
      <c r="V142" s="6">
        <f t="shared" si="82"/>
        <v>6.3500429421653969E-4</v>
      </c>
      <c r="W142" s="2"/>
      <c r="X142" s="7">
        <f t="shared" si="83"/>
        <v>92.130000000000109</v>
      </c>
      <c r="Y142" s="2"/>
      <c r="Z142" s="6">
        <f t="shared" si="84"/>
        <v>7.6775000000000093E-2</v>
      </c>
    </row>
    <row r="143" spans="1:26" s="24" customFormat="1" hidden="1" outlineLevel="2" x14ac:dyDescent="0.25">
      <c r="A143" s="29"/>
      <c r="B143" s="11" t="str">
        <f>CONCATENATE("          ", "6237", " - ", "JANITORIAL SUPPLIES")</f>
        <v xml:space="preserve">          6237 - JANITORIAL SUPPLIES</v>
      </c>
      <c r="C143" s="11"/>
      <c r="D143" s="7"/>
      <c r="E143" s="2"/>
      <c r="F143" s="6">
        <f t="shared" si="77"/>
        <v>0</v>
      </c>
      <c r="G143" s="2"/>
      <c r="H143" s="7">
        <v>60</v>
      </c>
      <c r="I143" s="2"/>
      <c r="J143" s="6">
        <f t="shared" si="78"/>
        <v>2.0348571021600007E-4</v>
      </c>
      <c r="K143" s="2"/>
      <c r="L143" s="7">
        <f t="shared" si="79"/>
        <v>-60</v>
      </c>
      <c r="M143" s="2"/>
      <c r="N143" s="6">
        <f t="shared" si="80"/>
        <v>-1</v>
      </c>
      <c r="O143" s="11"/>
      <c r="P143" s="7">
        <v>191.74</v>
      </c>
      <c r="Q143" s="2"/>
      <c r="R143" s="6">
        <f t="shared" si="81"/>
        <v>1.8606130658917961E-4</v>
      </c>
      <c r="S143" s="2"/>
      <c r="T143" s="7">
        <v>410</v>
      </c>
      <c r="U143" s="2"/>
      <c r="V143" s="6">
        <f t="shared" si="82"/>
        <v>2.1695980052398442E-4</v>
      </c>
      <c r="W143" s="2"/>
      <c r="X143" s="7">
        <f t="shared" si="83"/>
        <v>-218.26</v>
      </c>
      <c r="Y143" s="2"/>
      <c r="Z143" s="6">
        <f t="shared" si="84"/>
        <v>-0.53234146341463418</v>
      </c>
    </row>
    <row r="144" spans="1:26" s="24" customFormat="1" hidden="1" outlineLevel="2" x14ac:dyDescent="0.25">
      <c r="A144" s="29"/>
      <c r="B144" s="11" t="str">
        <f>CONCATENATE("          ", "6241", " - ", "OFFICE EXPENSE")</f>
        <v xml:space="preserve">          6241 - OFFICE EXPENSE</v>
      </c>
      <c r="C144" s="11"/>
      <c r="D144" s="7">
        <v>50.78</v>
      </c>
      <c r="E144" s="2"/>
      <c r="F144" s="6">
        <f t="shared" si="77"/>
        <v>2.3656825278272847E-4</v>
      </c>
      <c r="G144" s="2"/>
      <c r="H144" s="7">
        <v>125</v>
      </c>
      <c r="I144" s="2"/>
      <c r="J144" s="6">
        <f t="shared" si="78"/>
        <v>4.2392856295000016E-4</v>
      </c>
      <c r="K144" s="2"/>
      <c r="L144" s="7">
        <f t="shared" si="79"/>
        <v>-74.22</v>
      </c>
      <c r="M144" s="2"/>
      <c r="N144" s="6">
        <f t="shared" si="80"/>
        <v>-0.59375999999999995</v>
      </c>
      <c r="O144" s="11"/>
      <c r="P144" s="7">
        <v>567.16</v>
      </c>
      <c r="Q144" s="2"/>
      <c r="R144" s="6">
        <f t="shared" si="81"/>
        <v>5.5036262983790079E-4</v>
      </c>
      <c r="S144" s="2"/>
      <c r="T144" s="7">
        <v>750</v>
      </c>
      <c r="U144" s="2"/>
      <c r="V144" s="6">
        <f t="shared" si="82"/>
        <v>3.9687768388533732E-4</v>
      </c>
      <c r="W144" s="2"/>
      <c r="X144" s="7">
        <f t="shared" si="83"/>
        <v>-182.84000000000003</v>
      </c>
      <c r="Y144" s="2"/>
      <c r="Z144" s="6">
        <f t="shared" si="84"/>
        <v>-0.24378666666666671</v>
      </c>
    </row>
    <row r="145" spans="1:26" s="24" customFormat="1" hidden="1" outlineLevel="2" x14ac:dyDescent="0.25">
      <c r="A145" s="29"/>
      <c r="B145" s="11" t="str">
        <f>CONCATENATE("          ", "6243", " - ", "PAPER SUPPLIES")</f>
        <v xml:space="preserve">          6243 - PAPER SUPPLIES</v>
      </c>
      <c r="C145" s="11"/>
      <c r="D145" s="7"/>
      <c r="E145" s="2"/>
      <c r="F145" s="6">
        <f t="shared" si="77"/>
        <v>0</v>
      </c>
      <c r="G145" s="2"/>
      <c r="H145" s="7">
        <v>50</v>
      </c>
      <c r="I145" s="2"/>
      <c r="J145" s="6">
        <f t="shared" si="78"/>
        <v>1.6957142518000007E-4</v>
      </c>
      <c r="K145" s="2"/>
      <c r="L145" s="7">
        <f t="shared" si="79"/>
        <v>-50</v>
      </c>
      <c r="M145" s="2"/>
      <c r="N145" s="6">
        <f t="shared" si="80"/>
        <v>-1</v>
      </c>
      <c r="O145" s="11"/>
      <c r="P145" s="7"/>
      <c r="Q145" s="2"/>
      <c r="R145" s="6">
        <f t="shared" si="81"/>
        <v>0</v>
      </c>
      <c r="S145" s="2"/>
      <c r="T145" s="7">
        <v>300</v>
      </c>
      <c r="U145" s="2"/>
      <c r="V145" s="6">
        <f t="shared" si="82"/>
        <v>1.5875107355413492E-4</v>
      </c>
      <c r="W145" s="2"/>
      <c r="X145" s="7">
        <f t="shared" si="83"/>
        <v>-300</v>
      </c>
      <c r="Y145" s="2"/>
      <c r="Z145" s="6">
        <f t="shared" si="84"/>
        <v>-1</v>
      </c>
    </row>
    <row r="146" spans="1:26" s="24" customFormat="1" hidden="1" outlineLevel="2" x14ac:dyDescent="0.25">
      <c r="A146" s="29"/>
      <c r="B146" s="11" t="str">
        <f>CONCATENATE("          ", "6244", " - ", "SAFETY SUPPLY EXPENSE")</f>
        <v xml:space="preserve">          6244 - SAFETY SUPPLY EXPENSE</v>
      </c>
      <c r="C146" s="11"/>
      <c r="D146" s="7"/>
      <c r="E146" s="2"/>
      <c r="F146" s="6">
        <f t="shared" si="77"/>
        <v>0</v>
      </c>
      <c r="G146" s="2"/>
      <c r="H146" s="7">
        <v>0</v>
      </c>
      <c r="I146" s="2"/>
      <c r="J146" s="6">
        <f t="shared" si="78"/>
        <v>0</v>
      </c>
      <c r="K146" s="2"/>
      <c r="L146" s="7">
        <f t="shared" si="79"/>
        <v>0</v>
      </c>
      <c r="M146" s="2"/>
      <c r="N146" s="6">
        <f t="shared" si="80"/>
        <v>0</v>
      </c>
      <c r="O146" s="11"/>
      <c r="P146" s="7"/>
      <c r="Q146" s="2"/>
      <c r="R146" s="6">
        <f t="shared" si="81"/>
        <v>0</v>
      </c>
      <c r="S146" s="2"/>
      <c r="T146" s="7">
        <v>50</v>
      </c>
      <c r="U146" s="2"/>
      <c r="V146" s="6">
        <f t="shared" si="82"/>
        <v>2.6458512259022489E-5</v>
      </c>
      <c r="W146" s="2"/>
      <c r="X146" s="7">
        <f t="shared" si="83"/>
        <v>-50</v>
      </c>
      <c r="Y146" s="2"/>
      <c r="Z146" s="6">
        <f t="shared" si="84"/>
        <v>-1</v>
      </c>
    </row>
    <row r="147" spans="1:26" s="24" customFormat="1" hidden="1" outlineLevel="2" x14ac:dyDescent="0.25">
      <c r="A147" s="29"/>
      <c r="B147" s="11" t="str">
        <f>CONCATENATE("          ", "6245", " - ", "PRINTING")</f>
        <v xml:space="preserve">          6245 - PRINTING</v>
      </c>
      <c r="C147" s="11"/>
      <c r="D147" s="7"/>
      <c r="E147" s="2"/>
      <c r="F147" s="6">
        <f t="shared" si="77"/>
        <v>0</v>
      </c>
      <c r="G147" s="2"/>
      <c r="H147" s="7">
        <v>50</v>
      </c>
      <c r="I147" s="2"/>
      <c r="J147" s="6">
        <f t="shared" si="78"/>
        <v>1.6957142518000007E-4</v>
      </c>
      <c r="K147" s="2"/>
      <c r="L147" s="7">
        <f t="shared" si="79"/>
        <v>-50</v>
      </c>
      <c r="M147" s="2"/>
      <c r="N147" s="6">
        <f t="shared" si="80"/>
        <v>-1</v>
      </c>
      <c r="O147" s="11"/>
      <c r="P147" s="7"/>
      <c r="Q147" s="2"/>
      <c r="R147" s="6">
        <f t="shared" si="81"/>
        <v>0</v>
      </c>
      <c r="S147" s="2"/>
      <c r="T147" s="7">
        <v>300</v>
      </c>
      <c r="U147" s="2"/>
      <c r="V147" s="6">
        <f t="shared" si="82"/>
        <v>1.5875107355413492E-4</v>
      </c>
      <c r="W147" s="2"/>
      <c r="X147" s="7">
        <f t="shared" si="83"/>
        <v>-300</v>
      </c>
      <c r="Y147" s="2"/>
      <c r="Z147" s="6">
        <f t="shared" si="84"/>
        <v>-1</v>
      </c>
    </row>
    <row r="148" spans="1:26" s="24" customFormat="1" hidden="1" outlineLevel="2" x14ac:dyDescent="0.25">
      <c r="A148" s="29"/>
      <c r="B148" s="11" t="str">
        <f>CONCATENATE("          ", "6247", " - ", "STORE SUPPLIES")</f>
        <v xml:space="preserve">          6247 - STORE SUPPLIES</v>
      </c>
      <c r="C148" s="11"/>
      <c r="D148" s="7">
        <v>6.75</v>
      </c>
      <c r="E148" s="2"/>
      <c r="F148" s="6">
        <f t="shared" si="77"/>
        <v>3.1446154121374893E-5</v>
      </c>
      <c r="G148" s="2"/>
      <c r="H148" s="7">
        <v>75</v>
      </c>
      <c r="I148" s="2"/>
      <c r="J148" s="6">
        <f t="shared" si="78"/>
        <v>2.5435713777000008E-4</v>
      </c>
      <c r="K148" s="2"/>
      <c r="L148" s="7">
        <f t="shared" si="79"/>
        <v>-68.25</v>
      </c>
      <c r="M148" s="2"/>
      <c r="N148" s="6">
        <f t="shared" si="80"/>
        <v>-0.91</v>
      </c>
      <c r="O148" s="11"/>
      <c r="P148" s="7">
        <v>193.46</v>
      </c>
      <c r="Q148" s="2"/>
      <c r="R148" s="6">
        <f t="shared" si="81"/>
        <v>1.8773036597863088E-4</v>
      </c>
      <c r="S148" s="2"/>
      <c r="T148" s="7">
        <v>450</v>
      </c>
      <c r="U148" s="2"/>
      <c r="V148" s="6">
        <f t="shared" si="82"/>
        <v>2.381266103312024E-4</v>
      </c>
      <c r="W148" s="2"/>
      <c r="X148" s="7">
        <f t="shared" si="83"/>
        <v>-256.53999999999996</v>
      </c>
      <c r="Y148" s="2"/>
      <c r="Z148" s="6">
        <f t="shared" si="84"/>
        <v>-0.57008888888888876</v>
      </c>
    </row>
    <row r="149" spans="1:26" s="28" customFormat="1" outlineLevel="1" collapsed="1" x14ac:dyDescent="0.25">
      <c r="A149" s="27"/>
      <c r="B149" s="14" t="str">
        <f>CONCATENATE("     ","Telephone/Data Lines                              ")</f>
        <v xml:space="preserve">     Telephone/Data Lines                              </v>
      </c>
      <c r="C149" s="14"/>
      <c r="D149" s="1">
        <f>SUM(OSRRefD22_19x_0)</f>
        <v>693.58</v>
      </c>
      <c r="E149" s="1"/>
      <c r="F149" s="5">
        <f t="shared" ref="F149:F151" si="85">IF(D$12=0,0,D149/D$12)</f>
        <v>3.2311738630375112E-3</v>
      </c>
      <c r="G149" s="1"/>
      <c r="H149" s="1">
        <f>SUM(OSRRefH22_19x_0)</f>
        <v>830</v>
      </c>
      <c r="I149" s="1"/>
      <c r="J149" s="5">
        <f t="shared" ref="J149:J151" si="86">IF(H$12=0,0,H149/H$12)</f>
        <v>2.8148856579880009E-3</v>
      </c>
      <c r="K149" s="1"/>
      <c r="L149" s="1">
        <f t="shared" ref="L149:L151" si="87">+D149-H149</f>
        <v>-136.41999999999996</v>
      </c>
      <c r="M149" s="1"/>
      <c r="N149" s="5">
        <f t="shared" ref="N149:N151" si="88">IF(H149=0,0,L149/H149)</f>
        <v>-0.16436144578313247</v>
      </c>
      <c r="O149" s="14"/>
      <c r="P149" s="1">
        <f>SUM(OSRRefP22_19x_0)</f>
        <v>4629.7</v>
      </c>
      <c r="Q149" s="1"/>
      <c r="R149" s="5">
        <f t="shared" ref="R149:R151" si="89">IF(P$12=0,0,P149/P$12)</f>
        <v>4.4925838693852345E-3</v>
      </c>
      <c r="S149" s="1"/>
      <c r="T149" s="1">
        <f>SUM(OSRRefT22_19x_0)</f>
        <v>4980</v>
      </c>
      <c r="U149" s="1"/>
      <c r="V149" s="5">
        <f t="shared" ref="V149:V151" si="90">IF(T$12=0,0,T149/T$12)</f>
        <v>2.6352678209986399E-3</v>
      </c>
      <c r="W149" s="1"/>
      <c r="X149" s="1">
        <f t="shared" ref="X149:X151" si="91">+P149-T149</f>
        <v>-350.30000000000018</v>
      </c>
      <c r="Y149" s="1"/>
      <c r="Z149" s="5">
        <f t="shared" ref="Z149:Z151" si="92">IF(T149=0,0,X149/T149)</f>
        <v>-7.0341365461847424E-2</v>
      </c>
    </row>
    <row r="150" spans="1:26" s="24" customFormat="1" hidden="1" outlineLevel="2" x14ac:dyDescent="0.25">
      <c r="A150" s="29"/>
      <c r="B150" s="11" t="str">
        <f>CONCATENATE("          ", "6303", " - ", "DATA PHONE LINES")</f>
        <v xml:space="preserve">          6303 - DATA PHONE LINES</v>
      </c>
      <c r="C150" s="11"/>
      <c r="D150" s="7"/>
      <c r="E150" s="2"/>
      <c r="F150" s="6">
        <f t="shared" si="85"/>
        <v>0</v>
      </c>
      <c r="G150" s="2"/>
      <c r="H150" s="7">
        <v>230</v>
      </c>
      <c r="I150" s="2"/>
      <c r="J150" s="6">
        <f t="shared" si="86"/>
        <v>7.8002855582800026E-4</v>
      </c>
      <c r="K150" s="2"/>
      <c r="L150" s="7">
        <f t="shared" si="87"/>
        <v>-230</v>
      </c>
      <c r="M150" s="2"/>
      <c r="N150" s="6">
        <f t="shared" si="88"/>
        <v>-1</v>
      </c>
      <c r="O150" s="11"/>
      <c r="P150" s="7"/>
      <c r="Q150" s="2"/>
      <c r="R150" s="6">
        <f t="shared" si="89"/>
        <v>0</v>
      </c>
      <c r="S150" s="2"/>
      <c r="T150" s="7">
        <v>1380</v>
      </c>
      <c r="U150" s="2"/>
      <c r="V150" s="6">
        <f t="shared" si="90"/>
        <v>7.3025493834902072E-4</v>
      </c>
      <c r="W150" s="2"/>
      <c r="X150" s="7">
        <f t="shared" si="91"/>
        <v>-1380</v>
      </c>
      <c r="Y150" s="2"/>
      <c r="Z150" s="6">
        <f t="shared" si="92"/>
        <v>-1</v>
      </c>
    </row>
    <row r="151" spans="1:26" s="24" customFormat="1" hidden="1" outlineLevel="2" x14ac:dyDescent="0.25">
      <c r="A151" s="29"/>
      <c r="B151" s="11" t="str">
        <f>CONCATENATE("          ", "6309", " - ", "TELEPHONE")</f>
        <v xml:space="preserve">          6309 - TELEPHONE</v>
      </c>
      <c r="C151" s="11"/>
      <c r="D151" s="7">
        <v>693.58</v>
      </c>
      <c r="E151" s="2"/>
      <c r="F151" s="6">
        <f t="shared" si="85"/>
        <v>3.2311738630375112E-3</v>
      </c>
      <c r="G151" s="2"/>
      <c r="H151" s="7">
        <v>600</v>
      </c>
      <c r="I151" s="2"/>
      <c r="J151" s="6">
        <f t="shared" si="86"/>
        <v>2.0348571021600007E-3</v>
      </c>
      <c r="K151" s="2"/>
      <c r="L151" s="7">
        <f t="shared" si="87"/>
        <v>93.580000000000041</v>
      </c>
      <c r="M151" s="2"/>
      <c r="N151" s="6">
        <f t="shared" si="88"/>
        <v>0.15596666666666673</v>
      </c>
      <c r="O151" s="11"/>
      <c r="P151" s="7">
        <v>4629.7</v>
      </c>
      <c r="Q151" s="2"/>
      <c r="R151" s="6">
        <f t="shared" si="89"/>
        <v>4.4925838693852345E-3</v>
      </c>
      <c r="S151" s="2"/>
      <c r="T151" s="7">
        <v>3600</v>
      </c>
      <c r="U151" s="2"/>
      <c r="V151" s="6">
        <f t="shared" si="90"/>
        <v>1.9050128826496192E-3</v>
      </c>
      <c r="W151" s="2"/>
      <c r="X151" s="7">
        <f t="shared" si="91"/>
        <v>1029.6999999999998</v>
      </c>
      <c r="Y151" s="2"/>
      <c r="Z151" s="6">
        <f t="shared" si="92"/>
        <v>0.28602777777777771</v>
      </c>
    </row>
    <row r="152" spans="1:26" s="28" customFormat="1" outlineLevel="1" collapsed="1" x14ac:dyDescent="0.25">
      <c r="A152" s="27"/>
      <c r="B152" s="14" t="str">
        <f>CONCATENATE("     ","Training                                          ")</f>
        <v xml:space="preserve">     Training                                          </v>
      </c>
      <c r="C152" s="14"/>
      <c r="D152" s="1">
        <f>SUM(OSRRefD22_20x_0)</f>
        <v>0</v>
      </c>
      <c r="E152" s="1"/>
      <c r="F152" s="5">
        <f t="shared" ref="F152:F156" si="93">IF(D$12=0,0,D152/D$12)</f>
        <v>0</v>
      </c>
      <c r="G152" s="1"/>
      <c r="H152" s="1">
        <f>SUM(OSRRefH22_20x_0)</f>
        <v>1800</v>
      </c>
      <c r="I152" s="1"/>
      <c r="J152" s="5">
        <f t="shared" ref="J152:J156" si="94">IF(H$12=0,0,H152/H$12)</f>
        <v>6.1045713064800024E-3</v>
      </c>
      <c r="K152" s="1"/>
      <c r="L152" s="1">
        <f t="shared" ref="L152:L156" si="95">+D152-H152</f>
        <v>-1800</v>
      </c>
      <c r="M152" s="1"/>
      <c r="N152" s="5">
        <f t="shared" ref="N152:N156" si="96">IF(H152=0,0,L152/H152)</f>
        <v>-1</v>
      </c>
      <c r="O152" s="14"/>
      <c r="P152" s="1">
        <f>SUM(OSRRefP22_20x_0)</f>
        <v>0</v>
      </c>
      <c r="Q152" s="1"/>
      <c r="R152" s="5">
        <f t="shared" ref="R152:R156" si="97">IF(P$12=0,0,P152/P$12)</f>
        <v>0</v>
      </c>
      <c r="S152" s="1"/>
      <c r="T152" s="1">
        <f>SUM(OSRRefT22_20x_0)</f>
        <v>1800</v>
      </c>
      <c r="U152" s="1"/>
      <c r="V152" s="5">
        <f t="shared" ref="V152:V156" si="98">IF(T$12=0,0,T152/T$12)</f>
        <v>9.5250644132480959E-4</v>
      </c>
      <c r="W152" s="1"/>
      <c r="X152" s="1">
        <f t="shared" ref="X152:X156" si="99">+P152-T152</f>
        <v>-1800</v>
      </c>
      <c r="Y152" s="1"/>
      <c r="Z152" s="5">
        <f t="shared" ref="Z152:Z156" si="100">IF(T152=0,0,X152/T152)</f>
        <v>-1</v>
      </c>
    </row>
    <row r="153" spans="1:26" s="24" customFormat="1" hidden="1" outlineLevel="2" x14ac:dyDescent="0.25">
      <c r="A153" s="29"/>
      <c r="B153" s="11" t="str">
        <f>CONCATENATE("          ", "6376", " - ", "TRAINING")</f>
        <v xml:space="preserve">          6376 - TRAINING</v>
      </c>
      <c r="C153" s="11"/>
      <c r="D153" s="7"/>
      <c r="E153" s="2"/>
      <c r="F153" s="6">
        <f t="shared" si="93"/>
        <v>0</v>
      </c>
      <c r="G153" s="2"/>
      <c r="H153" s="7">
        <v>1800</v>
      </c>
      <c r="I153" s="2"/>
      <c r="J153" s="6">
        <f t="shared" si="94"/>
        <v>6.1045713064800024E-3</v>
      </c>
      <c r="K153" s="2"/>
      <c r="L153" s="7">
        <f t="shared" si="95"/>
        <v>-1800</v>
      </c>
      <c r="M153" s="2"/>
      <c r="N153" s="6">
        <f t="shared" si="96"/>
        <v>-1</v>
      </c>
      <c r="O153" s="11"/>
      <c r="P153" s="7"/>
      <c r="Q153" s="2"/>
      <c r="R153" s="6">
        <f t="shared" si="97"/>
        <v>0</v>
      </c>
      <c r="S153" s="2"/>
      <c r="T153" s="7">
        <v>1800</v>
      </c>
      <c r="U153" s="2"/>
      <c r="V153" s="6">
        <f t="shared" si="98"/>
        <v>9.5250644132480959E-4</v>
      </c>
      <c r="W153" s="2"/>
      <c r="X153" s="7">
        <f t="shared" si="99"/>
        <v>-1800</v>
      </c>
      <c r="Y153" s="2"/>
      <c r="Z153" s="6">
        <f t="shared" si="100"/>
        <v>-1</v>
      </c>
    </row>
    <row r="154" spans="1:26" s="28" customFormat="1" outlineLevel="1" collapsed="1" x14ac:dyDescent="0.25">
      <c r="A154" s="27"/>
      <c r="B154" s="14" t="str">
        <f>CONCATENATE("     ","Travel                                            ")</f>
        <v xml:space="preserve">     Travel                                            </v>
      </c>
      <c r="C154" s="14"/>
      <c r="D154" s="1">
        <f>SUM(OSRRefD22_21x_0)</f>
        <v>0</v>
      </c>
      <c r="E154" s="1"/>
      <c r="F154" s="5">
        <f t="shared" si="93"/>
        <v>0</v>
      </c>
      <c r="G154" s="1"/>
      <c r="H154" s="1">
        <f>SUM(OSRRefH22_21x_0)</f>
        <v>225</v>
      </c>
      <c r="I154" s="1"/>
      <c r="J154" s="5">
        <f t="shared" si="94"/>
        <v>7.6307141331000031E-4</v>
      </c>
      <c r="K154" s="1"/>
      <c r="L154" s="1">
        <f t="shared" si="95"/>
        <v>-225</v>
      </c>
      <c r="M154" s="1"/>
      <c r="N154" s="5">
        <f t="shared" si="96"/>
        <v>-1</v>
      </c>
      <c r="O154" s="14"/>
      <c r="P154" s="1">
        <f>SUM(OSRRefP22_21x_0)</f>
        <v>321.88</v>
      </c>
      <c r="Q154" s="1"/>
      <c r="R154" s="5">
        <f t="shared" si="97"/>
        <v>3.1234699783522023E-4</v>
      </c>
      <c r="S154" s="1"/>
      <c r="T154" s="1">
        <f>SUM(OSRRefT22_21x_0)</f>
        <v>475</v>
      </c>
      <c r="U154" s="1"/>
      <c r="V154" s="5">
        <f t="shared" si="98"/>
        <v>2.5135586646071365E-4</v>
      </c>
      <c r="W154" s="1"/>
      <c r="X154" s="1">
        <f t="shared" si="99"/>
        <v>-153.12</v>
      </c>
      <c r="Y154" s="1"/>
      <c r="Z154" s="5">
        <f t="shared" si="100"/>
        <v>-0.32235789473684212</v>
      </c>
    </row>
    <row r="155" spans="1:26" s="24" customFormat="1" hidden="1" outlineLevel="2" x14ac:dyDescent="0.25">
      <c r="A155" s="29"/>
      <c r="B155" s="11" t="str">
        <f>CONCATENATE("          ", "6294", " - ", "TRAVEL OPERATIONAL")</f>
        <v xml:space="preserve">          6294 - TRAVEL OPERATIONAL</v>
      </c>
      <c r="C155" s="11"/>
      <c r="D155" s="7"/>
      <c r="E155" s="2"/>
      <c r="F155" s="6">
        <f t="shared" si="93"/>
        <v>0</v>
      </c>
      <c r="G155" s="2"/>
      <c r="H155" s="7">
        <v>25</v>
      </c>
      <c r="I155" s="2"/>
      <c r="J155" s="6">
        <f t="shared" si="94"/>
        <v>8.4785712590000037E-5</v>
      </c>
      <c r="K155" s="2"/>
      <c r="L155" s="7">
        <f t="shared" si="95"/>
        <v>-25</v>
      </c>
      <c r="M155" s="2"/>
      <c r="N155" s="6">
        <f t="shared" si="96"/>
        <v>-1</v>
      </c>
      <c r="O155" s="11"/>
      <c r="P155" s="7">
        <v>321.88</v>
      </c>
      <c r="Q155" s="2"/>
      <c r="R155" s="6">
        <f t="shared" si="97"/>
        <v>3.1234699783522023E-4</v>
      </c>
      <c r="S155" s="2"/>
      <c r="T155" s="7">
        <v>150</v>
      </c>
      <c r="U155" s="2"/>
      <c r="V155" s="6">
        <f t="shared" si="98"/>
        <v>7.9375536777067461E-5</v>
      </c>
      <c r="W155" s="2"/>
      <c r="X155" s="7">
        <f t="shared" si="99"/>
        <v>171.88</v>
      </c>
      <c r="Y155" s="2"/>
      <c r="Z155" s="6">
        <f t="shared" si="100"/>
        <v>1.1458666666666666</v>
      </c>
    </row>
    <row r="156" spans="1:26" s="24" customFormat="1" hidden="1" outlineLevel="2" x14ac:dyDescent="0.25">
      <c r="A156" s="29"/>
      <c r="B156" s="11" t="str">
        <f>CONCATENATE("          ", "6298", " - ", "VEHICLE MILEAGE")</f>
        <v xml:space="preserve">          6298 - VEHICLE MILEAGE</v>
      </c>
      <c r="C156" s="11"/>
      <c r="D156" s="7"/>
      <c r="E156" s="2"/>
      <c r="F156" s="6">
        <f t="shared" si="93"/>
        <v>0</v>
      </c>
      <c r="G156" s="2"/>
      <c r="H156" s="7">
        <v>200</v>
      </c>
      <c r="I156" s="2"/>
      <c r="J156" s="6">
        <f t="shared" si="94"/>
        <v>6.782857007200003E-4</v>
      </c>
      <c r="K156" s="2"/>
      <c r="L156" s="7">
        <f t="shared" si="95"/>
        <v>-200</v>
      </c>
      <c r="M156" s="2"/>
      <c r="N156" s="6">
        <f t="shared" si="96"/>
        <v>-1</v>
      </c>
      <c r="O156" s="11"/>
      <c r="P156" s="7"/>
      <c r="Q156" s="2"/>
      <c r="R156" s="6">
        <f t="shared" si="97"/>
        <v>0</v>
      </c>
      <c r="S156" s="2"/>
      <c r="T156" s="7">
        <v>325</v>
      </c>
      <c r="U156" s="2"/>
      <c r="V156" s="6">
        <f t="shared" si="98"/>
        <v>1.7198032968364618E-4</v>
      </c>
      <c r="W156" s="2"/>
      <c r="X156" s="7">
        <f t="shared" si="99"/>
        <v>-325</v>
      </c>
      <c r="Y156" s="2"/>
      <c r="Z156" s="6">
        <f t="shared" si="100"/>
        <v>-1</v>
      </c>
    </row>
    <row r="157" spans="1:26" s="28" customFormat="1" outlineLevel="1" collapsed="1" x14ac:dyDescent="0.25">
      <c r="A157" s="27"/>
      <c r="B157" s="14" t="str">
        <f>CONCATENATE("     ","Utilities                                         ")</f>
        <v xml:space="preserve">     Utilities                                         </v>
      </c>
      <c r="C157" s="14"/>
      <c r="D157" s="1">
        <f>SUM(OSRRefD22_22x_0)</f>
        <v>42.61</v>
      </c>
      <c r="E157" s="1"/>
      <c r="F157" s="5">
        <f t="shared" ref="F157:F158" si="101">IF(D$12=0,0,D157/D$12)</f>
        <v>1.9850675957211618E-4</v>
      </c>
      <c r="G157" s="1"/>
      <c r="H157" s="1">
        <f>SUM(OSRRefH22_22x_0)</f>
        <v>225</v>
      </c>
      <c r="I157" s="1"/>
      <c r="J157" s="5">
        <f t="shared" ref="J157:J158" si="102">IF(H$12=0,0,H157/H$12)</f>
        <v>7.6307141331000031E-4</v>
      </c>
      <c r="K157" s="1"/>
      <c r="L157" s="1">
        <f t="shared" ref="L157:L158" si="103">+D157-H157</f>
        <v>-182.39</v>
      </c>
      <c r="M157" s="1"/>
      <c r="N157" s="5">
        <f t="shared" ref="N157:N158" si="104">IF(H157=0,0,L157/H157)</f>
        <v>-0.81062222222222213</v>
      </c>
      <c r="O157" s="14"/>
      <c r="P157" s="1">
        <f>SUM(OSRRefP22_22x_0)</f>
        <v>144.4</v>
      </c>
      <c r="Q157" s="1"/>
      <c r="R157" s="5">
        <f t="shared" ref="R157:R158" si="105">IF(P$12=0,0,P157/P$12)</f>
        <v>1.4012335804463094E-4</v>
      </c>
      <c r="S157" s="1"/>
      <c r="T157" s="1">
        <f>SUM(OSRRefT22_22x_0)</f>
        <v>750</v>
      </c>
      <c r="U157" s="1"/>
      <c r="V157" s="5">
        <f t="shared" ref="V157:V158" si="106">IF(T$12=0,0,T157/T$12)</f>
        <v>3.9687768388533732E-4</v>
      </c>
      <c r="W157" s="1"/>
      <c r="X157" s="1">
        <f t="shared" ref="X157:X158" si="107">+P157-T157</f>
        <v>-605.6</v>
      </c>
      <c r="Y157" s="1"/>
      <c r="Z157" s="5">
        <f t="shared" ref="Z157:Z158" si="108">IF(T157=0,0,X157/T157)</f>
        <v>-0.80746666666666667</v>
      </c>
    </row>
    <row r="158" spans="1:26" s="24" customFormat="1" hidden="1" outlineLevel="2" x14ac:dyDescent="0.25">
      <c r="A158" s="29"/>
      <c r="B158" s="11" t="str">
        <f>CONCATENATE("          ", "6274", " - ", "UTILITIES")</f>
        <v xml:space="preserve">          6274 - UTILITIES</v>
      </c>
      <c r="C158" s="11"/>
      <c r="D158" s="7">
        <v>42.61</v>
      </c>
      <c r="E158" s="2"/>
      <c r="F158" s="6">
        <f t="shared" si="101"/>
        <v>1.9850675957211618E-4</v>
      </c>
      <c r="G158" s="2"/>
      <c r="H158" s="7">
        <v>225</v>
      </c>
      <c r="I158" s="2"/>
      <c r="J158" s="6">
        <f t="shared" si="102"/>
        <v>7.6307141331000031E-4</v>
      </c>
      <c r="K158" s="2"/>
      <c r="L158" s="7">
        <f t="shared" si="103"/>
        <v>-182.39</v>
      </c>
      <c r="M158" s="2"/>
      <c r="N158" s="6">
        <f t="shared" si="104"/>
        <v>-0.81062222222222213</v>
      </c>
      <c r="O158" s="11"/>
      <c r="P158" s="7">
        <v>144.4</v>
      </c>
      <c r="Q158" s="2"/>
      <c r="R158" s="6">
        <f t="shared" si="105"/>
        <v>1.4012335804463094E-4</v>
      </c>
      <c r="S158" s="2"/>
      <c r="T158" s="7">
        <v>750</v>
      </c>
      <c r="U158" s="2"/>
      <c r="V158" s="6">
        <f t="shared" si="106"/>
        <v>3.9687768388533732E-4</v>
      </c>
      <c r="W158" s="2"/>
      <c r="X158" s="7">
        <f t="shared" si="107"/>
        <v>-605.6</v>
      </c>
      <c r="Y158" s="2"/>
      <c r="Z158" s="6">
        <f t="shared" si="108"/>
        <v>-0.80746666666666667</v>
      </c>
    </row>
    <row r="159" spans="1:26" s="53" customFormat="1" x14ac:dyDescent="0.25">
      <c r="A159" s="36"/>
      <c r="B159" s="36"/>
      <c r="C159" s="36"/>
      <c r="D159" s="1"/>
      <c r="E159" s="1"/>
      <c r="F159" s="5"/>
      <c r="G159" s="1"/>
      <c r="H159" s="1"/>
      <c r="I159" s="1"/>
      <c r="J159" s="5"/>
      <c r="K159" s="1"/>
      <c r="L159" s="1"/>
      <c r="M159" s="1"/>
      <c r="N159" s="5"/>
      <c r="O159" s="36"/>
      <c r="P159" s="1"/>
      <c r="Q159" s="1"/>
      <c r="R159" s="5"/>
      <c r="S159" s="1"/>
      <c r="T159" s="1"/>
      <c r="U159" s="1"/>
      <c r="V159" s="5"/>
      <c r="W159" s="1"/>
      <c r="X159" s="1"/>
      <c r="Y159" s="1"/>
      <c r="Z159" s="5"/>
    </row>
    <row r="160" spans="1:26" s="23" customFormat="1" collapsed="1" x14ac:dyDescent="0.25">
      <c r="A160" s="10"/>
      <c r="B160" s="26" t="s">
        <v>0</v>
      </c>
      <c r="C160" s="10"/>
      <c r="D160" s="4">
        <f>SUM(OSRRefD25x_0)</f>
        <v>-1666.87</v>
      </c>
      <c r="E160" s="4"/>
      <c r="F160" s="12">
        <f t="shared" ref="F160:F163" si="109">IF(D$12=0,0,D160/D$12)</f>
        <v>-7.7654297659698023E-3</v>
      </c>
      <c r="G160" s="4"/>
      <c r="H160" s="4">
        <f>SUM(OSRRefH25x_0)</f>
        <v>181695</v>
      </c>
      <c r="I160" s="4"/>
      <c r="J160" s="12">
        <f t="shared" ref="J160:J163" si="110">IF(H$12=0,0,H160/H$12)</f>
        <v>0.61620560196160223</v>
      </c>
      <c r="K160" s="4"/>
      <c r="L160" s="4">
        <f t="shared" ref="L160:L163" si="111">+D160-H160</f>
        <v>-183361.87</v>
      </c>
      <c r="M160" s="4"/>
      <c r="N160" s="12">
        <f t="shared" ref="N160:N163" si="112">IF(H160=0,0,L160/H160)</f>
        <v>-1.0091740003852609</v>
      </c>
      <c r="O160" s="10"/>
      <c r="P160" s="4">
        <f>SUM(OSRRefP25x_0)</f>
        <v>206207.58</v>
      </c>
      <c r="Q160" s="4"/>
      <c r="R160" s="12">
        <f t="shared" ref="R160:R163" si="113">IF(P$12=0,0,P160/P$12)</f>
        <v>0.20010040556687586</v>
      </c>
      <c r="S160" s="4"/>
      <c r="T160" s="4">
        <f>SUM(OSRRefT25x_0)</f>
        <v>222070</v>
      </c>
      <c r="U160" s="4"/>
      <c r="V160" s="12">
        <f t="shared" ref="V160:V163" si="114">IF(T$12=0,0,T160/T$12)</f>
        <v>0.11751283634722248</v>
      </c>
      <c r="W160" s="4"/>
      <c r="X160" s="4">
        <f t="shared" ref="X160:X163" si="115">+P160-T160</f>
        <v>-15862.420000000013</v>
      </c>
      <c r="Y160" s="4"/>
      <c r="Z160" s="12">
        <f t="shared" ref="Z160:Z163" si="116">IF(T160=0,0,X160/T160)</f>
        <v>-7.1429819426307078E-2</v>
      </c>
    </row>
    <row r="161" spans="1:26" s="24" customFormat="1" hidden="1" outlineLevel="1" x14ac:dyDescent="0.25">
      <c r="A161" s="51"/>
      <c r="B161" s="11" t="str">
        <f>CONCATENATE("          ", "9150", " - ", "MISC. INCOME")</f>
        <v xml:space="preserve">          9150 - MISC. INCOME</v>
      </c>
      <c r="C161" s="11"/>
      <c r="D161" s="2">
        <f>-1666.87</f>
        <v>-1666.87</v>
      </c>
      <c r="E161" s="2"/>
      <c r="F161" s="22">
        <f t="shared" si="109"/>
        <v>-7.7654297659698023E-3</v>
      </c>
      <c r="G161" s="2"/>
      <c r="H161" s="2">
        <v>8075</v>
      </c>
      <c r="I161" s="2"/>
      <c r="J161" s="22">
        <f t="shared" si="110"/>
        <v>2.7385785166570011E-2</v>
      </c>
      <c r="K161" s="2"/>
      <c r="L161" s="2">
        <f t="shared" si="111"/>
        <v>-9741.869999999999</v>
      </c>
      <c r="M161" s="2"/>
      <c r="N161" s="22">
        <f t="shared" si="112"/>
        <v>-1.2064235294117647</v>
      </c>
      <c r="O161" s="11"/>
      <c r="P161" s="2">
        <f>--30801.74</f>
        <v>30801.74</v>
      </c>
      <c r="Q161" s="2"/>
      <c r="R161" s="22">
        <f t="shared" si="113"/>
        <v>2.9889496138626251E-2</v>
      </c>
      <c r="S161" s="2"/>
      <c r="T161" s="2">
        <v>48450</v>
      </c>
      <c r="U161" s="2"/>
      <c r="V161" s="22">
        <f t="shared" si="114"/>
        <v>2.5638298378992792E-2</v>
      </c>
      <c r="W161" s="2"/>
      <c r="X161" s="2">
        <f t="shared" si="115"/>
        <v>-17648.259999999998</v>
      </c>
      <c r="Y161" s="2"/>
      <c r="Z161" s="22">
        <f t="shared" si="116"/>
        <v>-0.36425717234262123</v>
      </c>
    </row>
    <row r="162" spans="1:26" s="24" customFormat="1" hidden="1" outlineLevel="1" x14ac:dyDescent="0.25">
      <c r="A162" s="51"/>
      <c r="B162" s="11" t="str">
        <f>CONCATENATE("          ", "9151", " - ", "MISC. INCOME")</f>
        <v xml:space="preserve">          9151 - MISC. INCOME</v>
      </c>
      <c r="C162" s="11"/>
      <c r="D162" s="2">
        <f t="shared" ref="D162:D163" si="117">0</f>
        <v>0</v>
      </c>
      <c r="E162" s="2"/>
      <c r="F162" s="22">
        <f t="shared" si="109"/>
        <v>0</v>
      </c>
      <c r="G162" s="2"/>
      <c r="H162" s="2">
        <v>173620</v>
      </c>
      <c r="I162" s="2"/>
      <c r="J162" s="22">
        <f t="shared" si="110"/>
        <v>0.58881981679503226</v>
      </c>
      <c r="K162" s="2"/>
      <c r="L162" s="2">
        <f t="shared" si="111"/>
        <v>-173620</v>
      </c>
      <c r="M162" s="2"/>
      <c r="N162" s="22">
        <f t="shared" si="112"/>
        <v>-1</v>
      </c>
      <c r="O162" s="11"/>
      <c r="P162" s="2">
        <f>0</f>
        <v>0</v>
      </c>
      <c r="Q162" s="2"/>
      <c r="R162" s="22">
        <f t="shared" si="113"/>
        <v>0</v>
      </c>
      <c r="S162" s="2"/>
      <c r="T162" s="2">
        <v>173620</v>
      </c>
      <c r="U162" s="2"/>
      <c r="V162" s="22">
        <f t="shared" si="114"/>
        <v>9.1874537968229683E-2</v>
      </c>
      <c r="W162" s="2"/>
      <c r="X162" s="2">
        <f t="shared" si="115"/>
        <v>-173620</v>
      </c>
      <c r="Y162" s="2"/>
      <c r="Z162" s="22">
        <f t="shared" si="116"/>
        <v>-1</v>
      </c>
    </row>
    <row r="163" spans="1:26" s="24" customFormat="1" hidden="1" outlineLevel="1" x14ac:dyDescent="0.25">
      <c r="A163" s="51"/>
      <c r="B163" s="11" t="str">
        <f>CONCATENATE("          ", "9163", " - ", "MISC. INCOME")</f>
        <v xml:space="preserve">          9163 - MISC. INCOME</v>
      </c>
      <c r="C163" s="11"/>
      <c r="D163" s="2">
        <f t="shared" si="117"/>
        <v>0</v>
      </c>
      <c r="E163" s="2"/>
      <c r="F163" s="22">
        <f t="shared" si="109"/>
        <v>0</v>
      </c>
      <c r="G163" s="2"/>
      <c r="H163" s="2"/>
      <c r="I163" s="2"/>
      <c r="J163" s="22">
        <f t="shared" si="110"/>
        <v>0</v>
      </c>
      <c r="K163" s="2"/>
      <c r="L163" s="2">
        <f t="shared" si="111"/>
        <v>0</v>
      </c>
      <c r="M163" s="2"/>
      <c r="N163" s="22">
        <f t="shared" si="112"/>
        <v>0</v>
      </c>
      <c r="O163" s="11"/>
      <c r="P163" s="2">
        <f>--175405.84</f>
        <v>175405.84</v>
      </c>
      <c r="Q163" s="2"/>
      <c r="R163" s="22">
        <f t="shared" si="113"/>
        <v>0.17021090942824962</v>
      </c>
      <c r="S163" s="2"/>
      <c r="T163" s="2"/>
      <c r="U163" s="2"/>
      <c r="V163" s="22">
        <f t="shared" si="114"/>
        <v>0</v>
      </c>
      <c r="W163" s="2"/>
      <c r="X163" s="2">
        <f t="shared" si="115"/>
        <v>175405.84</v>
      </c>
      <c r="Y163" s="2"/>
      <c r="Z163" s="22">
        <f t="shared" si="116"/>
        <v>0</v>
      </c>
    </row>
    <row r="164" spans="1:26" x14ac:dyDescent="0.25">
      <c r="A164" s="9"/>
      <c r="B164" s="10"/>
      <c r="C164" s="10"/>
      <c r="D164" s="3"/>
      <c r="E164" s="3"/>
      <c r="F164" s="8"/>
      <c r="G164" s="3"/>
      <c r="H164" s="3"/>
      <c r="I164" s="3"/>
      <c r="J164" s="8"/>
      <c r="K164" s="3"/>
      <c r="L164" s="3"/>
      <c r="M164" s="3"/>
      <c r="N164" s="8"/>
      <c r="O164" s="10"/>
      <c r="P164" s="3"/>
      <c r="Q164" s="3"/>
      <c r="R164" s="8"/>
      <c r="S164" s="3"/>
      <c r="T164" s="3"/>
      <c r="U164" s="3"/>
      <c r="V164" s="8"/>
      <c r="W164" s="3"/>
      <c r="X164" s="3"/>
      <c r="Y164" s="3"/>
      <c r="Z164" s="8"/>
    </row>
    <row r="165" spans="1:26" s="23" customFormat="1" x14ac:dyDescent="0.25">
      <c r="A165" s="10"/>
      <c r="B165" s="25" t="s">
        <v>3</v>
      </c>
      <c r="C165" s="25"/>
      <c r="D165" s="21">
        <f>+D76-D78+D160</f>
        <v>25567.449999999972</v>
      </c>
      <c r="E165" s="13"/>
      <c r="F165" s="19">
        <f>IF(D$12=0,0,D165/D$12)</f>
        <v>0.1191108108430438</v>
      </c>
      <c r="G165" s="13"/>
      <c r="H165" s="21">
        <f>+H76-H78+H160</f>
        <v>225501.34572307696</v>
      </c>
      <c r="I165" s="13"/>
      <c r="J165" s="19">
        <f>IF(H$12=0,0,H165/H$12)</f>
        <v>0.76477169148540147</v>
      </c>
      <c r="K165" s="16"/>
      <c r="L165" s="21">
        <f>+D165-H165</f>
        <v>-199933.89572307697</v>
      </c>
      <c r="M165" s="16"/>
      <c r="N165" s="19">
        <f>IF(H165=0,0,L165/H165)</f>
        <v>-0.88661952363070307</v>
      </c>
      <c r="O165" s="26"/>
      <c r="P165" s="21">
        <f>+P76-P78+P160</f>
        <v>232840.65000000005</v>
      </c>
      <c r="Q165" s="13"/>
      <c r="R165" s="19">
        <f>IF(P$12=0,0,P165/P$12)</f>
        <v>0.22594469367932551</v>
      </c>
      <c r="S165" s="13"/>
      <c r="T165" s="21">
        <f>+T76-T78+T160</f>
        <v>503333.95975499984</v>
      </c>
      <c r="U165" s="13"/>
      <c r="V165" s="19">
        <f>IF(T$12=0,0,T165/T$12)</f>
        <v>0.26634935489119987</v>
      </c>
      <c r="W165" s="16"/>
      <c r="X165" s="21">
        <f>+P165-T165</f>
        <v>-270493.30975499982</v>
      </c>
      <c r="Y165" s="16"/>
      <c r="Z165" s="19">
        <f>IF(T165=0,0,X165/T165)</f>
        <v>-0.53740325784229559</v>
      </c>
    </row>
    <row r="166" spans="1:26" x14ac:dyDescent="0.25">
      <c r="A166" s="9"/>
      <c r="B166" s="10"/>
      <c r="C166" s="9"/>
      <c r="D166" s="3"/>
      <c r="E166" s="3"/>
      <c r="F166" s="8"/>
      <c r="G166" s="3"/>
      <c r="H166" s="3"/>
      <c r="I166" s="3"/>
      <c r="J166" s="8"/>
      <c r="K166" s="3"/>
      <c r="L166" s="3"/>
      <c r="M166" s="3"/>
      <c r="N166" s="8"/>
      <c r="P166" s="3"/>
      <c r="Q166" s="3"/>
      <c r="R166" s="8"/>
      <c r="S166" s="3"/>
      <c r="T166" s="3"/>
      <c r="U166" s="3"/>
      <c r="V166" s="8"/>
      <c r="W166" s="3"/>
      <c r="X166" s="3"/>
      <c r="Y166" s="3"/>
      <c r="Z166" s="8"/>
    </row>
    <row r="167" spans="1:26" s="23" customFormat="1" x14ac:dyDescent="0.25">
      <c r="A167" s="52"/>
      <c r="B167" s="10" t="s">
        <v>14</v>
      </c>
      <c r="C167" s="10"/>
      <c r="D167" s="4">
        <v>66763.31</v>
      </c>
      <c r="E167" s="4"/>
      <c r="F167" s="12">
        <f>IF(D$12=0,0,D167/D$12)</f>
        <v>0.31102953124638955</v>
      </c>
      <c r="G167" s="4"/>
      <c r="H167" s="4">
        <v>74021</v>
      </c>
      <c r="I167" s="4"/>
      <c r="J167" s="12">
        <f>IF(H$12=0,0,H167/H$12)</f>
        <v>0.25103692926497573</v>
      </c>
      <c r="K167" s="4"/>
      <c r="L167" s="4">
        <f>+D167-H167</f>
        <v>-7257.6900000000023</v>
      </c>
      <c r="M167" s="4"/>
      <c r="N167" s="12">
        <f>IF(H167=0,0,L167/H167)</f>
        <v>-9.804906715661775E-2</v>
      </c>
      <c r="O167" s="10"/>
      <c r="P167" s="4">
        <v>196404.74000000002</v>
      </c>
      <c r="Q167" s="4"/>
      <c r="R167" s="12">
        <f>IF(P$12=0,0,P167/P$12)</f>
        <v>0.19058789269170809</v>
      </c>
      <c r="S167" s="4"/>
      <c r="T167" s="4">
        <v>358470</v>
      </c>
      <c r="U167" s="4"/>
      <c r="V167" s="12">
        <f>IF(T$12=0,0,T167/T$12)</f>
        <v>0.18969165778983582</v>
      </c>
      <c r="W167" s="4"/>
      <c r="X167" s="4">
        <f>+P167-T167</f>
        <v>-162065.25999999998</v>
      </c>
      <c r="Y167" s="4"/>
      <c r="Z167" s="12">
        <f>IF(T167=0,0,X167/T167)</f>
        <v>-0.45210271431361054</v>
      </c>
    </row>
    <row r="168" spans="1:26" x14ac:dyDescent="0.25">
      <c r="A168" s="9"/>
      <c r="B168" s="10"/>
      <c r="C168" s="10"/>
      <c r="D168" s="3"/>
      <c r="E168" s="3"/>
      <c r="F168" s="8"/>
      <c r="G168" s="3"/>
      <c r="H168" s="3"/>
      <c r="I168" s="3"/>
      <c r="J168" s="8"/>
      <c r="K168" s="3"/>
      <c r="L168" s="3"/>
      <c r="M168" s="3"/>
      <c r="N168" s="8"/>
      <c r="O168" s="10"/>
      <c r="P168" s="3"/>
      <c r="Q168" s="3"/>
      <c r="R168" s="8"/>
      <c r="S168" s="3"/>
      <c r="T168" s="3"/>
      <c r="U168" s="3"/>
      <c r="V168" s="8"/>
      <c r="W168" s="3"/>
      <c r="X168" s="3"/>
      <c r="Y168" s="3"/>
      <c r="Z168" s="8"/>
    </row>
    <row r="169" spans="1:26" s="23" customFormat="1" ht="15.75" thickBot="1" x14ac:dyDescent="0.3">
      <c r="A169" s="10"/>
      <c r="B169" s="25" t="s">
        <v>4</v>
      </c>
      <c r="C169" s="25"/>
      <c r="D169" s="34">
        <f>+D165-D167</f>
        <v>-41195.86000000003</v>
      </c>
      <c r="E169" s="13"/>
      <c r="F169" s="31">
        <f>IF(D$12=0,0,D169/D$12)</f>
        <v>-0.19191872040334579</v>
      </c>
      <c r="G169" s="13"/>
      <c r="H169" s="34">
        <f>+H165-H167</f>
        <v>151480.34572307696</v>
      </c>
      <c r="I169" s="13"/>
      <c r="J169" s="31">
        <f>IF(H$12=0,0,H169/H$12)</f>
        <v>0.5137347622204258</v>
      </c>
      <c r="K169" s="16"/>
      <c r="L169" s="34">
        <f>D169-H169</f>
        <v>-192676.205723077</v>
      </c>
      <c r="M169" s="16"/>
      <c r="N169" s="31">
        <f>IF(H169=0,0,L169/H169)</f>
        <v>-1.2719551490548529</v>
      </c>
      <c r="O169" s="26"/>
      <c r="P169" s="34">
        <f>+P165-P167</f>
        <v>36435.910000000033</v>
      </c>
      <c r="Q169" s="13"/>
      <c r="R169" s="31">
        <f>IF(P$12=0,0,P169/P$12)</f>
        <v>3.5356800987617405E-2</v>
      </c>
      <c r="S169" s="13"/>
      <c r="T169" s="34">
        <f>+T165-T167</f>
        <v>144863.95975499984</v>
      </c>
      <c r="U169" s="13"/>
      <c r="V169" s="31">
        <f>IF(T$12=0,0,T169/T$12)</f>
        <v>7.6657697101364081E-2</v>
      </c>
      <c r="W169" s="16"/>
      <c r="X169" s="34">
        <f>P169-T169</f>
        <v>-108428.04975499981</v>
      </c>
      <c r="Y169" s="16"/>
      <c r="Z169" s="31">
        <f>IF(T169=0,0,X169/T169)</f>
        <v>-0.74848188561446194</v>
      </c>
    </row>
    <row r="170" spans="1:26" ht="15.75" thickTop="1" x14ac:dyDescent="0.25">
      <c r="A170" s="9"/>
      <c r="B170" s="9"/>
      <c r="C170" s="9"/>
      <c r="D170" s="3"/>
      <c r="E170" s="3"/>
      <c r="F170" s="8"/>
      <c r="G170" s="3"/>
      <c r="H170" s="3"/>
      <c r="I170" s="3"/>
      <c r="J170" s="8"/>
      <c r="K170" s="3"/>
      <c r="L170" s="3"/>
      <c r="M170" s="3"/>
      <c r="N170" s="8"/>
      <c r="P170" s="3"/>
      <c r="Q170" s="3"/>
      <c r="R170" s="8"/>
      <c r="S170" s="3"/>
      <c r="T170" s="3"/>
      <c r="U170" s="3"/>
      <c r="V170" s="8"/>
      <c r="W170" s="3"/>
      <c r="X170" s="3"/>
      <c r="Y170" s="3"/>
      <c r="Z170" s="8"/>
    </row>
    <row r="171" spans="1:26" x14ac:dyDescent="0.25">
      <c r="A171" s="9"/>
      <c r="B171" s="9"/>
      <c r="C171" s="9"/>
      <c r="D171" s="3"/>
      <c r="E171" s="3"/>
      <c r="F171" s="8"/>
      <c r="G171" s="3"/>
      <c r="H171" s="3"/>
      <c r="I171" s="3"/>
      <c r="J171" s="8"/>
      <c r="K171" s="3"/>
      <c r="L171" s="3"/>
      <c r="M171" s="3"/>
      <c r="N171" s="8"/>
      <c r="P171" s="3"/>
      <c r="Q171" s="3"/>
      <c r="R171" s="8"/>
      <c r="S171" s="3"/>
      <c r="T171" s="3"/>
      <c r="U171" s="3"/>
      <c r="V171" s="8"/>
      <c r="W171" s="3"/>
      <c r="X171" s="3"/>
      <c r="Y171" s="3"/>
      <c r="Z171" s="8"/>
    </row>
    <row r="172" spans="1:26" s="23" customFormat="1" ht="15.75" thickBot="1" x14ac:dyDescent="0.3">
      <c r="A172" s="10"/>
      <c r="B172" s="25" t="s">
        <v>5</v>
      </c>
      <c r="C172" s="25"/>
      <c r="D172" s="33">
        <f>SUM(D169:D171)</f>
        <v>-41195.86000000003</v>
      </c>
      <c r="E172" s="13"/>
      <c r="F172" s="32">
        <f>IF(D$12=0,0,D172/D$12)</f>
        <v>-0.19191872040334579</v>
      </c>
      <c r="G172" s="13"/>
      <c r="H172" s="33">
        <f>SUM(H169:H171)</f>
        <v>151480.34572307696</v>
      </c>
      <c r="I172" s="13"/>
      <c r="J172" s="32">
        <f>IF(H$12=0,0,H172/H$12)</f>
        <v>0.5137347622204258</v>
      </c>
      <c r="K172" s="16"/>
      <c r="L172" s="33">
        <f>+D172-H172</f>
        <v>-192676.205723077</v>
      </c>
      <c r="M172" s="16"/>
      <c r="N172" s="32">
        <f>IF(H172=0,0,L172/H172)</f>
        <v>-1.2719551490548529</v>
      </c>
      <c r="O172" s="26"/>
      <c r="P172" s="33">
        <f>SUM(P169:P171)</f>
        <v>36435.910000000033</v>
      </c>
      <c r="Q172" s="13"/>
      <c r="R172" s="32">
        <f>IF(P$12=0,0,P172/P$12)</f>
        <v>3.5356800987617405E-2</v>
      </c>
      <c r="S172" s="13"/>
      <c r="T172" s="33">
        <f>SUM(T169:T171)</f>
        <v>144863.95975499984</v>
      </c>
      <c r="U172" s="13"/>
      <c r="V172" s="32">
        <f>IF(T$12=0,0,T172/T$12)</f>
        <v>7.6657697101364081E-2</v>
      </c>
      <c r="W172" s="16"/>
      <c r="X172" s="33">
        <f>+P172-T172</f>
        <v>-108428.04975499981</v>
      </c>
      <c r="Y172" s="16"/>
      <c r="Z172" s="32">
        <f>IF(T172=0,0,X172/T172)</f>
        <v>-0.74848188561446194</v>
      </c>
    </row>
    <row r="173" spans="1:26" ht="15.75" thickTop="1" x14ac:dyDescent="0.25">
      <c r="A173" s="9"/>
      <c r="C173" s="9"/>
      <c r="D173" s="18"/>
      <c r="E173" s="18"/>
      <c r="G173" s="18"/>
      <c r="H173" s="18"/>
      <c r="I173" s="18"/>
      <c r="J173" s="43"/>
      <c r="K173" s="18"/>
      <c r="L173" s="18"/>
      <c r="M173" s="18"/>
      <c r="P173" s="18"/>
      <c r="Q173" s="18"/>
      <c r="R173" s="43"/>
      <c r="S173" s="18"/>
      <c r="T173" s="18"/>
      <c r="U173" s="18"/>
      <c r="V173" s="43"/>
      <c r="W173" s="18"/>
      <c r="X173" s="18"/>
    </row>
    <row r="174" spans="1:26" x14ac:dyDescent="0.25">
      <c r="A174" s="9"/>
      <c r="B174" s="63">
        <v>44209.518148182869</v>
      </c>
      <c r="D174" s="18"/>
      <c r="E174" s="18"/>
      <c r="G174" s="18"/>
      <c r="H174" s="18"/>
      <c r="I174" s="18"/>
      <c r="J174" s="43"/>
      <c r="K174" s="18"/>
      <c r="L174" s="18"/>
      <c r="M174" s="18"/>
      <c r="P174" s="18"/>
      <c r="Q174" s="18"/>
      <c r="R174" s="43"/>
      <c r="S174" s="18"/>
      <c r="T174" s="18"/>
      <c r="U174" s="18"/>
      <c r="V174" s="43"/>
      <c r="W174" s="18"/>
      <c r="X174" s="18"/>
    </row>
    <row r="175" spans="1:26" x14ac:dyDescent="0.25">
      <c r="A175" s="9"/>
      <c r="B175" s="60" t="s">
        <v>314</v>
      </c>
      <c r="D175" s="18"/>
      <c r="E175" s="18"/>
      <c r="G175" s="18"/>
      <c r="H175" s="18"/>
      <c r="I175" s="18"/>
      <c r="J175" s="43"/>
      <c r="K175" s="18"/>
      <c r="L175" s="18"/>
      <c r="M175" s="18"/>
      <c r="P175" s="18"/>
      <c r="Q175" s="18"/>
      <c r="R175" s="43"/>
      <c r="S175" s="18"/>
      <c r="T175" s="18"/>
      <c r="U175" s="18"/>
      <c r="V175" s="43"/>
      <c r="W175" s="18"/>
      <c r="X175" s="18"/>
    </row>
    <row r="176" spans="1:26" x14ac:dyDescent="0.25">
      <c r="A176" s="9"/>
      <c r="B176" s="58"/>
      <c r="D176" s="18"/>
      <c r="E176" s="18"/>
      <c r="G176" s="18"/>
      <c r="H176" s="18"/>
      <c r="I176" s="18"/>
      <c r="J176" s="43"/>
      <c r="K176" s="18"/>
      <c r="L176" s="18"/>
      <c r="M176" s="18"/>
      <c r="P176" s="18"/>
      <c r="Q176" s="18"/>
      <c r="R176" s="43"/>
      <c r="S176" s="18"/>
      <c r="T176" s="18"/>
      <c r="U176" s="18"/>
      <c r="V176" s="43"/>
      <c r="W176" s="18"/>
      <c r="X176" s="18"/>
    </row>
    <row r="177" spans="4:24" x14ac:dyDescent="0.25">
      <c r="D177" s="18"/>
      <c r="E177" s="18"/>
      <c r="G177" s="18"/>
      <c r="H177" s="18"/>
      <c r="I177" s="18"/>
      <c r="J177" s="43"/>
      <c r="K177" s="18"/>
      <c r="L177" s="18"/>
      <c r="M177" s="18"/>
      <c r="P177" s="18"/>
      <c r="Q177" s="18"/>
      <c r="R177" s="43"/>
      <c r="S177" s="18"/>
      <c r="T177" s="18"/>
      <c r="U177" s="18"/>
      <c r="V177" s="43"/>
      <c r="W177" s="18"/>
      <c r="X177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61"/>
  <sheetViews>
    <sheetView zoomScale="80" workbookViewId="0">
      <pane xSplit="3" ySplit="10" topLeftCell="D12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","315", " - ", "Beach Shop")</f>
        <v>Department 315 - Beach Shop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175750.66999999995</v>
      </c>
      <c r="E12" s="4"/>
      <c r="F12" s="12"/>
      <c r="G12" s="4"/>
      <c r="H12" s="4">
        <f>SUM(OSRRefH13x_0)</f>
        <v>245408</v>
      </c>
      <c r="I12" s="4"/>
      <c r="J12" s="12"/>
      <c r="K12" s="4"/>
      <c r="L12" s="4">
        <f t="shared" ref="L12:L50" si="0">+D12-H12</f>
        <v>-69657.330000000045</v>
      </c>
      <c r="M12" s="4"/>
      <c r="N12" s="12">
        <f t="shared" ref="N12:N50" si="1">IF(H12=0,0,L12/H12)</f>
        <v>-0.28384294725518339</v>
      </c>
      <c r="O12" s="10"/>
      <c r="P12" s="4">
        <f>SUM(OSRRefP13x_0)</f>
        <v>885603.4600000002</v>
      </c>
      <c r="Q12" s="4"/>
      <c r="R12" s="12"/>
      <c r="S12" s="4"/>
      <c r="T12" s="4">
        <f>SUM(OSRRefT13x_0)</f>
        <v>1619606</v>
      </c>
      <c r="U12" s="4"/>
      <c r="V12" s="12"/>
      <c r="W12" s="4"/>
      <c r="X12" s="4">
        <f t="shared" ref="X12:X50" si="2">+P12-T12</f>
        <v>-734002.5399999998</v>
      </c>
      <c r="Y12" s="4"/>
      <c r="Z12" s="12">
        <f t="shared" ref="Z12:Z50" si="3">IF(T12=0,0,X12/T12)</f>
        <v>-0.45319820993500876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-31005.23</f>
        <v>-31005.23</v>
      </c>
      <c r="E13" s="2"/>
      <c r="F13" s="22"/>
      <c r="G13" s="2"/>
      <c r="H13" s="2">
        <v>245408</v>
      </c>
      <c r="I13" s="2"/>
      <c r="J13" s="22"/>
      <c r="K13" s="2"/>
      <c r="L13" s="2">
        <f t="shared" si="0"/>
        <v>-276413.23</v>
      </c>
      <c r="M13" s="2"/>
      <c r="N13" s="22">
        <f t="shared" si="1"/>
        <v>-1.1263415618072761</v>
      </c>
      <c r="O13" s="11"/>
      <c r="P13" s="2">
        <f>-77454.56</f>
        <v>-77454.559999999998</v>
      </c>
      <c r="Q13" s="2"/>
      <c r="R13" s="22"/>
      <c r="S13" s="2"/>
      <c r="T13" s="2">
        <v>1619606</v>
      </c>
      <c r="U13" s="2"/>
      <c r="V13" s="22"/>
      <c r="W13" s="2"/>
      <c r="X13" s="2">
        <f t="shared" si="2"/>
        <v>-1697060.56</v>
      </c>
      <c r="Y13" s="2"/>
      <c r="Z13" s="22">
        <f t="shared" si="3"/>
        <v>-1.0478230878374124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0</f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--221.99</f>
        <v>221.99</v>
      </c>
      <c r="Q14" s="2"/>
      <c r="R14" s="22"/>
      <c r="S14" s="2"/>
      <c r="T14" s="2"/>
      <c r="U14" s="2"/>
      <c r="V14" s="22"/>
      <c r="W14" s="2"/>
      <c r="X14" s="2">
        <f t="shared" si="2"/>
        <v>221.99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--3073.53</f>
        <v>3073.53</v>
      </c>
      <c r="E15" s="2"/>
      <c r="F15" s="22"/>
      <c r="G15" s="2"/>
      <c r="H15" s="2"/>
      <c r="I15" s="2"/>
      <c r="J15" s="22"/>
      <c r="K15" s="2"/>
      <c r="L15" s="2">
        <f t="shared" si="0"/>
        <v>3073.53</v>
      </c>
      <c r="M15" s="2"/>
      <c r="N15" s="22">
        <f t="shared" si="1"/>
        <v>0</v>
      </c>
      <c r="O15" s="11"/>
      <c r="P15" s="2">
        <f>--31753.44</f>
        <v>31753.439999999999</v>
      </c>
      <c r="Q15" s="2"/>
      <c r="R15" s="22"/>
      <c r="S15" s="2"/>
      <c r="T15" s="2"/>
      <c r="U15" s="2"/>
      <c r="V15" s="22"/>
      <c r="W15" s="2"/>
      <c r="X15" s="2">
        <f t="shared" si="2"/>
        <v>31753.439999999999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>--1152.99</f>
        <v>1152.99</v>
      </c>
      <c r="E16" s="2"/>
      <c r="F16" s="22"/>
      <c r="G16" s="2"/>
      <c r="H16" s="2"/>
      <c r="I16" s="2"/>
      <c r="J16" s="22"/>
      <c r="K16" s="2"/>
      <c r="L16" s="2">
        <f t="shared" si="0"/>
        <v>1152.99</v>
      </c>
      <c r="M16" s="2"/>
      <c r="N16" s="22">
        <f t="shared" si="1"/>
        <v>0</v>
      </c>
      <c r="O16" s="11"/>
      <c r="P16" s="2">
        <f>--4673.52</f>
        <v>4673.5200000000004</v>
      </c>
      <c r="Q16" s="2"/>
      <c r="R16" s="22"/>
      <c r="S16" s="2"/>
      <c r="T16" s="2"/>
      <c r="U16" s="2"/>
      <c r="V16" s="22"/>
      <c r="W16" s="2"/>
      <c r="X16" s="2">
        <f t="shared" si="2"/>
        <v>4673.5200000000004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>--247.04</f>
        <v>247.04</v>
      </c>
      <c r="E17" s="2"/>
      <c r="F17" s="22"/>
      <c r="G17" s="2"/>
      <c r="H17" s="2"/>
      <c r="I17" s="2"/>
      <c r="J17" s="22"/>
      <c r="K17" s="2"/>
      <c r="L17" s="2">
        <f t="shared" si="0"/>
        <v>247.04</v>
      </c>
      <c r="M17" s="2"/>
      <c r="N17" s="22">
        <f t="shared" si="1"/>
        <v>0</v>
      </c>
      <c r="O17" s="11"/>
      <c r="P17" s="2">
        <f>--1735.1</f>
        <v>1735.1</v>
      </c>
      <c r="Q17" s="2"/>
      <c r="R17" s="22"/>
      <c r="S17" s="2"/>
      <c r="T17" s="2"/>
      <c r="U17" s="2"/>
      <c r="V17" s="22"/>
      <c r="W17" s="2"/>
      <c r="X17" s="2">
        <f t="shared" si="2"/>
        <v>1735.1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--6.78</f>
        <v>6.78</v>
      </c>
      <c r="Q18" s="2"/>
      <c r="R18" s="22"/>
      <c r="S18" s="2"/>
      <c r="T18" s="2"/>
      <c r="U18" s="2"/>
      <c r="V18" s="22"/>
      <c r="W18" s="2"/>
      <c r="X18" s="2">
        <f t="shared" si="2"/>
        <v>6.78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"4040", " - ", "TAXABLE SALES-LOGO CLOTHING")</f>
        <v xml:space="preserve">          4040 - TAXABLE SALES-LOGO CLOTHING</v>
      </c>
      <c r="C19" s="11"/>
      <c r="D19" s="2">
        <f>--54055.34</f>
        <v>54055.34</v>
      </c>
      <c r="E19" s="2"/>
      <c r="F19" s="22"/>
      <c r="G19" s="2"/>
      <c r="H19" s="2"/>
      <c r="I19" s="2"/>
      <c r="J19" s="22"/>
      <c r="K19" s="2"/>
      <c r="L19" s="2">
        <f t="shared" si="0"/>
        <v>54055.34</v>
      </c>
      <c r="M19" s="2"/>
      <c r="N19" s="22">
        <f t="shared" si="1"/>
        <v>0</v>
      </c>
      <c r="O19" s="11"/>
      <c r="P19" s="2">
        <f>--389247.05</f>
        <v>389247.05</v>
      </c>
      <c r="Q19" s="2"/>
      <c r="R19" s="22"/>
      <c r="S19" s="2"/>
      <c r="T19" s="2"/>
      <c r="U19" s="2"/>
      <c r="V19" s="22"/>
      <c r="W19" s="2"/>
      <c r="X19" s="2">
        <f t="shared" si="2"/>
        <v>389247.05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"4041", " - ", "TAXABLE SALES-LOGO GIFTS")</f>
        <v xml:space="preserve">          4041 - TAXABLE SALES-LOGO GIFTS</v>
      </c>
      <c r="C20" s="11"/>
      <c r="D20" s="2">
        <f>--26720.7</f>
        <v>26720.7</v>
      </c>
      <c r="E20" s="2"/>
      <c r="F20" s="22"/>
      <c r="G20" s="2"/>
      <c r="H20" s="2"/>
      <c r="I20" s="2"/>
      <c r="J20" s="22"/>
      <c r="K20" s="2"/>
      <c r="L20" s="2">
        <f t="shared" si="0"/>
        <v>26720.7</v>
      </c>
      <c r="M20" s="2"/>
      <c r="N20" s="22">
        <f t="shared" si="1"/>
        <v>0</v>
      </c>
      <c r="O20" s="11"/>
      <c r="P20" s="2">
        <f>--117726.63</f>
        <v>117726.63</v>
      </c>
      <c r="Q20" s="2"/>
      <c r="R20" s="22"/>
      <c r="S20" s="2"/>
      <c r="T20" s="2"/>
      <c r="U20" s="2"/>
      <c r="V20" s="22"/>
      <c r="W20" s="2"/>
      <c r="X20" s="2">
        <f t="shared" si="2"/>
        <v>117726.63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--5908.46</f>
        <v>5908.46</v>
      </c>
      <c r="E21" s="2"/>
      <c r="F21" s="22"/>
      <c r="G21" s="2"/>
      <c r="H21" s="2"/>
      <c r="I21" s="2"/>
      <c r="J21" s="22"/>
      <c r="K21" s="2"/>
      <c r="L21" s="2">
        <f t="shared" si="0"/>
        <v>5908.46</v>
      </c>
      <c r="M21" s="2"/>
      <c r="N21" s="22">
        <f t="shared" si="1"/>
        <v>0</v>
      </c>
      <c r="O21" s="11"/>
      <c r="P21" s="2">
        <f>--45889.91</f>
        <v>45889.91</v>
      </c>
      <c r="Q21" s="2"/>
      <c r="R21" s="22"/>
      <c r="S21" s="2"/>
      <c r="T21" s="2"/>
      <c r="U21" s="2"/>
      <c r="V21" s="22"/>
      <c r="W21" s="2"/>
      <c r="X21" s="2">
        <f t="shared" si="2"/>
        <v>45889.91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"4043", " - ", "TAXABLE SALES-CARDS")</f>
        <v xml:space="preserve">          4043 - TAXABLE SALES-CARDS</v>
      </c>
      <c r="C22" s="11"/>
      <c r="D22" s="2">
        <f>--32553.7</f>
        <v>32553.7</v>
      </c>
      <c r="E22" s="2"/>
      <c r="F22" s="22"/>
      <c r="G22" s="2"/>
      <c r="H22" s="2"/>
      <c r="I22" s="2"/>
      <c r="J22" s="22"/>
      <c r="K22" s="2"/>
      <c r="L22" s="2">
        <f t="shared" si="0"/>
        <v>32553.7</v>
      </c>
      <c r="M22" s="2"/>
      <c r="N22" s="22">
        <f t="shared" si="1"/>
        <v>0</v>
      </c>
      <c r="O22" s="11"/>
      <c r="P22" s="2">
        <f>--86852.96</f>
        <v>86852.96</v>
      </c>
      <c r="Q22" s="2"/>
      <c r="R22" s="22"/>
      <c r="S22" s="2"/>
      <c r="T22" s="2"/>
      <c r="U22" s="2"/>
      <c r="V22" s="22"/>
      <c r="W22" s="2"/>
      <c r="X22" s="2">
        <f t="shared" si="2"/>
        <v>86852.96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"4044", " - ", "TAXABLE SALES-ACCESSORIES")</f>
        <v xml:space="preserve">          4044 - TAXABLE SALES-ACCESSORIES</v>
      </c>
      <c r="C23" s="11"/>
      <c r="D23" s="2">
        <f>--10654.64</f>
        <v>10654.64</v>
      </c>
      <c r="E23" s="2"/>
      <c r="F23" s="22"/>
      <c r="G23" s="2"/>
      <c r="H23" s="2"/>
      <c r="I23" s="2"/>
      <c r="J23" s="22"/>
      <c r="K23" s="2"/>
      <c r="L23" s="2">
        <f t="shared" si="0"/>
        <v>10654.64</v>
      </c>
      <c r="M23" s="2"/>
      <c r="N23" s="22">
        <f t="shared" si="1"/>
        <v>0</v>
      </c>
      <c r="O23" s="11"/>
      <c r="P23" s="2">
        <f>--24432.81</f>
        <v>24432.81</v>
      </c>
      <c r="Q23" s="2"/>
      <c r="R23" s="22"/>
      <c r="S23" s="2"/>
      <c r="T23" s="2"/>
      <c r="U23" s="2"/>
      <c r="V23" s="22"/>
      <c r="W23" s="2"/>
      <c r="X23" s="2">
        <f t="shared" si="2"/>
        <v>24432.81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--13809.08</f>
        <v>13809.08</v>
      </c>
      <c r="E24" s="2"/>
      <c r="F24" s="22"/>
      <c r="G24" s="2"/>
      <c r="H24" s="2"/>
      <c r="I24" s="2"/>
      <c r="J24" s="22"/>
      <c r="K24" s="2"/>
      <c r="L24" s="2">
        <f t="shared" si="0"/>
        <v>13809.08</v>
      </c>
      <c r="M24" s="2"/>
      <c r="N24" s="22">
        <f t="shared" si="1"/>
        <v>0</v>
      </c>
      <c r="O24" s="11"/>
      <c r="P24" s="2">
        <f>--121734.78</f>
        <v>121734.78</v>
      </c>
      <c r="Q24" s="2"/>
      <c r="R24" s="22"/>
      <c r="S24" s="2"/>
      <c r="T24" s="2"/>
      <c r="U24" s="2"/>
      <c r="V24" s="22"/>
      <c r="W24" s="2"/>
      <c r="X24" s="2">
        <f t="shared" si="2"/>
        <v>121734.78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--52.68</f>
        <v>52.68</v>
      </c>
      <c r="Q25" s="2"/>
      <c r="R25" s="22"/>
      <c r="S25" s="2"/>
      <c r="T25" s="2"/>
      <c r="U25" s="2"/>
      <c r="V25" s="22"/>
      <c r="W25" s="2"/>
      <c r="X25" s="2">
        <f t="shared" si="2"/>
        <v>52.68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--259.53</f>
        <v>259.52999999999997</v>
      </c>
      <c r="E26" s="2"/>
      <c r="F26" s="22"/>
      <c r="G26" s="2"/>
      <c r="H26" s="2"/>
      <c r="I26" s="2"/>
      <c r="J26" s="22"/>
      <c r="K26" s="2"/>
      <c r="L26" s="2">
        <f t="shared" si="0"/>
        <v>259.52999999999997</v>
      </c>
      <c r="M26" s="2"/>
      <c r="N26" s="22">
        <f t="shared" si="1"/>
        <v>0</v>
      </c>
      <c r="O26" s="11"/>
      <c r="P26" s="2">
        <f>--3206.11</f>
        <v>3206.11</v>
      </c>
      <c r="Q26" s="2"/>
      <c r="R26" s="22"/>
      <c r="S26" s="2"/>
      <c r="T26" s="2"/>
      <c r="U26" s="2"/>
      <c r="V26" s="22"/>
      <c r="W26" s="2"/>
      <c r="X26" s="2">
        <f t="shared" si="2"/>
        <v>3206.11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"4128", " - ", "NON-TAXABLE SALES-ART/TECH")</f>
        <v xml:space="preserve">          4128 - NON-TAXABLE SALES-ART/TECH</v>
      </c>
      <c r="C27" s="11"/>
      <c r="D27" s="2">
        <f>0</f>
        <v>0</v>
      </c>
      <c r="E27" s="2"/>
      <c r="F27" s="22"/>
      <c r="G27" s="2"/>
      <c r="H27" s="2"/>
      <c r="I27" s="2"/>
      <c r="J27" s="22"/>
      <c r="K27" s="2"/>
      <c r="L27" s="2">
        <f t="shared" si="0"/>
        <v>0</v>
      </c>
      <c r="M27" s="2"/>
      <c r="N27" s="22">
        <f t="shared" si="1"/>
        <v>0</v>
      </c>
      <c r="O27" s="11"/>
      <c r="P27" s="2">
        <f>--24.78</f>
        <v>24.78</v>
      </c>
      <c r="Q27" s="2"/>
      <c r="R27" s="22"/>
      <c r="S27" s="2"/>
      <c r="T27" s="2"/>
      <c r="U27" s="2"/>
      <c r="V27" s="22"/>
      <c r="W27" s="2"/>
      <c r="X27" s="2">
        <f t="shared" si="2"/>
        <v>24.78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"4131", " - ", "NON-TAXABLE SALES-FOOD")</f>
        <v xml:space="preserve">          4131 - NON-TAXABLE SALES-FOOD</v>
      </c>
      <c r="C28" s="11"/>
      <c r="D28" s="2">
        <f>--1031.32</f>
        <v>1031.32</v>
      </c>
      <c r="E28" s="2"/>
      <c r="F28" s="22"/>
      <c r="G28" s="2"/>
      <c r="H28" s="2"/>
      <c r="I28" s="2"/>
      <c r="J28" s="22"/>
      <c r="K28" s="2"/>
      <c r="L28" s="2">
        <f t="shared" si="0"/>
        <v>1031.32</v>
      </c>
      <c r="M28" s="2"/>
      <c r="N28" s="22">
        <f t="shared" si="1"/>
        <v>0</v>
      </c>
      <c r="O28" s="11"/>
      <c r="P28" s="2">
        <f>--5657.49</f>
        <v>5657.49</v>
      </c>
      <c r="Q28" s="2"/>
      <c r="R28" s="22"/>
      <c r="S28" s="2"/>
      <c r="T28" s="2"/>
      <c r="U28" s="2"/>
      <c r="V28" s="22"/>
      <c r="W28" s="2"/>
      <c r="X28" s="2">
        <f t="shared" si="2"/>
        <v>5657.49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ref="D29:D32" si="4">0</f>
        <v>0</v>
      </c>
      <c r="E29" s="2"/>
      <c r="F29" s="22"/>
      <c r="G29" s="2"/>
      <c r="H29" s="2"/>
      <c r="I29" s="2"/>
      <c r="J29" s="22"/>
      <c r="K29" s="2"/>
      <c r="L29" s="2">
        <f t="shared" si="0"/>
        <v>0</v>
      </c>
      <c r="M29" s="2"/>
      <c r="N29" s="22">
        <f t="shared" si="1"/>
        <v>0</v>
      </c>
      <c r="O29" s="11"/>
      <c r="P29" s="2">
        <f>--22.49</f>
        <v>22.49</v>
      </c>
      <c r="Q29" s="2"/>
      <c r="R29" s="22"/>
      <c r="S29" s="2"/>
      <c r="T29" s="2"/>
      <c r="U29" s="2"/>
      <c r="V29" s="22"/>
      <c r="W29" s="2"/>
      <c r="X29" s="2">
        <f t="shared" si="2"/>
        <v>22.49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4"/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--80.71</f>
        <v>80.709999999999994</v>
      </c>
      <c r="Q30" s="2"/>
      <c r="R30" s="22"/>
      <c r="S30" s="2"/>
      <c r="T30" s="2"/>
      <c r="U30" s="2"/>
      <c r="V30" s="22"/>
      <c r="W30" s="2"/>
      <c r="X30" s="2">
        <f t="shared" si="2"/>
        <v>80.709999999999994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"4134", " - ", "NON-TAXABLE SALES-SODA")</f>
        <v xml:space="preserve">          4134 - NON-TAXABLE SALES-SODA</v>
      </c>
      <c r="C31" s="11"/>
      <c r="D31" s="2">
        <f t="shared" si="4"/>
        <v>0</v>
      </c>
      <c r="E31" s="2"/>
      <c r="F31" s="22"/>
      <c r="G31" s="2"/>
      <c r="H31" s="2"/>
      <c r="I31" s="2"/>
      <c r="J31" s="22"/>
      <c r="K31" s="2"/>
      <c r="L31" s="2">
        <f t="shared" si="0"/>
        <v>0</v>
      </c>
      <c r="M31" s="2"/>
      <c r="N31" s="22">
        <f t="shared" si="1"/>
        <v>0</v>
      </c>
      <c r="O31" s="11"/>
      <c r="P31" s="2">
        <f>--45.53</f>
        <v>45.53</v>
      </c>
      <c r="Q31" s="2"/>
      <c r="R31" s="22"/>
      <c r="S31" s="2"/>
      <c r="T31" s="2"/>
      <c r="U31" s="2"/>
      <c r="V31" s="22"/>
      <c r="W31" s="2"/>
      <c r="X31" s="2">
        <f t="shared" si="2"/>
        <v>45.53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4"/>
        <v>0</v>
      </c>
      <c r="E32" s="2"/>
      <c r="F32" s="22"/>
      <c r="G32" s="2"/>
      <c r="H32" s="2"/>
      <c r="I32" s="2"/>
      <c r="J32" s="22"/>
      <c r="K32" s="2"/>
      <c r="L32" s="2">
        <f t="shared" si="0"/>
        <v>0</v>
      </c>
      <c r="M32" s="2"/>
      <c r="N32" s="22">
        <f t="shared" si="1"/>
        <v>0</v>
      </c>
      <c r="O32" s="11"/>
      <c r="P32" s="2">
        <f>--59.25</f>
        <v>59.25</v>
      </c>
      <c r="Q32" s="2"/>
      <c r="R32" s="22"/>
      <c r="S32" s="2"/>
      <c r="T32" s="2"/>
      <c r="U32" s="2"/>
      <c r="V32" s="22"/>
      <c r="W32" s="2"/>
      <c r="X32" s="2">
        <f t="shared" si="2"/>
        <v>59.25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"4140", " - ", "NON-TAXABLE SALES-LOGO CLOTHIN")</f>
        <v xml:space="preserve">          4140 - NON-TAXABLE SALES-LOGO CLOTHIN</v>
      </c>
      <c r="C33" s="11"/>
      <c r="D33" s="2">
        <f>--53650.7</f>
        <v>53650.7</v>
      </c>
      <c r="E33" s="2"/>
      <c r="F33" s="22"/>
      <c r="G33" s="2"/>
      <c r="H33" s="2"/>
      <c r="I33" s="2"/>
      <c r="J33" s="22"/>
      <c r="K33" s="2"/>
      <c r="L33" s="2">
        <f t="shared" si="0"/>
        <v>53650.7</v>
      </c>
      <c r="M33" s="2"/>
      <c r="N33" s="22">
        <f t="shared" si="1"/>
        <v>0</v>
      </c>
      <c r="O33" s="11"/>
      <c r="P33" s="2">
        <f>--103805.19</f>
        <v>103805.19</v>
      </c>
      <c r="Q33" s="2"/>
      <c r="R33" s="22"/>
      <c r="S33" s="2"/>
      <c r="T33" s="2"/>
      <c r="U33" s="2"/>
      <c r="V33" s="22"/>
      <c r="W33" s="2"/>
      <c r="X33" s="2">
        <f t="shared" si="2"/>
        <v>103805.19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"4141", " - ", "NON-TAXABLE SALES-LOGO GIFTS")</f>
        <v xml:space="preserve">          4141 - NON-TAXABLE SALES-LOGO GIFTS</v>
      </c>
      <c r="C34" s="11"/>
      <c r="D34" s="2">
        <f>--1772.08</f>
        <v>1772.08</v>
      </c>
      <c r="E34" s="2"/>
      <c r="F34" s="22"/>
      <c r="G34" s="2"/>
      <c r="H34" s="2"/>
      <c r="I34" s="2"/>
      <c r="J34" s="22"/>
      <c r="K34" s="2"/>
      <c r="L34" s="2">
        <f t="shared" si="0"/>
        <v>1772.08</v>
      </c>
      <c r="M34" s="2"/>
      <c r="N34" s="22">
        <f t="shared" si="1"/>
        <v>0</v>
      </c>
      <c r="O34" s="11"/>
      <c r="P34" s="2">
        <f>--5449.6</f>
        <v>5449.6</v>
      </c>
      <c r="Q34" s="2"/>
      <c r="R34" s="22"/>
      <c r="S34" s="2"/>
      <c r="T34" s="2"/>
      <c r="U34" s="2"/>
      <c r="V34" s="22"/>
      <c r="W34" s="2"/>
      <c r="X34" s="2">
        <f t="shared" si="2"/>
        <v>5449.6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"4142", " - ", "NON-TAXABLE SALES-EVERYDAY GIF")</f>
        <v xml:space="preserve">          4142 - NON-TAXABLE SALES-EVERYDAY GIF</v>
      </c>
      <c r="C35" s="11"/>
      <c r="D35" s="2">
        <f>0</f>
        <v>0</v>
      </c>
      <c r="E35" s="2"/>
      <c r="F35" s="22"/>
      <c r="G35" s="2"/>
      <c r="H35" s="2"/>
      <c r="I35" s="2"/>
      <c r="J35" s="22"/>
      <c r="K35" s="2"/>
      <c r="L35" s="2">
        <f t="shared" si="0"/>
        <v>0</v>
      </c>
      <c r="M35" s="2"/>
      <c r="N35" s="22">
        <f t="shared" si="1"/>
        <v>0</v>
      </c>
      <c r="O35" s="11"/>
      <c r="P35" s="2">
        <f>--1097.6</f>
        <v>1097.5999999999999</v>
      </c>
      <c r="Q35" s="2"/>
      <c r="R35" s="22"/>
      <c r="S35" s="2"/>
      <c r="T35" s="2"/>
      <c r="U35" s="2"/>
      <c r="V35" s="22"/>
      <c r="W35" s="2"/>
      <c r="X35" s="2">
        <f t="shared" si="2"/>
        <v>1097.5999999999999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"4143", " - ", "NON-TAXABLE SALES-CARDS")</f>
        <v xml:space="preserve">          4143 - NON-TAXABLE SALES-CARDS</v>
      </c>
      <c r="C36" s="11"/>
      <c r="D36" s="2">
        <f>--1697.07</f>
        <v>1697.07</v>
      </c>
      <c r="E36" s="2"/>
      <c r="F36" s="22"/>
      <c r="G36" s="2"/>
      <c r="H36" s="2"/>
      <c r="I36" s="2"/>
      <c r="J36" s="22"/>
      <c r="K36" s="2"/>
      <c r="L36" s="2">
        <f t="shared" si="0"/>
        <v>1697.07</v>
      </c>
      <c r="M36" s="2"/>
      <c r="N36" s="22">
        <f t="shared" si="1"/>
        <v>0</v>
      </c>
      <c r="O36" s="11"/>
      <c r="P36" s="2">
        <f>--1737.03</f>
        <v>1737.03</v>
      </c>
      <c r="Q36" s="2"/>
      <c r="R36" s="22"/>
      <c r="S36" s="2"/>
      <c r="T36" s="2"/>
      <c r="U36" s="2"/>
      <c r="V36" s="22"/>
      <c r="W36" s="2"/>
      <c r="X36" s="2">
        <f t="shared" si="2"/>
        <v>1737.03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"4144", " - ", "NON-TAXABLE SALES-ACCESSORIES")</f>
        <v xml:space="preserve">          4144 - NON-TAXABLE SALES-ACCESSORIES</v>
      </c>
      <c r="C37" s="11"/>
      <c r="D37" s="2">
        <f>--99.8</f>
        <v>99.8</v>
      </c>
      <c r="E37" s="2"/>
      <c r="F37" s="22"/>
      <c r="G37" s="2"/>
      <c r="H37" s="2"/>
      <c r="I37" s="2"/>
      <c r="J37" s="22"/>
      <c r="K37" s="2"/>
      <c r="L37" s="2">
        <f t="shared" si="0"/>
        <v>99.8</v>
      </c>
      <c r="M37" s="2"/>
      <c r="N37" s="22">
        <f t="shared" si="1"/>
        <v>0</v>
      </c>
      <c r="O37" s="11"/>
      <c r="P37" s="2">
        <f>--489.5</f>
        <v>489.5</v>
      </c>
      <c r="Q37" s="2"/>
      <c r="R37" s="22"/>
      <c r="S37" s="2"/>
      <c r="T37" s="2"/>
      <c r="U37" s="2"/>
      <c r="V37" s="22"/>
      <c r="W37" s="2"/>
      <c r="X37" s="2">
        <f t="shared" si="2"/>
        <v>489.5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"4145", " - ", "NON-TAXABLE SALES-SPECIAL ORDE")</f>
        <v xml:space="preserve">          4145 - NON-TAXABLE SALES-SPECIAL ORDE</v>
      </c>
      <c r="C38" s="11"/>
      <c r="D38" s="2">
        <f>--16747.77</f>
        <v>16747.77</v>
      </c>
      <c r="E38" s="2"/>
      <c r="F38" s="22"/>
      <c r="G38" s="2"/>
      <c r="H38" s="2"/>
      <c r="I38" s="2"/>
      <c r="J38" s="22"/>
      <c r="K38" s="2"/>
      <c r="L38" s="2">
        <f t="shared" si="0"/>
        <v>16747.77</v>
      </c>
      <c r="M38" s="2"/>
      <c r="N38" s="22">
        <f t="shared" si="1"/>
        <v>0</v>
      </c>
      <c r="O38" s="11"/>
      <c r="P38" s="2">
        <f>--55386.77</f>
        <v>55386.77</v>
      </c>
      <c r="Q38" s="2"/>
      <c r="R38" s="22"/>
      <c r="S38" s="2"/>
      <c r="T38" s="2"/>
      <c r="U38" s="2"/>
      <c r="V38" s="22"/>
      <c r="W38" s="2"/>
      <c r="X38" s="2">
        <f t="shared" si="2"/>
        <v>55386.77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>0</f>
        <v>0</v>
      </c>
      <c r="E39" s="2"/>
      <c r="F39" s="22"/>
      <c r="G39" s="2"/>
      <c r="H39" s="2"/>
      <c r="I39" s="2"/>
      <c r="J39" s="22"/>
      <c r="K39" s="2"/>
      <c r="L39" s="2">
        <f t="shared" si="0"/>
        <v>0</v>
      </c>
      <c r="M39" s="2"/>
      <c r="N39" s="22">
        <f t="shared" si="1"/>
        <v>0</v>
      </c>
      <c r="O39" s="11"/>
      <c r="P39" s="2">
        <f>-6.38</f>
        <v>-6.38</v>
      </c>
      <c r="Q39" s="2"/>
      <c r="R39" s="22"/>
      <c r="S39" s="2"/>
      <c r="T39" s="2"/>
      <c r="U39" s="2"/>
      <c r="V39" s="22"/>
      <c r="W39" s="2"/>
      <c r="X39" s="2">
        <f t="shared" si="2"/>
        <v>-6.38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-16.6</f>
        <v>-16.600000000000001</v>
      </c>
      <c r="E40" s="2"/>
      <c r="F40" s="22"/>
      <c r="G40" s="2"/>
      <c r="H40" s="2"/>
      <c r="I40" s="2"/>
      <c r="J40" s="22"/>
      <c r="K40" s="2"/>
      <c r="L40" s="2">
        <f t="shared" si="0"/>
        <v>-16.600000000000001</v>
      </c>
      <c r="M40" s="2"/>
      <c r="N40" s="22">
        <f t="shared" si="1"/>
        <v>0</v>
      </c>
      <c r="O40" s="11"/>
      <c r="P40" s="2">
        <f>-437.27</f>
        <v>-437.27</v>
      </c>
      <c r="Q40" s="2"/>
      <c r="R40" s="22"/>
      <c r="S40" s="2"/>
      <c r="T40" s="2"/>
      <c r="U40" s="2"/>
      <c r="V40" s="22"/>
      <c r="W40" s="2"/>
      <c r="X40" s="2">
        <f t="shared" si="2"/>
        <v>-437.27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0</f>
        <v>0</v>
      </c>
      <c r="E41" s="2"/>
      <c r="F41" s="22"/>
      <c r="G41" s="2"/>
      <c r="H41" s="2"/>
      <c r="I41" s="2"/>
      <c r="J41" s="22"/>
      <c r="K41" s="2"/>
      <c r="L41" s="2">
        <f t="shared" si="0"/>
        <v>0</v>
      </c>
      <c r="M41" s="2"/>
      <c r="N41" s="22">
        <f t="shared" si="1"/>
        <v>0</v>
      </c>
      <c r="O41" s="11"/>
      <c r="P41" s="2">
        <f>-32.49</f>
        <v>-32.49</v>
      </c>
      <c r="Q41" s="2"/>
      <c r="R41" s="22"/>
      <c r="S41" s="2"/>
      <c r="T41" s="2"/>
      <c r="U41" s="2"/>
      <c r="V41" s="22"/>
      <c r="W41" s="2"/>
      <c r="X41" s="2">
        <f t="shared" si="2"/>
        <v>-32.49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-3521.73</f>
        <v>-3521.73</v>
      </c>
      <c r="E42" s="2"/>
      <c r="F42" s="22"/>
      <c r="G42" s="2"/>
      <c r="H42" s="2"/>
      <c r="I42" s="2"/>
      <c r="J42" s="22"/>
      <c r="K42" s="2"/>
      <c r="L42" s="2">
        <f t="shared" si="0"/>
        <v>-3521.73</v>
      </c>
      <c r="M42" s="2"/>
      <c r="N42" s="22">
        <f t="shared" si="1"/>
        <v>0</v>
      </c>
      <c r="O42" s="11"/>
      <c r="P42" s="2">
        <f>-16327.37</f>
        <v>-16327.37</v>
      </c>
      <c r="Q42" s="2"/>
      <c r="R42" s="22"/>
      <c r="S42" s="2"/>
      <c r="T42" s="2"/>
      <c r="U42" s="2"/>
      <c r="V42" s="22"/>
      <c r="W42" s="2"/>
      <c r="X42" s="2">
        <f t="shared" si="2"/>
        <v>-16327.37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-623</f>
        <v>-623</v>
      </c>
      <c r="E43" s="2"/>
      <c r="F43" s="22"/>
      <c r="G43" s="2"/>
      <c r="H43" s="2"/>
      <c r="I43" s="2"/>
      <c r="J43" s="22"/>
      <c r="K43" s="2"/>
      <c r="L43" s="2">
        <f t="shared" si="0"/>
        <v>-623</v>
      </c>
      <c r="M43" s="2"/>
      <c r="N43" s="22">
        <f t="shared" si="1"/>
        <v>0</v>
      </c>
      <c r="O43" s="11"/>
      <c r="P43" s="2">
        <f>-2447.25</f>
        <v>-2447.25</v>
      </c>
      <c r="Q43" s="2"/>
      <c r="R43" s="22"/>
      <c r="S43" s="2"/>
      <c r="T43" s="2"/>
      <c r="U43" s="2"/>
      <c r="V43" s="22"/>
      <c r="W43" s="2"/>
      <c r="X43" s="2">
        <f t="shared" si="2"/>
        <v>-2447.25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-151.56</f>
        <v>-151.56</v>
      </c>
      <c r="E44" s="2"/>
      <c r="F44" s="22"/>
      <c r="G44" s="2"/>
      <c r="H44" s="2"/>
      <c r="I44" s="2"/>
      <c r="J44" s="22"/>
      <c r="K44" s="2"/>
      <c r="L44" s="2">
        <f t="shared" si="0"/>
        <v>-151.56</v>
      </c>
      <c r="M44" s="2"/>
      <c r="N44" s="22">
        <f t="shared" si="1"/>
        <v>0</v>
      </c>
      <c r="O44" s="11"/>
      <c r="P44" s="2">
        <f>-1365.77</f>
        <v>-1365.77</v>
      </c>
      <c r="Q44" s="2"/>
      <c r="R44" s="22"/>
      <c r="S44" s="2"/>
      <c r="T44" s="2"/>
      <c r="U44" s="2"/>
      <c r="V44" s="22"/>
      <c r="W44" s="2"/>
      <c r="X44" s="2">
        <f t="shared" si="2"/>
        <v>-1365.77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"4243", " - ", "SALES RETURN TAXABLE-CARDS")</f>
        <v xml:space="preserve">          4243 - SALES RETURN TAXABLE-CARDS</v>
      </c>
      <c r="C45" s="11"/>
      <c r="D45" s="2">
        <f>-1765.08</f>
        <v>-1765.08</v>
      </c>
      <c r="E45" s="2"/>
      <c r="F45" s="22"/>
      <c r="G45" s="2"/>
      <c r="H45" s="2"/>
      <c r="I45" s="2"/>
      <c r="J45" s="22"/>
      <c r="K45" s="2"/>
      <c r="L45" s="2">
        <f t="shared" si="0"/>
        <v>-1765.08</v>
      </c>
      <c r="M45" s="2"/>
      <c r="N45" s="22">
        <f t="shared" si="1"/>
        <v>0</v>
      </c>
      <c r="O45" s="11"/>
      <c r="P45" s="2">
        <f>-3577.54</f>
        <v>-3577.54</v>
      </c>
      <c r="Q45" s="2"/>
      <c r="R45" s="22"/>
      <c r="S45" s="2"/>
      <c r="T45" s="2"/>
      <c r="U45" s="2"/>
      <c r="V45" s="22"/>
      <c r="W45" s="2"/>
      <c r="X45" s="2">
        <f t="shared" si="2"/>
        <v>-3577.54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-270</f>
        <v>-270</v>
      </c>
      <c r="E46" s="2"/>
      <c r="F46" s="22"/>
      <c r="G46" s="2"/>
      <c r="H46" s="2"/>
      <c r="I46" s="2"/>
      <c r="J46" s="22"/>
      <c r="K46" s="2"/>
      <c r="L46" s="2">
        <f t="shared" si="0"/>
        <v>-270</v>
      </c>
      <c r="M46" s="2"/>
      <c r="N46" s="22">
        <f t="shared" si="1"/>
        <v>0</v>
      </c>
      <c r="O46" s="11"/>
      <c r="P46" s="2">
        <f>-860.94</f>
        <v>-860.94</v>
      </c>
      <c r="Q46" s="2"/>
      <c r="R46" s="22"/>
      <c r="S46" s="2"/>
      <c r="T46" s="2"/>
      <c r="U46" s="2"/>
      <c r="V46" s="22"/>
      <c r="W46" s="2"/>
      <c r="X46" s="2">
        <f t="shared" si="2"/>
        <v>-860.94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-9752.79</f>
        <v>-9752.7900000000009</v>
      </c>
      <c r="E47" s="2"/>
      <c r="F47" s="22"/>
      <c r="G47" s="2"/>
      <c r="H47" s="2"/>
      <c r="I47" s="2"/>
      <c r="J47" s="22"/>
      <c r="K47" s="2"/>
      <c r="L47" s="2">
        <f t="shared" si="0"/>
        <v>-9752.7900000000009</v>
      </c>
      <c r="M47" s="2"/>
      <c r="N47" s="22">
        <f t="shared" si="1"/>
        <v>0</v>
      </c>
      <c r="O47" s="11"/>
      <c r="P47" s="2">
        <f>-11338.61</f>
        <v>-11338.61</v>
      </c>
      <c r="Q47" s="2"/>
      <c r="R47" s="22"/>
      <c r="S47" s="2"/>
      <c r="T47" s="2"/>
      <c r="U47" s="2"/>
      <c r="V47" s="22"/>
      <c r="W47" s="2"/>
      <c r="X47" s="2">
        <f t="shared" si="2"/>
        <v>-11338.61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"4340", " - ", "SALES RETURN NON TAXABLE-LOGO")</f>
        <v xml:space="preserve">          4340 - SALES RETURN NON TAXABLE-LOGO</v>
      </c>
      <c r="C48" s="11"/>
      <c r="D48" s="2">
        <f>-543.24</f>
        <v>-543.24</v>
      </c>
      <c r="E48" s="2"/>
      <c r="F48" s="22"/>
      <c r="G48" s="2"/>
      <c r="H48" s="2"/>
      <c r="I48" s="2"/>
      <c r="J48" s="22"/>
      <c r="K48" s="2"/>
      <c r="L48" s="2">
        <f t="shared" si="0"/>
        <v>-543.24</v>
      </c>
      <c r="M48" s="2"/>
      <c r="N48" s="22">
        <f t="shared" si="1"/>
        <v>0</v>
      </c>
      <c r="O48" s="11"/>
      <c r="P48" s="2">
        <f>-1483.72</f>
        <v>-1483.72</v>
      </c>
      <c r="Q48" s="2"/>
      <c r="R48" s="22"/>
      <c r="S48" s="2"/>
      <c r="T48" s="2"/>
      <c r="U48" s="2"/>
      <c r="V48" s="22"/>
      <c r="W48" s="2"/>
      <c r="X48" s="2">
        <f t="shared" si="2"/>
        <v>-1483.72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"4341", " - ", "SALES RETURN NON TAXABLE-LOGO")</f>
        <v xml:space="preserve">          4341 - SALES RETURN NON TAXABLE-LOGO</v>
      </c>
      <c r="C49" s="11"/>
      <c r="D49" s="2">
        <f>-33.85</f>
        <v>-33.85</v>
      </c>
      <c r="E49" s="2"/>
      <c r="F49" s="22"/>
      <c r="G49" s="2"/>
      <c r="H49" s="2"/>
      <c r="I49" s="2"/>
      <c r="J49" s="22"/>
      <c r="K49" s="2"/>
      <c r="L49" s="2">
        <f t="shared" si="0"/>
        <v>-33.85</v>
      </c>
      <c r="M49" s="2"/>
      <c r="N49" s="22">
        <f t="shared" si="1"/>
        <v>0</v>
      </c>
      <c r="O49" s="11"/>
      <c r="P49" s="2">
        <f>-335.64</f>
        <v>-335.64</v>
      </c>
      <c r="Q49" s="2"/>
      <c r="R49" s="22"/>
      <c r="S49" s="2"/>
      <c r="T49" s="2"/>
      <c r="U49" s="2"/>
      <c r="V49" s="22"/>
      <c r="W49" s="2"/>
      <c r="X49" s="2">
        <f t="shared" si="2"/>
        <v>-335.64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"4342", " - ", "SALES RETURN NON TAXABLE-EVERY")</f>
        <v xml:space="preserve">          4342 - SALES RETURN NON TAXABLE-EVERY</v>
      </c>
      <c r="C50" s="11"/>
      <c r="D50" s="2">
        <f>0</f>
        <v>0</v>
      </c>
      <c r="E50" s="2"/>
      <c r="F50" s="22"/>
      <c r="G50" s="2"/>
      <c r="H50" s="2"/>
      <c r="I50" s="2"/>
      <c r="J50" s="22"/>
      <c r="K50" s="2"/>
      <c r="L50" s="2">
        <f t="shared" si="0"/>
        <v>0</v>
      </c>
      <c r="M50" s="2"/>
      <c r="N50" s="22">
        <f t="shared" si="1"/>
        <v>0</v>
      </c>
      <c r="O50" s="11"/>
      <c r="P50" s="2">
        <f>-118.7</f>
        <v>-118.7</v>
      </c>
      <c r="Q50" s="2"/>
      <c r="R50" s="22"/>
      <c r="S50" s="2"/>
      <c r="T50" s="2"/>
      <c r="U50" s="2"/>
      <c r="V50" s="22"/>
      <c r="W50" s="2"/>
      <c r="X50" s="2">
        <f t="shared" si="2"/>
        <v>-118.7</v>
      </c>
      <c r="Y50" s="2"/>
      <c r="Z50" s="22">
        <f t="shared" si="3"/>
        <v>0</v>
      </c>
    </row>
    <row r="51" spans="1:26" x14ac:dyDescent="0.25">
      <c r="A51" s="9"/>
      <c r="B51" s="10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collapsed="1" x14ac:dyDescent="0.25">
      <c r="A52" s="10"/>
      <c r="B52" s="26" t="s">
        <v>8</v>
      </c>
      <c r="C52" s="10"/>
      <c r="D52" s="4">
        <f>SUM(OSRRefD16x_0)</f>
        <v>103947.99999999999</v>
      </c>
      <c r="E52" s="4"/>
      <c r="F52" s="12">
        <f t="shared" ref="F52:F74" si="5">IF(D$12=0,0,D52/D$12)</f>
        <v>0.59145151480788105</v>
      </c>
      <c r="G52" s="4"/>
      <c r="H52" s="4">
        <f>SUM(OSRRefH16x_0)</f>
        <v>113501</v>
      </c>
      <c r="I52" s="4"/>
      <c r="J52" s="12">
        <f t="shared" ref="J52:J74" si="6">IF(H$12=0,0,H52/H$12)</f>
        <v>0.46249918503064286</v>
      </c>
      <c r="K52" s="4"/>
      <c r="L52" s="4">
        <f t="shared" ref="L52:L74" si="7">+D52-H52</f>
        <v>-9553.0000000000146</v>
      </c>
      <c r="M52" s="4"/>
      <c r="N52" s="12">
        <f t="shared" ref="N52:N74" si="8">IF(H52=0,0,L52/H52)</f>
        <v>-8.416665932458757E-2</v>
      </c>
      <c r="O52" s="10"/>
      <c r="P52" s="4">
        <f>SUM(OSRRefP16x_0)</f>
        <v>534667.54</v>
      </c>
      <c r="Q52" s="4"/>
      <c r="R52" s="12">
        <f t="shared" ref="R52:R74" si="9">IF(P$12=0,0,P52/P$12)</f>
        <v>0.6037324425087498</v>
      </c>
      <c r="S52" s="4"/>
      <c r="T52" s="4">
        <f>SUM(OSRRefT16x_0)</f>
        <v>749068</v>
      </c>
      <c r="U52" s="4"/>
      <c r="V52" s="12">
        <f t="shared" ref="V52:V74" si="10">IF(T$12=0,0,T52/T$12)</f>
        <v>0.46250013892267627</v>
      </c>
      <c r="W52" s="4"/>
      <c r="X52" s="4">
        <f t="shared" ref="X52:X74" si="11">+P52-T52</f>
        <v>-214400.45999999996</v>
      </c>
      <c r="Y52" s="4"/>
      <c r="Z52" s="12">
        <f t="shared" ref="Z52:Z74" si="12">IF(T52=0,0,X52/T52)</f>
        <v>-0.28622295973129269</v>
      </c>
    </row>
    <row r="53" spans="1:26" s="24" customFormat="1" hidden="1" outlineLevel="1" x14ac:dyDescent="0.25">
      <c r="A53" s="51"/>
      <c r="B53" s="11" t="str">
        <f>CONCATENATE("          ", "5000", " - ", "PURCHASES @ COST")</f>
        <v xml:space="preserve">          5000 - PURCHASES @ COST</v>
      </c>
      <c r="C53" s="11"/>
      <c r="D53" s="2"/>
      <c r="E53" s="2"/>
      <c r="F53" s="22">
        <f t="shared" si="5"/>
        <v>0</v>
      </c>
      <c r="G53" s="2"/>
      <c r="H53" s="2">
        <v>113501</v>
      </c>
      <c r="I53" s="2"/>
      <c r="J53" s="22">
        <f t="shared" si="6"/>
        <v>0.46249918503064286</v>
      </c>
      <c r="K53" s="2"/>
      <c r="L53" s="2">
        <f t="shared" si="7"/>
        <v>-113501</v>
      </c>
      <c r="M53" s="2"/>
      <c r="N53" s="22">
        <f t="shared" si="8"/>
        <v>-1</v>
      </c>
      <c r="O53" s="11"/>
      <c r="P53" s="2"/>
      <c r="Q53" s="2"/>
      <c r="R53" s="22">
        <f t="shared" si="9"/>
        <v>0</v>
      </c>
      <c r="S53" s="2"/>
      <c r="T53" s="2">
        <v>749068</v>
      </c>
      <c r="U53" s="2"/>
      <c r="V53" s="22">
        <f t="shared" si="10"/>
        <v>0.46250013892267627</v>
      </c>
      <c r="W53" s="2"/>
      <c r="X53" s="2">
        <f t="shared" si="11"/>
        <v>-749068</v>
      </c>
      <c r="Y53" s="2"/>
      <c r="Z53" s="22">
        <f t="shared" si="12"/>
        <v>-1</v>
      </c>
    </row>
    <row r="54" spans="1:26" s="24" customFormat="1" hidden="1" outlineLevel="1" x14ac:dyDescent="0.25">
      <c r="A54" s="51"/>
      <c r="B54" s="11" t="str">
        <f>CONCATENATE("          ", "5025", " - ", "PURCHASES @ COST-TEST FORMS")</f>
        <v xml:space="preserve">          5025 - PURCHASES @ COST-TEST FORMS</v>
      </c>
      <c r="C54" s="11"/>
      <c r="D54" s="2"/>
      <c r="E54" s="2"/>
      <c r="F54" s="22">
        <f t="shared" si="5"/>
        <v>0</v>
      </c>
      <c r="G54" s="2"/>
      <c r="H54" s="2"/>
      <c r="I54" s="2"/>
      <c r="J54" s="22">
        <f t="shared" si="6"/>
        <v>0</v>
      </c>
      <c r="K54" s="2"/>
      <c r="L54" s="2">
        <f t="shared" si="7"/>
        <v>0</v>
      </c>
      <c r="M54" s="2"/>
      <c r="N54" s="22">
        <f t="shared" si="8"/>
        <v>0</v>
      </c>
      <c r="O54" s="11"/>
      <c r="P54" s="2">
        <v>599.29</v>
      </c>
      <c r="Q54" s="2"/>
      <c r="R54" s="22">
        <f t="shared" si="9"/>
        <v>6.7670241487087219E-4</v>
      </c>
      <c r="S54" s="2"/>
      <c r="T54" s="2"/>
      <c r="U54" s="2"/>
      <c r="V54" s="22">
        <f t="shared" si="10"/>
        <v>0</v>
      </c>
      <c r="W54" s="2"/>
      <c r="X54" s="2">
        <f t="shared" si="11"/>
        <v>599.29</v>
      </c>
      <c r="Y54" s="2"/>
      <c r="Z54" s="22">
        <f t="shared" si="12"/>
        <v>0</v>
      </c>
    </row>
    <row r="55" spans="1:26" s="24" customFormat="1" hidden="1" outlineLevel="1" x14ac:dyDescent="0.25">
      <c r="A55" s="51"/>
      <c r="B55" s="11" t="str">
        <f>CONCATENATE("          ", "5026", " - ", "PURCHASES @ COST-WRITING INSTR")</f>
        <v xml:space="preserve">          5026 - PURCHASES @ COST-WRITING INSTR</v>
      </c>
      <c r="C55" s="11"/>
      <c r="D55" s="2"/>
      <c r="E55" s="2"/>
      <c r="F55" s="22">
        <f t="shared" si="5"/>
        <v>0</v>
      </c>
      <c r="G55" s="2"/>
      <c r="H55" s="2"/>
      <c r="I55" s="2"/>
      <c r="J55" s="22">
        <f t="shared" si="6"/>
        <v>0</v>
      </c>
      <c r="K55" s="2"/>
      <c r="L55" s="2">
        <f t="shared" si="7"/>
        <v>0</v>
      </c>
      <c r="M55" s="2"/>
      <c r="N55" s="22">
        <f t="shared" si="8"/>
        <v>0</v>
      </c>
      <c r="O55" s="11"/>
      <c r="P55" s="2">
        <v>10</v>
      </c>
      <c r="Q55" s="2"/>
      <c r="R55" s="22">
        <f t="shared" si="9"/>
        <v>1.129173546815185E-5</v>
      </c>
      <c r="S55" s="2"/>
      <c r="T55" s="2"/>
      <c r="U55" s="2"/>
      <c r="V55" s="22">
        <f t="shared" si="10"/>
        <v>0</v>
      </c>
      <c r="W55" s="2"/>
      <c r="X55" s="2">
        <f t="shared" si="11"/>
        <v>10</v>
      </c>
      <c r="Y55" s="2"/>
      <c r="Z55" s="22">
        <f t="shared" si="12"/>
        <v>0</v>
      </c>
    </row>
    <row r="56" spans="1:26" s="24" customFormat="1" hidden="1" outlineLevel="1" x14ac:dyDescent="0.25">
      <c r="A56" s="51"/>
      <c r="B56" s="11" t="str">
        <f>CONCATENATE("          ", "5027", " - ", "PURCHASES @ COST-SCHOOL SUPPLI")</f>
        <v xml:space="preserve">          5027 - PURCHASES @ COST-SCHOOL SUPPLI</v>
      </c>
      <c r="C56" s="11"/>
      <c r="D56" s="2"/>
      <c r="E56" s="2"/>
      <c r="F56" s="22">
        <f t="shared" si="5"/>
        <v>0</v>
      </c>
      <c r="G56" s="2"/>
      <c r="H56" s="2"/>
      <c r="I56" s="2"/>
      <c r="J56" s="22">
        <f t="shared" si="6"/>
        <v>0</v>
      </c>
      <c r="K56" s="2"/>
      <c r="L56" s="2">
        <f t="shared" si="7"/>
        <v>0</v>
      </c>
      <c r="M56" s="2"/>
      <c r="N56" s="22">
        <f t="shared" si="8"/>
        <v>0</v>
      </c>
      <c r="O56" s="11"/>
      <c r="P56" s="2">
        <v>18175.88</v>
      </c>
      <c r="Q56" s="2"/>
      <c r="R56" s="22">
        <f t="shared" si="9"/>
        <v>2.0523722886087184E-2</v>
      </c>
      <c r="S56" s="2"/>
      <c r="T56" s="2"/>
      <c r="U56" s="2"/>
      <c r="V56" s="22">
        <f t="shared" si="10"/>
        <v>0</v>
      </c>
      <c r="W56" s="2"/>
      <c r="X56" s="2">
        <f t="shared" si="11"/>
        <v>18175.88</v>
      </c>
      <c r="Y56" s="2"/>
      <c r="Z56" s="22">
        <f t="shared" si="12"/>
        <v>0</v>
      </c>
    </row>
    <row r="57" spans="1:26" s="24" customFormat="1" hidden="1" outlineLevel="1" x14ac:dyDescent="0.25">
      <c r="A57" s="51"/>
      <c r="B57" s="11" t="str">
        <f>CONCATENATE("          ", "5028", " - ", "PURCHASES @ COST-ART/TECH")</f>
        <v xml:space="preserve">          5028 - PURCHASES @ COST-ART/TECH</v>
      </c>
      <c r="C57" s="11"/>
      <c r="D57" s="2"/>
      <c r="E57" s="2"/>
      <c r="F57" s="22">
        <f t="shared" si="5"/>
        <v>0</v>
      </c>
      <c r="G57" s="2"/>
      <c r="H57" s="2"/>
      <c r="I57" s="2"/>
      <c r="J57" s="22">
        <f t="shared" si="6"/>
        <v>0</v>
      </c>
      <c r="K57" s="2"/>
      <c r="L57" s="2">
        <f t="shared" si="7"/>
        <v>0</v>
      </c>
      <c r="M57" s="2"/>
      <c r="N57" s="22">
        <f t="shared" si="8"/>
        <v>0</v>
      </c>
      <c r="O57" s="11"/>
      <c r="P57" s="2">
        <v>-83.4</v>
      </c>
      <c r="Q57" s="2"/>
      <c r="R57" s="22">
        <f t="shared" si="9"/>
        <v>-9.4173073804386438E-5</v>
      </c>
      <c r="S57" s="2"/>
      <c r="T57" s="2"/>
      <c r="U57" s="2"/>
      <c r="V57" s="22">
        <f t="shared" si="10"/>
        <v>0</v>
      </c>
      <c r="W57" s="2"/>
      <c r="X57" s="2">
        <f t="shared" si="11"/>
        <v>-83.4</v>
      </c>
      <c r="Y57" s="2"/>
      <c r="Z57" s="22">
        <f t="shared" si="12"/>
        <v>0</v>
      </c>
    </row>
    <row r="58" spans="1:26" s="24" customFormat="1" hidden="1" outlineLevel="1" x14ac:dyDescent="0.25">
      <c r="A58" s="51"/>
      <c r="B58" s="11" t="str">
        <f>CONCATENATE("          ", "5031", " - ", "PURCHASES @ COST-FOOD")</f>
        <v xml:space="preserve">          5031 - PURCHASES @ COST-FOOD</v>
      </c>
      <c r="C58" s="11"/>
      <c r="D58" s="2">
        <v>-771.9</v>
      </c>
      <c r="E58" s="2"/>
      <c r="F58" s="22">
        <f t="shared" si="5"/>
        <v>-4.3920173960076518E-3</v>
      </c>
      <c r="G58" s="2"/>
      <c r="H58" s="2"/>
      <c r="I58" s="2"/>
      <c r="J58" s="22">
        <f t="shared" si="6"/>
        <v>0</v>
      </c>
      <c r="K58" s="2"/>
      <c r="L58" s="2">
        <f t="shared" si="7"/>
        <v>-771.9</v>
      </c>
      <c r="M58" s="2"/>
      <c r="N58" s="22">
        <f t="shared" si="8"/>
        <v>0</v>
      </c>
      <c r="O58" s="11"/>
      <c r="P58" s="2">
        <v>4833.53</v>
      </c>
      <c r="Q58" s="2"/>
      <c r="R58" s="22">
        <f t="shared" si="9"/>
        <v>5.457894213737601E-3</v>
      </c>
      <c r="S58" s="2"/>
      <c r="T58" s="2"/>
      <c r="U58" s="2"/>
      <c r="V58" s="22">
        <f t="shared" si="10"/>
        <v>0</v>
      </c>
      <c r="W58" s="2"/>
      <c r="X58" s="2">
        <f t="shared" si="11"/>
        <v>4833.53</v>
      </c>
      <c r="Y58" s="2"/>
      <c r="Z58" s="22">
        <f t="shared" si="12"/>
        <v>0</v>
      </c>
    </row>
    <row r="59" spans="1:26" s="24" customFormat="1" hidden="1" outlineLevel="1" x14ac:dyDescent="0.25">
      <c r="A59" s="51"/>
      <c r="B59" s="11" t="str">
        <f>CONCATENATE("          ", "5040", " - ", "PURCHASES @ COST-LOGO CLOTHING")</f>
        <v xml:space="preserve">          5040 - PURCHASES @ COST-LOGO CLOTHING</v>
      </c>
      <c r="C59" s="11"/>
      <c r="D59" s="2">
        <v>38175.120000000003</v>
      </c>
      <c r="E59" s="2"/>
      <c r="F59" s="22">
        <f t="shared" si="5"/>
        <v>0.21721180351687996</v>
      </c>
      <c r="G59" s="2"/>
      <c r="H59" s="2"/>
      <c r="I59" s="2"/>
      <c r="J59" s="22">
        <f t="shared" si="6"/>
        <v>0</v>
      </c>
      <c r="K59" s="2"/>
      <c r="L59" s="2">
        <f t="shared" si="7"/>
        <v>38175.120000000003</v>
      </c>
      <c r="M59" s="2"/>
      <c r="N59" s="22">
        <f t="shared" si="8"/>
        <v>0</v>
      </c>
      <c r="O59" s="11"/>
      <c r="P59" s="2">
        <v>132470.39999999999</v>
      </c>
      <c r="Q59" s="2"/>
      <c r="R59" s="22">
        <f t="shared" si="9"/>
        <v>0.14958207141602628</v>
      </c>
      <c r="S59" s="2"/>
      <c r="T59" s="2"/>
      <c r="U59" s="2"/>
      <c r="V59" s="22">
        <f t="shared" si="10"/>
        <v>0</v>
      </c>
      <c r="W59" s="2"/>
      <c r="X59" s="2">
        <f t="shared" si="11"/>
        <v>132470.39999999999</v>
      </c>
      <c r="Y59" s="2"/>
      <c r="Z59" s="22">
        <f t="shared" si="12"/>
        <v>0</v>
      </c>
    </row>
    <row r="60" spans="1:26" s="24" customFormat="1" hidden="1" outlineLevel="1" x14ac:dyDescent="0.25">
      <c r="A60" s="51"/>
      <c r="B60" s="11" t="str">
        <f>CONCATENATE("          ", "5041", " - ", "PURCHASES @ COST-LOGO GIFTS")</f>
        <v xml:space="preserve">          5041 - PURCHASES @ COST-LOGO GIFTS</v>
      </c>
      <c r="C60" s="11"/>
      <c r="D60" s="2">
        <v>5559.99</v>
      </c>
      <c r="E60" s="2"/>
      <c r="F60" s="22">
        <f t="shared" si="5"/>
        <v>3.1635668871134323E-2</v>
      </c>
      <c r="G60" s="2"/>
      <c r="H60" s="2"/>
      <c r="I60" s="2"/>
      <c r="J60" s="22">
        <f t="shared" si="6"/>
        <v>0</v>
      </c>
      <c r="K60" s="2"/>
      <c r="L60" s="2">
        <f t="shared" si="7"/>
        <v>5559.99</v>
      </c>
      <c r="M60" s="2"/>
      <c r="N60" s="22">
        <f t="shared" si="8"/>
        <v>0</v>
      </c>
      <c r="O60" s="11"/>
      <c r="P60" s="2">
        <v>31994.16</v>
      </c>
      <c r="Q60" s="2"/>
      <c r="R60" s="22">
        <f t="shared" si="9"/>
        <v>3.6126959124572519E-2</v>
      </c>
      <c r="S60" s="2"/>
      <c r="T60" s="2"/>
      <c r="U60" s="2"/>
      <c r="V60" s="22">
        <f t="shared" si="10"/>
        <v>0</v>
      </c>
      <c r="W60" s="2"/>
      <c r="X60" s="2">
        <f t="shared" si="11"/>
        <v>31994.16</v>
      </c>
      <c r="Y60" s="2"/>
      <c r="Z60" s="22">
        <f t="shared" si="12"/>
        <v>0</v>
      </c>
    </row>
    <row r="61" spans="1:26" s="24" customFormat="1" hidden="1" outlineLevel="1" x14ac:dyDescent="0.25">
      <c r="A61" s="51"/>
      <c r="B61" s="11" t="str">
        <f>CONCATENATE("          ", "5042", " - ", "PURCHASES @ COST-EVERYDAY GIFT")</f>
        <v xml:space="preserve">          5042 - PURCHASES @ COST-EVERYDAY GIFT</v>
      </c>
      <c r="C61" s="11"/>
      <c r="D61" s="2">
        <v>148.6</v>
      </c>
      <c r="E61" s="2"/>
      <c r="F61" s="22">
        <f t="shared" si="5"/>
        <v>8.4551598010977733E-4</v>
      </c>
      <c r="G61" s="2"/>
      <c r="H61" s="2"/>
      <c r="I61" s="2"/>
      <c r="J61" s="22">
        <f t="shared" si="6"/>
        <v>0</v>
      </c>
      <c r="K61" s="2"/>
      <c r="L61" s="2">
        <f t="shared" si="7"/>
        <v>148.6</v>
      </c>
      <c r="M61" s="2"/>
      <c r="N61" s="22">
        <f t="shared" si="8"/>
        <v>0</v>
      </c>
      <c r="O61" s="11"/>
      <c r="P61" s="2">
        <v>3115.24</v>
      </c>
      <c r="Q61" s="2"/>
      <c r="R61" s="22">
        <f t="shared" si="9"/>
        <v>3.5176465999805367E-3</v>
      </c>
      <c r="S61" s="2"/>
      <c r="T61" s="2"/>
      <c r="U61" s="2"/>
      <c r="V61" s="22">
        <f t="shared" si="10"/>
        <v>0</v>
      </c>
      <c r="W61" s="2"/>
      <c r="X61" s="2">
        <f t="shared" si="11"/>
        <v>3115.24</v>
      </c>
      <c r="Y61" s="2"/>
      <c r="Z61" s="22">
        <f t="shared" si="12"/>
        <v>0</v>
      </c>
    </row>
    <row r="62" spans="1:26" s="24" customFormat="1" hidden="1" outlineLevel="1" x14ac:dyDescent="0.25">
      <c r="A62" s="51"/>
      <c r="B62" s="11" t="str">
        <f>CONCATENATE("          ", "5043", " - ", "PURCHASES @ COST-CARDS")</f>
        <v xml:space="preserve">          5043 - PURCHASES @ COST-CARDS</v>
      </c>
      <c r="C62" s="11"/>
      <c r="D62" s="2">
        <v>2448</v>
      </c>
      <c r="E62" s="2"/>
      <c r="F62" s="22">
        <f t="shared" si="5"/>
        <v>1.3928823144742496E-2</v>
      </c>
      <c r="G62" s="2"/>
      <c r="H62" s="2"/>
      <c r="I62" s="2"/>
      <c r="J62" s="22">
        <f t="shared" si="6"/>
        <v>0</v>
      </c>
      <c r="K62" s="2"/>
      <c r="L62" s="2">
        <f t="shared" si="7"/>
        <v>2448</v>
      </c>
      <c r="M62" s="2"/>
      <c r="N62" s="22">
        <f t="shared" si="8"/>
        <v>0</v>
      </c>
      <c r="O62" s="11"/>
      <c r="P62" s="2">
        <v>46621.23</v>
      </c>
      <c r="Q62" s="2"/>
      <c r="R62" s="22">
        <f t="shared" si="9"/>
        <v>5.264345963598651E-2</v>
      </c>
      <c r="S62" s="2"/>
      <c r="T62" s="2"/>
      <c r="U62" s="2"/>
      <c r="V62" s="22">
        <f t="shared" si="10"/>
        <v>0</v>
      </c>
      <c r="W62" s="2"/>
      <c r="X62" s="2">
        <f t="shared" si="11"/>
        <v>46621.23</v>
      </c>
      <c r="Y62" s="2"/>
      <c r="Z62" s="22">
        <f t="shared" si="12"/>
        <v>0</v>
      </c>
    </row>
    <row r="63" spans="1:26" s="24" customFormat="1" hidden="1" outlineLevel="1" x14ac:dyDescent="0.25">
      <c r="A63" s="51"/>
      <c r="B63" s="11" t="str">
        <f>CONCATENATE("          ", "5044", " - ", "PURCHASES @ COST-ACCESSORIES")</f>
        <v xml:space="preserve">          5044 - PURCHASES @ COST-ACCESSORIES</v>
      </c>
      <c r="C63" s="11"/>
      <c r="D63" s="2"/>
      <c r="E63" s="2"/>
      <c r="F63" s="22">
        <f t="shared" si="5"/>
        <v>0</v>
      </c>
      <c r="G63" s="2"/>
      <c r="H63" s="2"/>
      <c r="I63" s="2"/>
      <c r="J63" s="22">
        <f t="shared" si="6"/>
        <v>0</v>
      </c>
      <c r="K63" s="2"/>
      <c r="L63" s="2">
        <f t="shared" si="7"/>
        <v>0</v>
      </c>
      <c r="M63" s="2"/>
      <c r="N63" s="22">
        <f t="shared" si="8"/>
        <v>0</v>
      </c>
      <c r="O63" s="11"/>
      <c r="P63" s="2">
        <v>282.33</v>
      </c>
      <c r="Q63" s="2"/>
      <c r="R63" s="22">
        <f t="shared" si="9"/>
        <v>3.1879956747233115E-4</v>
      </c>
      <c r="S63" s="2"/>
      <c r="T63" s="2"/>
      <c r="U63" s="2"/>
      <c r="V63" s="22">
        <f t="shared" si="10"/>
        <v>0</v>
      </c>
      <c r="W63" s="2"/>
      <c r="X63" s="2">
        <f t="shared" si="11"/>
        <v>282.33</v>
      </c>
      <c r="Y63" s="2"/>
      <c r="Z63" s="22">
        <f t="shared" si="12"/>
        <v>0</v>
      </c>
    </row>
    <row r="64" spans="1:26" s="24" customFormat="1" hidden="1" outlineLevel="1" x14ac:dyDescent="0.25">
      <c r="A64" s="51"/>
      <c r="B64" s="11" t="str">
        <f>CONCATENATE("          ", "5045", " - ", "PURCHASES @ COST-SPECIAL ORDER")</f>
        <v xml:space="preserve">          5045 - PURCHASES @ COST-SPECIAL ORDER</v>
      </c>
      <c r="C64" s="11"/>
      <c r="D64" s="2">
        <v>10676.48</v>
      </c>
      <c r="E64" s="2"/>
      <c r="F64" s="22">
        <f t="shared" si="5"/>
        <v>6.0747876523031194E-2</v>
      </c>
      <c r="G64" s="2"/>
      <c r="H64" s="2"/>
      <c r="I64" s="2"/>
      <c r="J64" s="22">
        <f t="shared" si="6"/>
        <v>0</v>
      </c>
      <c r="K64" s="2"/>
      <c r="L64" s="2">
        <f t="shared" si="7"/>
        <v>10676.48</v>
      </c>
      <c r="M64" s="2"/>
      <c r="N64" s="22">
        <f t="shared" si="8"/>
        <v>0</v>
      </c>
      <c r="O64" s="11"/>
      <c r="P64" s="2">
        <v>87609</v>
      </c>
      <c r="Q64" s="2"/>
      <c r="R64" s="22">
        <f t="shared" si="9"/>
        <v>9.8925765262931536E-2</v>
      </c>
      <c r="S64" s="2"/>
      <c r="T64" s="2"/>
      <c r="U64" s="2"/>
      <c r="V64" s="22">
        <f t="shared" si="10"/>
        <v>0</v>
      </c>
      <c r="W64" s="2"/>
      <c r="X64" s="2">
        <f t="shared" si="11"/>
        <v>87609</v>
      </c>
      <c r="Y64" s="2"/>
      <c r="Z64" s="22">
        <f t="shared" si="12"/>
        <v>0</v>
      </c>
    </row>
    <row r="65" spans="1:26" s="24" customFormat="1" hidden="1" outlineLevel="1" x14ac:dyDescent="0.25">
      <c r="A65" s="51"/>
      <c r="B65" s="11" t="str">
        <f>CONCATENATE("          ", "5200", " - ", "PURCHASES OFFSET")</f>
        <v xml:space="preserve">          5200 - PURCHASES OFFSET</v>
      </c>
      <c r="C65" s="11"/>
      <c r="D65" s="2">
        <v>-58180.68</v>
      </c>
      <c r="E65" s="2"/>
      <c r="F65" s="22">
        <f t="shared" si="5"/>
        <v>-0.3310410139545984</v>
      </c>
      <c r="G65" s="2"/>
      <c r="H65" s="2"/>
      <c r="I65" s="2"/>
      <c r="J65" s="22">
        <f t="shared" si="6"/>
        <v>0</v>
      </c>
      <c r="K65" s="2"/>
      <c r="L65" s="2">
        <f t="shared" si="7"/>
        <v>-58180.68</v>
      </c>
      <c r="M65" s="2"/>
      <c r="N65" s="22">
        <f t="shared" si="8"/>
        <v>0</v>
      </c>
      <c r="O65" s="11"/>
      <c r="P65" s="2">
        <v>-340331.66</v>
      </c>
      <c r="Q65" s="2"/>
      <c r="R65" s="22">
        <f t="shared" si="9"/>
        <v>-0.38429350761569958</v>
      </c>
      <c r="S65" s="2"/>
      <c r="T65" s="2"/>
      <c r="U65" s="2"/>
      <c r="V65" s="22">
        <f t="shared" si="10"/>
        <v>0</v>
      </c>
      <c r="W65" s="2"/>
      <c r="X65" s="2">
        <f t="shared" si="11"/>
        <v>-340331.66</v>
      </c>
      <c r="Y65" s="2"/>
      <c r="Z65" s="22">
        <f t="shared" si="12"/>
        <v>0</v>
      </c>
    </row>
    <row r="66" spans="1:26" s="24" customFormat="1" hidden="1" outlineLevel="1" x14ac:dyDescent="0.25">
      <c r="A66" s="51"/>
      <c r="B66" s="11" t="str">
        <f>CONCATENATE("          ", "5300", " - ", "COG$ OFFSET")</f>
        <v xml:space="preserve">          5300 - COG$ OFFSET</v>
      </c>
      <c r="C66" s="11"/>
      <c r="D66" s="2">
        <v>103948</v>
      </c>
      <c r="E66" s="2"/>
      <c r="F66" s="22">
        <f t="shared" si="5"/>
        <v>0.59145151480788116</v>
      </c>
      <c r="G66" s="2"/>
      <c r="H66" s="2"/>
      <c r="I66" s="2"/>
      <c r="J66" s="22">
        <f t="shared" si="6"/>
        <v>0</v>
      </c>
      <c r="K66" s="2"/>
      <c r="L66" s="2">
        <f t="shared" si="7"/>
        <v>103948</v>
      </c>
      <c r="M66" s="2"/>
      <c r="N66" s="22">
        <f t="shared" si="8"/>
        <v>0</v>
      </c>
      <c r="O66" s="11"/>
      <c r="P66" s="2">
        <v>533751</v>
      </c>
      <c r="Q66" s="2"/>
      <c r="R66" s="22">
        <f t="shared" si="9"/>
        <v>0.60269750978615177</v>
      </c>
      <c r="S66" s="2"/>
      <c r="T66" s="2"/>
      <c r="U66" s="2"/>
      <c r="V66" s="22">
        <f t="shared" si="10"/>
        <v>0</v>
      </c>
      <c r="W66" s="2"/>
      <c r="X66" s="2">
        <f t="shared" si="11"/>
        <v>533751</v>
      </c>
      <c r="Y66" s="2"/>
      <c r="Z66" s="22">
        <f t="shared" si="12"/>
        <v>0</v>
      </c>
    </row>
    <row r="67" spans="1:26" s="24" customFormat="1" hidden="1" outlineLevel="1" x14ac:dyDescent="0.25">
      <c r="A67" s="51"/>
      <c r="B67" s="11" t="str">
        <f>CONCATENATE("          ", "5525", " - ", "FREIGHT-IN-TEST FORMS")</f>
        <v xml:space="preserve">          5525 - FREIGHT-IN-TEST FORMS</v>
      </c>
      <c r="C67" s="11"/>
      <c r="D67" s="2"/>
      <c r="E67" s="2"/>
      <c r="F67" s="22">
        <f t="shared" si="5"/>
        <v>0</v>
      </c>
      <c r="G67" s="2"/>
      <c r="H67" s="2"/>
      <c r="I67" s="2"/>
      <c r="J67" s="22">
        <f t="shared" si="6"/>
        <v>0</v>
      </c>
      <c r="K67" s="2"/>
      <c r="L67" s="2">
        <f t="shared" si="7"/>
        <v>0</v>
      </c>
      <c r="M67" s="2"/>
      <c r="N67" s="22">
        <f t="shared" si="8"/>
        <v>0</v>
      </c>
      <c r="O67" s="11"/>
      <c r="P67" s="2">
        <v>48.14</v>
      </c>
      <c r="Q67" s="2"/>
      <c r="R67" s="22">
        <f t="shared" si="9"/>
        <v>5.4358414543683008E-5</v>
      </c>
      <c r="S67" s="2"/>
      <c r="T67" s="2"/>
      <c r="U67" s="2"/>
      <c r="V67" s="22">
        <f t="shared" si="10"/>
        <v>0</v>
      </c>
      <c r="W67" s="2"/>
      <c r="X67" s="2">
        <f t="shared" si="11"/>
        <v>48.14</v>
      </c>
      <c r="Y67" s="2"/>
      <c r="Z67" s="22">
        <f t="shared" si="12"/>
        <v>0</v>
      </c>
    </row>
    <row r="68" spans="1:26" s="24" customFormat="1" hidden="1" outlineLevel="1" x14ac:dyDescent="0.25">
      <c r="A68" s="51"/>
      <c r="B68" s="11" t="str">
        <f>CONCATENATE("          ", "5527", " - ", "FREIGHT-IN-SCHOOL SUPPLIES")</f>
        <v xml:space="preserve">          5527 - FREIGHT-IN-SCHOOL SUPPLIES</v>
      </c>
      <c r="C68" s="11"/>
      <c r="D68" s="2">
        <v>121.5</v>
      </c>
      <c r="E68" s="2"/>
      <c r="F68" s="22">
        <f t="shared" si="5"/>
        <v>6.9132026637508707E-4</v>
      </c>
      <c r="G68" s="2"/>
      <c r="H68" s="2"/>
      <c r="I68" s="2"/>
      <c r="J68" s="22">
        <f t="shared" si="6"/>
        <v>0</v>
      </c>
      <c r="K68" s="2"/>
      <c r="L68" s="2">
        <f t="shared" si="7"/>
        <v>121.5</v>
      </c>
      <c r="M68" s="2"/>
      <c r="N68" s="22">
        <f t="shared" si="8"/>
        <v>0</v>
      </c>
      <c r="O68" s="11"/>
      <c r="P68" s="2">
        <v>177.5</v>
      </c>
      <c r="Q68" s="2"/>
      <c r="R68" s="22">
        <f t="shared" si="9"/>
        <v>2.0042830455969533E-4</v>
      </c>
      <c r="S68" s="2"/>
      <c r="T68" s="2"/>
      <c r="U68" s="2"/>
      <c r="V68" s="22">
        <f t="shared" si="10"/>
        <v>0</v>
      </c>
      <c r="W68" s="2"/>
      <c r="X68" s="2">
        <f t="shared" si="11"/>
        <v>177.5</v>
      </c>
      <c r="Y68" s="2"/>
      <c r="Z68" s="22">
        <f t="shared" si="12"/>
        <v>0</v>
      </c>
    </row>
    <row r="69" spans="1:26" s="24" customFormat="1" hidden="1" outlineLevel="1" x14ac:dyDescent="0.25">
      <c r="A69" s="51"/>
      <c r="B69" s="11" t="str">
        <f>CONCATENATE("          ", "5528", " - ", "FREIGHT-IN-ART/TECH")</f>
        <v xml:space="preserve">          5528 - FREIGHT-IN-ART/TECH</v>
      </c>
      <c r="C69" s="11"/>
      <c r="D69" s="2"/>
      <c r="E69" s="2"/>
      <c r="F69" s="22">
        <f t="shared" si="5"/>
        <v>0</v>
      </c>
      <c r="G69" s="2"/>
      <c r="H69" s="2"/>
      <c r="I69" s="2"/>
      <c r="J69" s="22">
        <f t="shared" si="6"/>
        <v>0</v>
      </c>
      <c r="K69" s="2"/>
      <c r="L69" s="2">
        <f t="shared" si="7"/>
        <v>0</v>
      </c>
      <c r="M69" s="2"/>
      <c r="N69" s="22">
        <f t="shared" si="8"/>
        <v>0</v>
      </c>
      <c r="O69" s="11"/>
      <c r="P69" s="2">
        <v>3.94</v>
      </c>
      <c r="Q69" s="2"/>
      <c r="R69" s="22">
        <f t="shared" si="9"/>
        <v>4.448943774451829E-6</v>
      </c>
      <c r="S69" s="2"/>
      <c r="T69" s="2"/>
      <c r="U69" s="2"/>
      <c r="V69" s="22">
        <f t="shared" si="10"/>
        <v>0</v>
      </c>
      <c r="W69" s="2"/>
      <c r="X69" s="2">
        <f t="shared" si="11"/>
        <v>3.94</v>
      </c>
      <c r="Y69" s="2"/>
      <c r="Z69" s="22">
        <f t="shared" si="12"/>
        <v>0</v>
      </c>
    </row>
    <row r="70" spans="1:26" s="24" customFormat="1" hidden="1" outlineLevel="1" x14ac:dyDescent="0.25">
      <c r="A70" s="51"/>
      <c r="B70" s="11" t="str">
        <f>CONCATENATE("          ", "5540", " - ", "FREIGHT-IN-LOGO CLOTHING")</f>
        <v xml:space="preserve">          5540 - FREIGHT-IN-LOGO CLOTHING</v>
      </c>
      <c r="C70" s="11"/>
      <c r="D70" s="2">
        <v>907.48</v>
      </c>
      <c r="E70" s="2"/>
      <c r="F70" s="22">
        <f t="shared" si="5"/>
        <v>5.1634511549799511E-3</v>
      </c>
      <c r="G70" s="2"/>
      <c r="H70" s="2"/>
      <c r="I70" s="2"/>
      <c r="J70" s="22">
        <f t="shared" si="6"/>
        <v>0</v>
      </c>
      <c r="K70" s="2"/>
      <c r="L70" s="2">
        <f t="shared" si="7"/>
        <v>907.48</v>
      </c>
      <c r="M70" s="2"/>
      <c r="N70" s="22">
        <f t="shared" si="8"/>
        <v>0</v>
      </c>
      <c r="O70" s="11"/>
      <c r="P70" s="2">
        <v>5442.96</v>
      </c>
      <c r="Q70" s="2"/>
      <c r="R70" s="22">
        <f t="shared" si="9"/>
        <v>6.1460464483731794E-3</v>
      </c>
      <c r="S70" s="2"/>
      <c r="T70" s="2"/>
      <c r="U70" s="2"/>
      <c r="V70" s="22">
        <f t="shared" si="10"/>
        <v>0</v>
      </c>
      <c r="W70" s="2"/>
      <c r="X70" s="2">
        <f t="shared" si="11"/>
        <v>5442.96</v>
      </c>
      <c r="Y70" s="2"/>
      <c r="Z70" s="22">
        <f t="shared" si="12"/>
        <v>0</v>
      </c>
    </row>
    <row r="71" spans="1:26" s="24" customFormat="1" hidden="1" outlineLevel="1" x14ac:dyDescent="0.25">
      <c r="A71" s="51"/>
      <c r="B71" s="11" t="str">
        <f>CONCATENATE("          ", "5541", " - ", "FREIGHT-IN-LOGO GIFTS")</f>
        <v xml:space="preserve">          5541 - FREIGHT-IN-LOGO GIFTS</v>
      </c>
      <c r="C71" s="11"/>
      <c r="D71" s="2">
        <v>84.07</v>
      </c>
      <c r="E71" s="2"/>
      <c r="F71" s="22">
        <f t="shared" si="5"/>
        <v>4.7834810530167544E-4</v>
      </c>
      <c r="G71" s="2"/>
      <c r="H71" s="2"/>
      <c r="I71" s="2"/>
      <c r="J71" s="22">
        <f t="shared" si="6"/>
        <v>0</v>
      </c>
      <c r="K71" s="2"/>
      <c r="L71" s="2">
        <f t="shared" si="7"/>
        <v>84.07</v>
      </c>
      <c r="M71" s="2"/>
      <c r="N71" s="22">
        <f t="shared" si="8"/>
        <v>0</v>
      </c>
      <c r="O71" s="11"/>
      <c r="P71" s="2">
        <v>1519.94</v>
      </c>
      <c r="Q71" s="2"/>
      <c r="R71" s="22">
        <f t="shared" si="9"/>
        <v>1.7162760407462723E-3</v>
      </c>
      <c r="S71" s="2"/>
      <c r="T71" s="2"/>
      <c r="U71" s="2"/>
      <c r="V71" s="22">
        <f t="shared" si="10"/>
        <v>0</v>
      </c>
      <c r="W71" s="2"/>
      <c r="X71" s="2">
        <f t="shared" si="11"/>
        <v>1519.94</v>
      </c>
      <c r="Y71" s="2"/>
      <c r="Z71" s="22">
        <f t="shared" si="12"/>
        <v>0</v>
      </c>
    </row>
    <row r="72" spans="1:26" s="24" customFormat="1" hidden="1" outlineLevel="1" x14ac:dyDescent="0.25">
      <c r="A72" s="51"/>
      <c r="B72" s="11" t="str">
        <f>CONCATENATE("          ", "5542", " - ", "FREIGHT-IN-EVERYDAY GIFTS")</f>
        <v xml:space="preserve">          5542 - FREIGHT-IN-EVERYDAY GIFTS</v>
      </c>
      <c r="C72" s="11"/>
      <c r="D72" s="2"/>
      <c r="E72" s="2"/>
      <c r="F72" s="22">
        <f t="shared" si="5"/>
        <v>0</v>
      </c>
      <c r="G72" s="2"/>
      <c r="H72" s="2"/>
      <c r="I72" s="2"/>
      <c r="J72" s="22">
        <f t="shared" si="6"/>
        <v>0</v>
      </c>
      <c r="K72" s="2"/>
      <c r="L72" s="2">
        <f t="shared" si="7"/>
        <v>0</v>
      </c>
      <c r="M72" s="2"/>
      <c r="N72" s="22">
        <f t="shared" si="8"/>
        <v>0</v>
      </c>
      <c r="O72" s="11"/>
      <c r="P72" s="2">
        <v>196.55</v>
      </c>
      <c r="Q72" s="2"/>
      <c r="R72" s="22">
        <f t="shared" si="9"/>
        <v>2.2193906062652462E-4</v>
      </c>
      <c r="S72" s="2"/>
      <c r="T72" s="2"/>
      <c r="U72" s="2"/>
      <c r="V72" s="22">
        <f t="shared" si="10"/>
        <v>0</v>
      </c>
      <c r="W72" s="2"/>
      <c r="X72" s="2">
        <f t="shared" si="11"/>
        <v>196.55</v>
      </c>
      <c r="Y72" s="2"/>
      <c r="Z72" s="22">
        <f t="shared" si="12"/>
        <v>0</v>
      </c>
    </row>
    <row r="73" spans="1:26" s="24" customFormat="1" hidden="1" outlineLevel="1" x14ac:dyDescent="0.25">
      <c r="A73" s="51"/>
      <c r="B73" s="11" t="str">
        <f>CONCATENATE("          ", "5543", " - ", "FREIGHT-IN-CARDS")</f>
        <v xml:space="preserve">          5543 - FREIGHT-IN-CARDS</v>
      </c>
      <c r="C73" s="11"/>
      <c r="D73" s="2">
        <v>605.41</v>
      </c>
      <c r="E73" s="2"/>
      <c r="F73" s="22">
        <f t="shared" si="5"/>
        <v>3.4447094853180369E-3</v>
      </c>
      <c r="G73" s="2"/>
      <c r="H73" s="2"/>
      <c r="I73" s="2"/>
      <c r="J73" s="22">
        <f t="shared" si="6"/>
        <v>0</v>
      </c>
      <c r="K73" s="2"/>
      <c r="L73" s="2">
        <f t="shared" si="7"/>
        <v>605.41</v>
      </c>
      <c r="M73" s="2"/>
      <c r="N73" s="22">
        <f t="shared" si="8"/>
        <v>0</v>
      </c>
      <c r="O73" s="11"/>
      <c r="P73" s="2">
        <v>7117.72</v>
      </c>
      <c r="Q73" s="2"/>
      <c r="R73" s="22">
        <f t="shared" si="9"/>
        <v>8.0371411376373783E-3</v>
      </c>
      <c r="S73" s="2"/>
      <c r="T73" s="2"/>
      <c r="U73" s="2"/>
      <c r="V73" s="22">
        <f t="shared" si="10"/>
        <v>0</v>
      </c>
      <c r="W73" s="2"/>
      <c r="X73" s="2">
        <f t="shared" si="11"/>
        <v>7117.72</v>
      </c>
      <c r="Y73" s="2"/>
      <c r="Z73" s="22">
        <f t="shared" si="12"/>
        <v>0</v>
      </c>
    </row>
    <row r="74" spans="1:26" s="24" customFormat="1" hidden="1" outlineLevel="1" x14ac:dyDescent="0.25">
      <c r="A74" s="51"/>
      <c r="B74" s="11" t="str">
        <f>CONCATENATE("          ", "5545", " - ", "FREIGHT-IN-SPECIAL ORDERS")</f>
        <v xml:space="preserve">          5545 - FREIGHT-IN-SPECIAL ORDERS</v>
      </c>
      <c r="C74" s="11"/>
      <c r="D74" s="2">
        <v>225.93</v>
      </c>
      <c r="E74" s="2"/>
      <c r="F74" s="22">
        <f t="shared" si="5"/>
        <v>1.2855143027335262E-3</v>
      </c>
      <c r="G74" s="2"/>
      <c r="H74" s="2"/>
      <c r="I74" s="2"/>
      <c r="J74" s="22">
        <f t="shared" si="6"/>
        <v>0</v>
      </c>
      <c r="K74" s="2"/>
      <c r="L74" s="2">
        <f t="shared" si="7"/>
        <v>225.93</v>
      </c>
      <c r="M74" s="2"/>
      <c r="N74" s="22">
        <f t="shared" si="8"/>
        <v>0</v>
      </c>
      <c r="O74" s="11"/>
      <c r="P74" s="2">
        <v>1113.79</v>
      </c>
      <c r="Q74" s="2"/>
      <c r="R74" s="22">
        <f t="shared" si="9"/>
        <v>1.2576622047072849E-3</v>
      </c>
      <c r="S74" s="2"/>
      <c r="T74" s="2"/>
      <c r="U74" s="2"/>
      <c r="V74" s="22">
        <f t="shared" si="10"/>
        <v>0</v>
      </c>
      <c r="W74" s="2"/>
      <c r="X74" s="2">
        <f t="shared" si="11"/>
        <v>1113.79</v>
      </c>
      <c r="Y74" s="2"/>
      <c r="Z74" s="22">
        <f t="shared" si="12"/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5" t="s">
        <v>6</v>
      </c>
      <c r="C76" s="25"/>
      <c r="D76" s="21">
        <f>D12-D52</f>
        <v>71802.669999999969</v>
      </c>
      <c r="E76" s="13"/>
      <c r="F76" s="19">
        <f>IF(D$12=0,0,D76/D$12)</f>
        <v>0.40854848519211895</v>
      </c>
      <c r="G76" s="13"/>
      <c r="H76" s="21">
        <f>H12-H52</f>
        <v>131907</v>
      </c>
      <c r="I76" s="13"/>
      <c r="J76" s="19">
        <f>IF(H$12=0,0,H76/H$12)</f>
        <v>0.5375008149693572</v>
      </c>
      <c r="K76" s="16"/>
      <c r="L76" s="21">
        <f>+D76-H76</f>
        <v>-60104.330000000031</v>
      </c>
      <c r="M76" s="16"/>
      <c r="N76" s="19">
        <f>IF(H76=0,0,L76/H76)</f>
        <v>-0.45565686430591273</v>
      </c>
      <c r="O76" s="26"/>
      <c r="P76" s="21">
        <f>P12-P52</f>
        <v>350935.92000000016</v>
      </c>
      <c r="Q76" s="13"/>
      <c r="R76" s="19">
        <f>IF(P$12=0,0,P76/P$12)</f>
        <v>0.3962675574912502</v>
      </c>
      <c r="S76" s="13"/>
      <c r="T76" s="21">
        <f>T12-T52</f>
        <v>870538</v>
      </c>
      <c r="U76" s="13"/>
      <c r="V76" s="19">
        <f>IF(T$12=0,0,T76/T$12)</f>
        <v>0.53749986107732373</v>
      </c>
      <c r="W76" s="16"/>
      <c r="X76" s="21">
        <f>+P76-T76</f>
        <v>-519602.07999999984</v>
      </c>
      <c r="Y76" s="16"/>
      <c r="Z76" s="19">
        <f>IF(T76=0,0,X76/T76)</f>
        <v>-0.59687466830856306</v>
      </c>
    </row>
    <row r="77" spans="1:26" x14ac:dyDescent="0.25">
      <c r="A77" s="9"/>
      <c r="B77" s="10"/>
      <c r="C77" s="9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6" t="s">
        <v>9</v>
      </c>
      <c r="C78" s="10"/>
      <c r="D78" s="20">
        <f>SUM(OSRRefD22x_0)</f>
        <v>39948.689999999995</v>
      </c>
      <c r="E78" s="20"/>
      <c r="F78" s="30">
        <f t="shared" ref="F78:F88" si="13">IF(D$12=0,0,D78/D$12)</f>
        <v>0.22730320174597346</v>
      </c>
      <c r="G78" s="20"/>
      <c r="H78" s="20">
        <f>SUM(OSRRefH22x_0)</f>
        <v>90342.059023076901</v>
      </c>
      <c r="I78" s="20"/>
      <c r="J78" s="30">
        <f t="shared" ref="J78:J88" si="14">IF(H$12=0,0,H78/H$12)</f>
        <v>0.36813004882920242</v>
      </c>
      <c r="K78" s="4"/>
      <c r="L78" s="20">
        <f t="shared" ref="L78:L88" si="15">+D78-H78</f>
        <v>-50393.369023076906</v>
      </c>
      <c r="M78" s="4"/>
      <c r="N78" s="30">
        <f t="shared" ref="N78:N88" si="16">IF(H78=0,0,L78/H78)</f>
        <v>-0.55780629275014049</v>
      </c>
      <c r="O78" s="10"/>
      <c r="P78" s="20">
        <f>SUM(OSRRefP22x_0)</f>
        <v>275658.52</v>
      </c>
      <c r="Q78" s="20"/>
      <c r="R78" s="30">
        <f t="shared" ref="R78:R88" si="17">IF(P$12=0,0,P78/P$12)</f>
        <v>0.31126630873822464</v>
      </c>
      <c r="S78" s="20"/>
      <c r="T78" s="20">
        <f>SUM(OSRRefT22x_0)</f>
        <v>589905.71394499997</v>
      </c>
      <c r="U78" s="20"/>
      <c r="V78" s="30">
        <f t="shared" ref="V78:V88" si="18">IF(T$12=0,0,T78/T$12)</f>
        <v>0.36422791342153582</v>
      </c>
      <c r="W78" s="4"/>
      <c r="X78" s="20">
        <f t="shared" ref="X78:X88" si="19">+P78-T78</f>
        <v>-314247.19394499995</v>
      </c>
      <c r="Y78" s="4"/>
      <c r="Z78" s="30">
        <f t="shared" ref="Z78:Z88" si="20">IF(T78=0,0,X78/T78)</f>
        <v>-0.53270749293725073</v>
      </c>
    </row>
    <row r="79" spans="1:26" s="28" customFormat="1" outlineLevel="1" collapsed="1" x14ac:dyDescent="0.25">
      <c r="A79" s="27"/>
      <c r="B79" s="14" t="str">
        <f>CONCATENATE("     ","*Benefits                                         ")</f>
        <v xml:space="preserve">     *Benefits                                         </v>
      </c>
      <c r="C79" s="14"/>
      <c r="D79" s="1">
        <f>SUM(OSRRefD22_0x_0)</f>
        <v>9530.380000000001</v>
      </c>
      <c r="E79" s="1"/>
      <c r="F79" s="5">
        <f t="shared" si="13"/>
        <v>5.4226706504162989E-2</v>
      </c>
      <c r="G79" s="1"/>
      <c r="H79" s="1">
        <f>SUM(OSRRefH22_0x_0)</f>
        <v>11486.674407692306</v>
      </c>
      <c r="I79" s="1"/>
      <c r="J79" s="5">
        <f t="shared" si="14"/>
        <v>4.6806438289266471E-2</v>
      </c>
      <c r="K79" s="1"/>
      <c r="L79" s="1">
        <f t="shared" si="15"/>
        <v>-1956.294407692305</v>
      </c>
      <c r="M79" s="1"/>
      <c r="N79" s="5">
        <f t="shared" si="16"/>
        <v>-0.17030990330693355</v>
      </c>
      <c r="O79" s="14"/>
      <c r="P79" s="1">
        <f>SUM(OSRRefP22_0x_0)</f>
        <v>61853.48</v>
      </c>
      <c r="Q79" s="1"/>
      <c r="R79" s="5">
        <f t="shared" si="17"/>
        <v>6.9843313394462106E-2</v>
      </c>
      <c r="S79" s="1"/>
      <c r="T79" s="1">
        <f>SUM(OSRRefT22_0x_0)</f>
        <v>77560.213944999967</v>
      </c>
      <c r="U79" s="1"/>
      <c r="V79" s="5">
        <f t="shared" si="18"/>
        <v>4.7888322187618453E-2</v>
      </c>
      <c r="W79" s="1"/>
      <c r="X79" s="1">
        <f t="shared" si="19"/>
        <v>-15706.733944999964</v>
      </c>
      <c r="Y79" s="1"/>
      <c r="Z79" s="5">
        <f t="shared" si="20"/>
        <v>-0.20251019364307105</v>
      </c>
    </row>
    <row r="80" spans="1:26" s="24" customFormat="1" hidden="1" outlineLevel="2" x14ac:dyDescent="0.25">
      <c r="A80" s="29"/>
      <c r="B80" s="11" t="str">
        <f>CONCATENATE("          ", "6111", " - ", "F.I.C.A.")</f>
        <v xml:space="preserve">          6111 - F.I.C.A.</v>
      </c>
      <c r="C80" s="11"/>
      <c r="D80" s="7">
        <v>1745.09</v>
      </c>
      <c r="E80" s="2"/>
      <c r="F80" s="6">
        <f t="shared" si="13"/>
        <v>9.9293504827037103E-3</v>
      </c>
      <c r="G80" s="2"/>
      <c r="H80" s="7">
        <v>1461.07543846154</v>
      </c>
      <c r="I80" s="2"/>
      <c r="J80" s="6">
        <f t="shared" si="14"/>
        <v>5.9536585541691391E-3</v>
      </c>
      <c r="K80" s="2"/>
      <c r="L80" s="7">
        <f t="shared" si="15"/>
        <v>284.01456153845993</v>
      </c>
      <c r="M80" s="2"/>
      <c r="N80" s="6">
        <f t="shared" si="16"/>
        <v>0.19438733556257512</v>
      </c>
      <c r="O80" s="11"/>
      <c r="P80" s="7">
        <v>14401.66</v>
      </c>
      <c r="Q80" s="2"/>
      <c r="R80" s="6">
        <f t="shared" si="17"/>
        <v>1.6261973502226378E-2</v>
      </c>
      <c r="S80" s="2"/>
      <c r="T80" s="7">
        <v>14760.455895000001</v>
      </c>
      <c r="U80" s="2"/>
      <c r="V80" s="6">
        <f t="shared" si="18"/>
        <v>9.1136090475090869E-3</v>
      </c>
      <c r="W80" s="2"/>
      <c r="X80" s="7">
        <f t="shared" si="19"/>
        <v>-358.79589500000111</v>
      </c>
      <c r="Y80" s="2"/>
      <c r="Z80" s="6">
        <f t="shared" si="20"/>
        <v>-2.4307914169611838E-2</v>
      </c>
    </row>
    <row r="81" spans="1:26" s="24" customFormat="1" hidden="1" outlineLevel="2" x14ac:dyDescent="0.25">
      <c r="A81" s="29"/>
      <c r="B81" s="11" t="str">
        <f>CONCATENATE("          ", "6112", " - ", "COMPENSATION INSURANCE")</f>
        <v xml:space="preserve">          6112 - COMPENSATION INSURANCE</v>
      </c>
      <c r="C81" s="11"/>
      <c r="D81" s="7">
        <v>881.73</v>
      </c>
      <c r="E81" s="2"/>
      <c r="F81" s="6">
        <f t="shared" si="13"/>
        <v>5.0169367775383172E-3</v>
      </c>
      <c r="G81" s="2"/>
      <c r="H81" s="7">
        <v>949.48546153846212</v>
      </c>
      <c r="I81" s="2"/>
      <c r="J81" s="6">
        <f t="shared" si="14"/>
        <v>3.8690077810766645E-3</v>
      </c>
      <c r="K81" s="2"/>
      <c r="L81" s="7">
        <f t="shared" si="15"/>
        <v>-67.7554615384621</v>
      </c>
      <c r="M81" s="2"/>
      <c r="N81" s="6">
        <f t="shared" si="16"/>
        <v>-7.1360188526401608E-2</v>
      </c>
      <c r="O81" s="11"/>
      <c r="P81" s="7">
        <v>5692.11</v>
      </c>
      <c r="Q81" s="2"/>
      <c r="R81" s="6">
        <f t="shared" si="17"/>
        <v>6.4273800375621824E-3</v>
      </c>
      <c r="S81" s="2"/>
      <c r="T81" s="7">
        <v>6267.3467500000015</v>
      </c>
      <c r="U81" s="2"/>
      <c r="V81" s="6">
        <f t="shared" si="18"/>
        <v>3.8696737045923525E-3</v>
      </c>
      <c r="W81" s="2"/>
      <c r="X81" s="7">
        <f t="shared" si="19"/>
        <v>-575.23675000000185</v>
      </c>
      <c r="Y81" s="2"/>
      <c r="Z81" s="6">
        <f t="shared" si="20"/>
        <v>-9.178313773687434E-2</v>
      </c>
    </row>
    <row r="82" spans="1:26" s="24" customFormat="1" hidden="1" outlineLevel="2" x14ac:dyDescent="0.25">
      <c r="A82" s="29"/>
      <c r="B82" s="11" t="str">
        <f>CONCATENATE("          ", "6113", " - ", "GROUP INSURANCE")</f>
        <v xml:space="preserve">          6113 - GROUP INSURANCE</v>
      </c>
      <c r="C82" s="11"/>
      <c r="D82" s="7">
        <v>2862.18</v>
      </c>
      <c r="E82" s="2"/>
      <c r="F82" s="6">
        <f t="shared" si="13"/>
        <v>1.6285457119452236E-2</v>
      </c>
      <c r="G82" s="2"/>
      <c r="H82" s="7">
        <v>4968.8461538461497</v>
      </c>
      <c r="I82" s="2"/>
      <c r="J82" s="6">
        <f t="shared" si="14"/>
        <v>2.0247286778940173E-2</v>
      </c>
      <c r="K82" s="2"/>
      <c r="L82" s="7">
        <f t="shared" si="15"/>
        <v>-2106.6661538461499</v>
      </c>
      <c r="M82" s="2"/>
      <c r="N82" s="6">
        <f t="shared" si="16"/>
        <v>-0.42397492065949333</v>
      </c>
      <c r="O82" s="11"/>
      <c r="P82" s="7">
        <v>17829.05</v>
      </c>
      <c r="Q82" s="2"/>
      <c r="R82" s="6">
        <f t="shared" si="17"/>
        <v>2.0132091624845274E-2</v>
      </c>
      <c r="S82" s="2"/>
      <c r="T82" s="7">
        <v>30119.999999999982</v>
      </c>
      <c r="U82" s="2"/>
      <c r="V82" s="6">
        <f t="shared" si="18"/>
        <v>1.8597115594780448E-2</v>
      </c>
      <c r="W82" s="2"/>
      <c r="X82" s="7">
        <f t="shared" si="19"/>
        <v>-12290.949999999983</v>
      </c>
      <c r="Y82" s="2"/>
      <c r="Z82" s="6">
        <f t="shared" si="20"/>
        <v>-0.40806606905710457</v>
      </c>
    </row>
    <row r="83" spans="1:26" s="24" customFormat="1" hidden="1" outlineLevel="2" x14ac:dyDescent="0.25">
      <c r="A83" s="29"/>
      <c r="B83" s="11" t="str">
        <f>CONCATENATE("          ", "6114", " - ", "STATE UNEMPLOYMENT INSURANCE")</f>
        <v xml:space="preserve">          6114 - STATE UNEMPLOYMENT INSURANCE</v>
      </c>
      <c r="C83" s="11"/>
      <c r="D83" s="7"/>
      <c r="E83" s="2"/>
      <c r="F83" s="6">
        <f t="shared" si="13"/>
        <v>0</v>
      </c>
      <c r="G83" s="2"/>
      <c r="H83" s="7">
        <v>133.44120000000001</v>
      </c>
      <c r="I83" s="2"/>
      <c r="J83" s="6">
        <f t="shared" si="14"/>
        <v>5.4375244490807153E-4</v>
      </c>
      <c r="K83" s="2"/>
      <c r="L83" s="7">
        <f t="shared" si="15"/>
        <v>-133.44120000000001</v>
      </c>
      <c r="M83" s="2"/>
      <c r="N83" s="6">
        <f t="shared" si="16"/>
        <v>-1</v>
      </c>
      <c r="O83" s="11"/>
      <c r="P83" s="7">
        <v>502.28</v>
      </c>
      <c r="Q83" s="2"/>
      <c r="R83" s="6">
        <f t="shared" si="17"/>
        <v>5.671612890943311E-4</v>
      </c>
      <c r="S83" s="2"/>
      <c r="T83" s="7">
        <v>880.81629999999996</v>
      </c>
      <c r="U83" s="2"/>
      <c r="V83" s="6">
        <f t="shared" si="18"/>
        <v>5.4384603415892499E-4</v>
      </c>
      <c r="W83" s="2"/>
      <c r="X83" s="7">
        <f t="shared" si="19"/>
        <v>-378.53629999999998</v>
      </c>
      <c r="Y83" s="2"/>
      <c r="Z83" s="6">
        <f t="shared" si="20"/>
        <v>-0.42975623861638346</v>
      </c>
    </row>
    <row r="84" spans="1:26" s="24" customFormat="1" hidden="1" outlineLevel="2" x14ac:dyDescent="0.25">
      <c r="A84" s="29"/>
      <c r="B84" s="11" t="str">
        <f>CONCATENATE("          ", "6115", " - ", "P.E.R.S.")</f>
        <v xml:space="preserve">          6115 - P.E.R.S.</v>
      </c>
      <c r="C84" s="11"/>
      <c r="D84" s="7">
        <v>1554.7</v>
      </c>
      <c r="E84" s="2"/>
      <c r="F84" s="6">
        <f t="shared" si="13"/>
        <v>8.8460544702333166E-3</v>
      </c>
      <c r="G84" s="2"/>
      <c r="H84" s="7">
        <v>1141.3523076923102</v>
      </c>
      <c r="I84" s="2"/>
      <c r="J84" s="6">
        <f t="shared" si="14"/>
        <v>4.6508357824207452E-3</v>
      </c>
      <c r="K84" s="2"/>
      <c r="L84" s="7">
        <f t="shared" si="15"/>
        <v>413.34769230768984</v>
      </c>
      <c r="M84" s="2"/>
      <c r="N84" s="6">
        <f t="shared" si="16"/>
        <v>0.36215609283993455</v>
      </c>
      <c r="O84" s="11"/>
      <c r="P84" s="7">
        <v>9314.98</v>
      </c>
      <c r="Q84" s="2"/>
      <c r="R84" s="6">
        <f t="shared" si="17"/>
        <v>1.0518229005112512E-2</v>
      </c>
      <c r="S84" s="2"/>
      <c r="T84" s="7">
        <v>7418.79</v>
      </c>
      <c r="U84" s="2"/>
      <c r="V84" s="6">
        <f t="shared" si="18"/>
        <v>4.5806140505777332E-3</v>
      </c>
      <c r="W84" s="2"/>
      <c r="X84" s="7">
        <f t="shared" si="19"/>
        <v>1896.1899999999996</v>
      </c>
      <c r="Y84" s="2"/>
      <c r="Z84" s="6">
        <f t="shared" si="20"/>
        <v>0.25559289318069384</v>
      </c>
    </row>
    <row r="85" spans="1:26" s="24" customFormat="1" hidden="1" outlineLevel="2" x14ac:dyDescent="0.25">
      <c r="A85" s="29"/>
      <c r="B85" s="11" t="str">
        <f>CONCATENATE("          ", "6116", " - ", "EDUCATIONAL BENEFITS")</f>
        <v xml:space="preserve">          6116 - EDUCATIONAL BENEFITS</v>
      </c>
      <c r="C85" s="11"/>
      <c r="D85" s="7"/>
      <c r="E85" s="2"/>
      <c r="F85" s="6">
        <f t="shared" si="13"/>
        <v>0</v>
      </c>
      <c r="G85" s="2"/>
      <c r="H85" s="7">
        <v>0</v>
      </c>
      <c r="I85" s="2"/>
      <c r="J85" s="6">
        <f t="shared" si="14"/>
        <v>0</v>
      </c>
      <c r="K85" s="2"/>
      <c r="L85" s="7">
        <f t="shared" si="15"/>
        <v>0</v>
      </c>
      <c r="M85" s="2"/>
      <c r="N85" s="6">
        <f t="shared" si="16"/>
        <v>0</v>
      </c>
      <c r="O85" s="11"/>
      <c r="P85" s="7"/>
      <c r="Q85" s="2"/>
      <c r="R85" s="6">
        <f t="shared" si="17"/>
        <v>0</v>
      </c>
      <c r="S85" s="2"/>
      <c r="T85" s="7">
        <v>0</v>
      </c>
      <c r="U85" s="2"/>
      <c r="V85" s="6">
        <f t="shared" si="18"/>
        <v>0</v>
      </c>
      <c r="W85" s="2"/>
      <c r="X85" s="7">
        <f t="shared" si="19"/>
        <v>0</v>
      </c>
      <c r="Y85" s="2"/>
      <c r="Z85" s="6">
        <f t="shared" si="20"/>
        <v>0</v>
      </c>
    </row>
    <row r="86" spans="1:26" s="24" customFormat="1" hidden="1" outlineLevel="2" x14ac:dyDescent="0.25">
      <c r="A86" s="29"/>
      <c r="B86" s="11" t="str">
        <f>CONCATENATE("          ", "6118", " - ", "VACATION")</f>
        <v xml:space="preserve">          6118 - VACATION</v>
      </c>
      <c r="C86" s="11"/>
      <c r="D86" s="7">
        <v>1290.6199999999999</v>
      </c>
      <c r="E86" s="2"/>
      <c r="F86" s="6">
        <f t="shared" si="13"/>
        <v>7.3434712937367475E-3</v>
      </c>
      <c r="G86" s="2"/>
      <c r="H86" s="7">
        <v>855.57692307692298</v>
      </c>
      <c r="I86" s="2"/>
      <c r="J86" s="6">
        <f t="shared" si="14"/>
        <v>3.4863448749711621E-3</v>
      </c>
      <c r="K86" s="2"/>
      <c r="L86" s="7">
        <f t="shared" si="15"/>
        <v>435.04307692307691</v>
      </c>
      <c r="M86" s="2"/>
      <c r="N86" s="6">
        <f t="shared" si="16"/>
        <v>0.50847920881096875</v>
      </c>
      <c r="O86" s="11"/>
      <c r="P86" s="7">
        <v>7121.11</v>
      </c>
      <c r="Q86" s="2"/>
      <c r="R86" s="6">
        <f t="shared" si="17"/>
        <v>8.0409690359610816E-3</v>
      </c>
      <c r="S86" s="2"/>
      <c r="T86" s="7">
        <v>5561.2499999999918</v>
      </c>
      <c r="U86" s="2"/>
      <c r="V86" s="6">
        <f t="shared" si="18"/>
        <v>3.4337054814565959E-3</v>
      </c>
      <c r="W86" s="2"/>
      <c r="X86" s="7">
        <f t="shared" si="19"/>
        <v>1559.8600000000079</v>
      </c>
      <c r="Y86" s="2"/>
      <c r="Z86" s="6">
        <f t="shared" si="20"/>
        <v>0.2804873005169719</v>
      </c>
    </row>
    <row r="87" spans="1:26" s="24" customFormat="1" hidden="1" outlineLevel="2" x14ac:dyDescent="0.25">
      <c r="A87" s="29"/>
      <c r="B87" s="11" t="str">
        <f>CONCATENATE("          ", "6119", " - ", "SICK LEAVE")</f>
        <v xml:space="preserve">          6119 - SICK LEAVE</v>
      </c>
      <c r="C87" s="11"/>
      <c r="D87" s="7">
        <v>889.54</v>
      </c>
      <c r="E87" s="2"/>
      <c r="F87" s="6">
        <f t="shared" si="13"/>
        <v>5.0613747304633335E-3</v>
      </c>
      <c r="G87" s="2"/>
      <c r="H87" s="7">
        <v>1276.8969230769201</v>
      </c>
      <c r="I87" s="2"/>
      <c r="J87" s="6">
        <f t="shared" si="14"/>
        <v>5.2031593227479141E-3</v>
      </c>
      <c r="K87" s="2"/>
      <c r="L87" s="7">
        <f t="shared" si="15"/>
        <v>-387.35692307692011</v>
      </c>
      <c r="M87" s="2"/>
      <c r="N87" s="6">
        <f t="shared" si="16"/>
        <v>-0.30335802058596217</v>
      </c>
      <c r="O87" s="11"/>
      <c r="P87" s="7">
        <v>5124.2700000000004</v>
      </c>
      <c r="Q87" s="2"/>
      <c r="R87" s="6">
        <f t="shared" si="17"/>
        <v>5.7861901307386483E-3</v>
      </c>
      <c r="S87" s="2"/>
      <c r="T87" s="7">
        <v>8351.5549999999803</v>
      </c>
      <c r="U87" s="2"/>
      <c r="V87" s="6">
        <f t="shared" si="18"/>
        <v>5.156534984434474E-3</v>
      </c>
      <c r="W87" s="2"/>
      <c r="X87" s="7">
        <f t="shared" si="19"/>
        <v>-3227.2849999999798</v>
      </c>
      <c r="Y87" s="2"/>
      <c r="Z87" s="6">
        <f t="shared" si="20"/>
        <v>-0.38642923383728989</v>
      </c>
    </row>
    <row r="88" spans="1:26" s="24" customFormat="1" hidden="1" outlineLevel="2" x14ac:dyDescent="0.25">
      <c r="A88" s="29"/>
      <c r="B88" s="11" t="str">
        <f>CONCATENATE("          ", "6156", " - ", "EMPLOYEE MEALS")</f>
        <v xml:space="preserve">          6156 - EMPLOYEE MEALS</v>
      </c>
      <c r="C88" s="11"/>
      <c r="D88" s="7">
        <v>306.52</v>
      </c>
      <c r="E88" s="2"/>
      <c r="F88" s="6">
        <f t="shared" si="13"/>
        <v>1.7440616300353226E-3</v>
      </c>
      <c r="G88" s="2"/>
      <c r="H88" s="7">
        <v>700</v>
      </c>
      <c r="I88" s="2"/>
      <c r="J88" s="6">
        <f t="shared" si="14"/>
        <v>2.8523927500325986E-3</v>
      </c>
      <c r="K88" s="2"/>
      <c r="L88" s="7">
        <f t="shared" si="15"/>
        <v>-393.48</v>
      </c>
      <c r="M88" s="2"/>
      <c r="N88" s="6">
        <f t="shared" si="16"/>
        <v>-0.56211428571428579</v>
      </c>
      <c r="O88" s="11"/>
      <c r="P88" s="7">
        <v>1868.02</v>
      </c>
      <c r="Q88" s="2"/>
      <c r="R88" s="6">
        <f t="shared" si="17"/>
        <v>2.1093187689217017E-3</v>
      </c>
      <c r="S88" s="2"/>
      <c r="T88" s="7">
        <v>4200</v>
      </c>
      <c r="U88" s="2"/>
      <c r="V88" s="6">
        <f t="shared" si="18"/>
        <v>2.5932232901088289E-3</v>
      </c>
      <c r="W88" s="2"/>
      <c r="X88" s="7">
        <f t="shared" si="19"/>
        <v>-2331.98</v>
      </c>
      <c r="Y88" s="2"/>
      <c r="Z88" s="6">
        <f t="shared" si="20"/>
        <v>-0.55523333333333336</v>
      </c>
    </row>
    <row r="89" spans="1:26" s="28" customFormat="1" outlineLevel="1" collapsed="1" x14ac:dyDescent="0.25">
      <c r="A89" s="27"/>
      <c r="B89" s="14" t="str">
        <f>CONCATENATE("     ","*Payroll                                          ")</f>
        <v xml:space="preserve">     *Payroll                                          </v>
      </c>
      <c r="C89" s="14"/>
      <c r="D89" s="1">
        <f>SUM(OSRRefD22_1x_0)</f>
        <v>28873.84</v>
      </c>
      <c r="E89" s="1"/>
      <c r="F89" s="5">
        <f t="shared" ref="F89:F99" si="21">IF(D$12=0,0,D89/D$12)</f>
        <v>0.16428864823104236</v>
      </c>
      <c r="G89" s="1"/>
      <c r="H89" s="1">
        <f>SUM(OSRRefH22_1x_0)</f>
        <v>49513.384615384595</v>
      </c>
      <c r="I89" s="1"/>
      <c r="J89" s="5">
        <f t="shared" ref="J89:J99" si="22">IF(H$12=0,0,H89/H$12)</f>
        <v>0.20175945615214091</v>
      </c>
      <c r="K89" s="1"/>
      <c r="L89" s="1">
        <f t="shared" ref="L89:L99" si="23">+D89-H89</f>
        <v>-20639.544615384595</v>
      </c>
      <c r="M89" s="1"/>
      <c r="N89" s="5">
        <f t="shared" ref="N89:N99" si="24">IF(H89=0,0,L89/H89)</f>
        <v>-0.41684778319459825</v>
      </c>
      <c r="O89" s="14"/>
      <c r="P89" s="1">
        <f>SUM(OSRRefP22_1x_0)</f>
        <v>173372.85</v>
      </c>
      <c r="Q89" s="1"/>
      <c r="R89" s="5">
        <f t="shared" ref="R89:R99" si="25">IF(P$12=0,0,P89/P$12)</f>
        <v>0.19576803595595704</v>
      </c>
      <c r="S89" s="1"/>
      <c r="T89" s="1">
        <f>SUM(OSRRefT22_1x_0)</f>
        <v>327009.5</v>
      </c>
      <c r="U89" s="1"/>
      <c r="V89" s="5">
        <f t="shared" ref="V89:V99" si="26">IF(T$12=0,0,T89/T$12)</f>
        <v>0.20190682178258168</v>
      </c>
      <c r="W89" s="1"/>
      <c r="X89" s="1">
        <f t="shared" ref="X89:X99" si="27">+P89-T89</f>
        <v>-153636.65</v>
      </c>
      <c r="Y89" s="1"/>
      <c r="Z89" s="5">
        <f t="shared" ref="Z89:Z99" si="28">IF(T89=0,0,X89/T89)</f>
        <v>-0.46982320085502099</v>
      </c>
    </row>
    <row r="90" spans="1:26" s="24" customFormat="1" hidden="1" outlineLevel="2" x14ac:dyDescent="0.25">
      <c r="A90" s="29"/>
      <c r="B90" s="11" t="str">
        <f>CONCATENATE("          ", "6001", " - ", "ADMINISTRATIVE SALARIES")</f>
        <v xml:space="preserve">          6001 - ADMINISTRATIVE SALARIES</v>
      </c>
      <c r="C90" s="11"/>
      <c r="D90" s="7"/>
      <c r="E90" s="2"/>
      <c r="F90" s="6">
        <f t="shared" si="21"/>
        <v>0</v>
      </c>
      <c r="G90" s="2"/>
      <c r="H90" s="7">
        <v>0</v>
      </c>
      <c r="I90" s="2"/>
      <c r="J90" s="6">
        <f t="shared" si="22"/>
        <v>0</v>
      </c>
      <c r="K90" s="2"/>
      <c r="L90" s="7">
        <f t="shared" si="23"/>
        <v>0</v>
      </c>
      <c r="M90" s="2"/>
      <c r="N90" s="6">
        <f t="shared" si="24"/>
        <v>0</v>
      </c>
      <c r="O90" s="11"/>
      <c r="P90" s="7"/>
      <c r="Q90" s="2"/>
      <c r="R90" s="6">
        <f t="shared" si="25"/>
        <v>0</v>
      </c>
      <c r="S90" s="2"/>
      <c r="T90" s="7">
        <v>0</v>
      </c>
      <c r="U90" s="2"/>
      <c r="V90" s="6">
        <f t="shared" si="26"/>
        <v>0</v>
      </c>
      <c r="W90" s="2"/>
      <c r="X90" s="7">
        <f t="shared" si="27"/>
        <v>0</v>
      </c>
      <c r="Y90" s="2"/>
      <c r="Z90" s="6">
        <f t="shared" si="28"/>
        <v>0</v>
      </c>
    </row>
    <row r="91" spans="1:26" s="24" customFormat="1" hidden="1" outlineLevel="2" x14ac:dyDescent="0.25">
      <c r="A91" s="29"/>
      <c r="B91" s="11" t="str">
        <f>CONCATENATE("          ", "6002", " - ", "STAFF SALARIES")</f>
        <v xml:space="preserve">          6002 - STAFF SALARIES</v>
      </c>
      <c r="C91" s="11"/>
      <c r="D91" s="7">
        <v>14255.41</v>
      </c>
      <c r="E91" s="2"/>
      <c r="F91" s="6">
        <f t="shared" si="21"/>
        <v>8.111155422622289E-2</v>
      </c>
      <c r="G91" s="2"/>
      <c r="H91" s="7">
        <v>11944.384615384599</v>
      </c>
      <c r="I91" s="2"/>
      <c r="J91" s="6">
        <f t="shared" si="22"/>
        <v>4.8671537257891341E-2</v>
      </c>
      <c r="K91" s="2"/>
      <c r="L91" s="7">
        <f t="shared" si="23"/>
        <v>2311.025384615401</v>
      </c>
      <c r="M91" s="2"/>
      <c r="N91" s="6">
        <f t="shared" si="24"/>
        <v>0.19348216413248745</v>
      </c>
      <c r="O91" s="11"/>
      <c r="P91" s="7">
        <v>75585.47</v>
      </c>
      <c r="Q91" s="2"/>
      <c r="R91" s="6">
        <f t="shared" si="25"/>
        <v>8.5349113247592756E-2</v>
      </c>
      <c r="S91" s="2"/>
      <c r="T91" s="7">
        <v>77638.5</v>
      </c>
      <c r="U91" s="2"/>
      <c r="V91" s="6">
        <f t="shared" si="26"/>
        <v>4.7936658668836743E-2</v>
      </c>
      <c r="W91" s="2"/>
      <c r="X91" s="7">
        <f t="shared" si="27"/>
        <v>-2053.0299999999988</v>
      </c>
      <c r="Y91" s="2"/>
      <c r="Z91" s="6">
        <f t="shared" si="28"/>
        <v>-2.6443452668457001E-2</v>
      </c>
    </row>
    <row r="92" spans="1:26" s="24" customFormat="1" hidden="1" outlineLevel="2" x14ac:dyDescent="0.25">
      <c r="A92" s="29"/>
      <c r="B92" s="11" t="str">
        <f>CONCATENATE("          ", "6003", " - ", "STAFF HOURLY-9 MONTH")</f>
        <v xml:space="preserve">          6003 - STAFF HOURLY-9 MONTH</v>
      </c>
      <c r="C92" s="11"/>
      <c r="D92" s="7"/>
      <c r="E92" s="2"/>
      <c r="F92" s="6">
        <f t="shared" si="21"/>
        <v>0</v>
      </c>
      <c r="G92" s="2"/>
      <c r="H92" s="7">
        <v>0</v>
      </c>
      <c r="I92" s="2"/>
      <c r="J92" s="6">
        <f t="shared" si="22"/>
        <v>0</v>
      </c>
      <c r="K92" s="2"/>
      <c r="L92" s="7">
        <f t="shared" si="23"/>
        <v>0</v>
      </c>
      <c r="M92" s="2"/>
      <c r="N92" s="6">
        <f t="shared" si="24"/>
        <v>0</v>
      </c>
      <c r="O92" s="11"/>
      <c r="P92" s="7"/>
      <c r="Q92" s="2"/>
      <c r="R92" s="6">
        <f t="shared" si="25"/>
        <v>0</v>
      </c>
      <c r="S92" s="2"/>
      <c r="T92" s="7">
        <v>0</v>
      </c>
      <c r="U92" s="2"/>
      <c r="V92" s="6">
        <f t="shared" si="26"/>
        <v>0</v>
      </c>
      <c r="W92" s="2"/>
      <c r="X92" s="7">
        <f t="shared" si="27"/>
        <v>0</v>
      </c>
      <c r="Y92" s="2"/>
      <c r="Z92" s="6">
        <f t="shared" si="28"/>
        <v>0</v>
      </c>
    </row>
    <row r="93" spans="1:26" s="24" customFormat="1" hidden="1" outlineLevel="2" x14ac:dyDescent="0.25">
      <c r="A93" s="29"/>
      <c r="B93" s="11" t="str">
        <f>CONCATENATE("          ", "6004", " - ", "STAFF HOURLY")</f>
        <v xml:space="preserve">          6004 - STAFF HOURLY</v>
      </c>
      <c r="C93" s="11"/>
      <c r="D93" s="7">
        <v>3113.48</v>
      </c>
      <c r="E93" s="2"/>
      <c r="F93" s="6">
        <f t="shared" si="21"/>
        <v>1.7715323645707871E-2</v>
      </c>
      <c r="G93" s="2"/>
      <c r="H93" s="7">
        <v>5337</v>
      </c>
      <c r="I93" s="2"/>
      <c r="J93" s="6">
        <f t="shared" si="22"/>
        <v>2.1747457295605684E-2</v>
      </c>
      <c r="K93" s="2"/>
      <c r="L93" s="7">
        <f t="shared" si="23"/>
        <v>-2223.52</v>
      </c>
      <c r="M93" s="2"/>
      <c r="N93" s="6">
        <f t="shared" si="24"/>
        <v>-0.41662357129473487</v>
      </c>
      <c r="O93" s="11"/>
      <c r="P93" s="7">
        <v>38800.54</v>
      </c>
      <c r="Q93" s="2"/>
      <c r="R93" s="6">
        <f t="shared" si="25"/>
        <v>4.3812543370144459E-2</v>
      </c>
      <c r="S93" s="2"/>
      <c r="T93" s="7">
        <v>34690.5</v>
      </c>
      <c r="U93" s="2"/>
      <c r="V93" s="6">
        <f t="shared" si="26"/>
        <v>2.1419098225123889E-2</v>
      </c>
      <c r="W93" s="2"/>
      <c r="X93" s="7">
        <f t="shared" si="27"/>
        <v>4110.0400000000009</v>
      </c>
      <c r="Y93" s="2"/>
      <c r="Z93" s="6">
        <f t="shared" si="28"/>
        <v>0.11847739294619566</v>
      </c>
    </row>
    <row r="94" spans="1:26" s="24" customFormat="1" hidden="1" outlineLevel="2" x14ac:dyDescent="0.25">
      <c r="A94" s="29"/>
      <c r="B94" s="11" t="str">
        <f>CONCATENATE("          ", "6005", " - ", "TEMPORARY WAGES-HOURLY")</f>
        <v xml:space="preserve">          6005 - TEMPORARY WAGES-HOURLY</v>
      </c>
      <c r="C94" s="11"/>
      <c r="D94" s="7">
        <v>4075.45</v>
      </c>
      <c r="E94" s="2"/>
      <c r="F94" s="6">
        <f t="shared" si="21"/>
        <v>2.3188816292990525E-2</v>
      </c>
      <c r="G94" s="2"/>
      <c r="H94" s="7">
        <v>0</v>
      </c>
      <c r="I94" s="2"/>
      <c r="J94" s="6">
        <f t="shared" si="22"/>
        <v>0</v>
      </c>
      <c r="K94" s="2"/>
      <c r="L94" s="7">
        <f t="shared" si="23"/>
        <v>4075.45</v>
      </c>
      <c r="M94" s="2"/>
      <c r="N94" s="6">
        <f t="shared" si="24"/>
        <v>0</v>
      </c>
      <c r="O94" s="11"/>
      <c r="P94" s="7">
        <v>23614.69</v>
      </c>
      <c r="Q94" s="2"/>
      <c r="R94" s="6">
        <f t="shared" si="25"/>
        <v>2.666508326424108E-2</v>
      </c>
      <c r="S94" s="2"/>
      <c r="T94" s="7">
        <v>0</v>
      </c>
      <c r="U94" s="2"/>
      <c r="V94" s="6">
        <f t="shared" si="26"/>
        <v>0</v>
      </c>
      <c r="W94" s="2"/>
      <c r="X94" s="7">
        <f t="shared" si="27"/>
        <v>23614.69</v>
      </c>
      <c r="Y94" s="2"/>
      <c r="Z94" s="6">
        <f t="shared" si="28"/>
        <v>0</v>
      </c>
    </row>
    <row r="95" spans="1:26" s="24" customFormat="1" hidden="1" outlineLevel="2" x14ac:dyDescent="0.25">
      <c r="A95" s="29"/>
      <c r="B95" s="11" t="str">
        <f>CONCATENATE("          ", "6006", " - ", "TEMPORARY PART TIME")</f>
        <v xml:space="preserve">          6006 - TEMPORARY PART TIME</v>
      </c>
      <c r="C95" s="11"/>
      <c r="D95" s="7"/>
      <c r="E95" s="2"/>
      <c r="F95" s="6">
        <f t="shared" si="21"/>
        <v>0</v>
      </c>
      <c r="G95" s="2"/>
      <c r="H95" s="7">
        <v>0</v>
      </c>
      <c r="I95" s="2"/>
      <c r="J95" s="6">
        <f t="shared" si="22"/>
        <v>0</v>
      </c>
      <c r="K95" s="2"/>
      <c r="L95" s="7">
        <f t="shared" si="23"/>
        <v>0</v>
      </c>
      <c r="M95" s="2"/>
      <c r="N95" s="6">
        <f t="shared" si="24"/>
        <v>0</v>
      </c>
      <c r="O95" s="11"/>
      <c r="P95" s="7"/>
      <c r="Q95" s="2"/>
      <c r="R95" s="6">
        <f t="shared" si="25"/>
        <v>0</v>
      </c>
      <c r="S95" s="2"/>
      <c r="T95" s="7">
        <v>0</v>
      </c>
      <c r="U95" s="2"/>
      <c r="V95" s="6">
        <f t="shared" si="26"/>
        <v>0</v>
      </c>
      <c r="W95" s="2"/>
      <c r="X95" s="7">
        <f t="shared" si="27"/>
        <v>0</v>
      </c>
      <c r="Y95" s="2"/>
      <c r="Z95" s="6">
        <f t="shared" si="28"/>
        <v>0</v>
      </c>
    </row>
    <row r="96" spans="1:26" s="24" customFormat="1" hidden="1" outlineLevel="2" x14ac:dyDescent="0.25">
      <c r="A96" s="29"/>
      <c r="B96" s="11" t="str">
        <f>CONCATENATE("          ", "6007", " - ", "STUDENT HOURLY")</f>
        <v xml:space="preserve">          6007 - STUDENT HOURLY</v>
      </c>
      <c r="C96" s="11"/>
      <c r="D96" s="7">
        <v>6799</v>
      </c>
      <c r="E96" s="2"/>
      <c r="F96" s="6">
        <f t="shared" si="21"/>
        <v>3.8685485523326894E-2</v>
      </c>
      <c r="G96" s="2"/>
      <c r="H96" s="7">
        <v>0</v>
      </c>
      <c r="I96" s="2"/>
      <c r="J96" s="6">
        <f t="shared" si="22"/>
        <v>0</v>
      </c>
      <c r="K96" s="2"/>
      <c r="L96" s="7">
        <f t="shared" si="23"/>
        <v>6799</v>
      </c>
      <c r="M96" s="2"/>
      <c r="N96" s="6">
        <f t="shared" si="24"/>
        <v>0</v>
      </c>
      <c r="O96" s="11"/>
      <c r="P96" s="7">
        <v>32159.129999999997</v>
      </c>
      <c r="Q96" s="2"/>
      <c r="R96" s="6">
        <f t="shared" si="25"/>
        <v>3.6313238884590614E-2</v>
      </c>
      <c r="S96" s="2"/>
      <c r="T96" s="7">
        <v>68776.5</v>
      </c>
      <c r="U96" s="2"/>
      <c r="V96" s="6">
        <f t="shared" si="26"/>
        <v>4.2464957526707113E-2</v>
      </c>
      <c r="W96" s="2"/>
      <c r="X96" s="7">
        <f t="shared" si="27"/>
        <v>-36617.370000000003</v>
      </c>
      <c r="Y96" s="2"/>
      <c r="Z96" s="6">
        <f t="shared" si="28"/>
        <v>-0.53241107064186177</v>
      </c>
    </row>
    <row r="97" spans="1:26" s="24" customFormat="1" hidden="1" outlineLevel="2" x14ac:dyDescent="0.25">
      <c r="A97" s="29"/>
      <c r="B97" s="11" t="str">
        <f>CONCATENATE("          ", "6008", " - ", "STUDENT HOURLY-FICA EXEMPT")</f>
        <v xml:space="preserve">          6008 - STUDENT HOURLY-FICA EXEMPT</v>
      </c>
      <c r="C97" s="11"/>
      <c r="D97" s="7">
        <v>630.5</v>
      </c>
      <c r="E97" s="2"/>
      <c r="F97" s="6">
        <f t="shared" si="21"/>
        <v>3.5874685427941763E-3</v>
      </c>
      <c r="G97" s="2"/>
      <c r="H97" s="7">
        <v>32232</v>
      </c>
      <c r="I97" s="2"/>
      <c r="J97" s="6">
        <f t="shared" si="22"/>
        <v>0.1313404615986439</v>
      </c>
      <c r="K97" s="2"/>
      <c r="L97" s="7">
        <f t="shared" si="23"/>
        <v>-31601.5</v>
      </c>
      <c r="M97" s="2"/>
      <c r="N97" s="6">
        <f t="shared" si="24"/>
        <v>-0.98043869446512777</v>
      </c>
      <c r="O97" s="11"/>
      <c r="P97" s="7">
        <v>3213.02</v>
      </c>
      <c r="Q97" s="2"/>
      <c r="R97" s="6">
        <f t="shared" si="25"/>
        <v>3.6280571893881255E-3</v>
      </c>
      <c r="S97" s="2"/>
      <c r="T97" s="7">
        <v>145904</v>
      </c>
      <c r="U97" s="2"/>
      <c r="V97" s="6">
        <f t="shared" si="26"/>
        <v>9.0086107361913942E-2</v>
      </c>
      <c r="W97" s="2"/>
      <c r="X97" s="7">
        <f t="shared" si="27"/>
        <v>-142690.98000000001</v>
      </c>
      <c r="Y97" s="2"/>
      <c r="Z97" s="6">
        <f t="shared" si="28"/>
        <v>-0.97797853383046396</v>
      </c>
    </row>
    <row r="98" spans="1:26" s="24" customFormat="1" hidden="1" outlineLevel="2" x14ac:dyDescent="0.25">
      <c r="A98" s="29"/>
      <c r="B98" s="11" t="str">
        <f>CONCATENATE("          ", "6009", " - ", "TEMPORARY-SEASONAL")</f>
        <v xml:space="preserve">          6009 - TEMPORARY-SEASONAL</v>
      </c>
      <c r="C98" s="11"/>
      <c r="D98" s="7"/>
      <c r="E98" s="2"/>
      <c r="F98" s="6">
        <f t="shared" si="21"/>
        <v>0</v>
      </c>
      <c r="G98" s="2"/>
      <c r="H98" s="7">
        <v>0</v>
      </c>
      <c r="I98" s="2"/>
      <c r="J98" s="6">
        <f t="shared" si="22"/>
        <v>0</v>
      </c>
      <c r="K98" s="2"/>
      <c r="L98" s="7">
        <f t="shared" si="23"/>
        <v>0</v>
      </c>
      <c r="M98" s="2"/>
      <c r="N98" s="6">
        <f t="shared" si="24"/>
        <v>0</v>
      </c>
      <c r="O98" s="11"/>
      <c r="P98" s="7"/>
      <c r="Q98" s="2"/>
      <c r="R98" s="6">
        <f t="shared" si="25"/>
        <v>0</v>
      </c>
      <c r="S98" s="2"/>
      <c r="T98" s="7">
        <v>0</v>
      </c>
      <c r="U98" s="2"/>
      <c r="V98" s="6">
        <f t="shared" si="26"/>
        <v>0</v>
      </c>
      <c r="W98" s="2"/>
      <c r="X98" s="7">
        <f t="shared" si="27"/>
        <v>0</v>
      </c>
      <c r="Y98" s="2"/>
      <c r="Z98" s="6">
        <f t="shared" si="28"/>
        <v>0</v>
      </c>
    </row>
    <row r="99" spans="1:26" s="24" customFormat="1" hidden="1" outlineLevel="2" x14ac:dyDescent="0.25">
      <c r="A99" s="29"/>
      <c r="B99" s="11" t="str">
        <f>CONCATENATE("          ", "6010", " - ", "GRATUITY")</f>
        <v xml:space="preserve">          6010 - GRATUITY</v>
      </c>
      <c r="C99" s="11"/>
      <c r="D99" s="7"/>
      <c r="E99" s="2"/>
      <c r="F99" s="6">
        <f t="shared" si="21"/>
        <v>0</v>
      </c>
      <c r="G99" s="2"/>
      <c r="H99" s="7">
        <v>0</v>
      </c>
      <c r="I99" s="2"/>
      <c r="J99" s="6">
        <f t="shared" si="22"/>
        <v>0</v>
      </c>
      <c r="K99" s="2"/>
      <c r="L99" s="7">
        <f t="shared" si="23"/>
        <v>0</v>
      </c>
      <c r="M99" s="2"/>
      <c r="N99" s="6">
        <f t="shared" si="24"/>
        <v>0</v>
      </c>
      <c r="O99" s="11"/>
      <c r="P99" s="7"/>
      <c r="Q99" s="2"/>
      <c r="R99" s="6">
        <f t="shared" si="25"/>
        <v>0</v>
      </c>
      <c r="S99" s="2"/>
      <c r="T99" s="7">
        <v>0</v>
      </c>
      <c r="U99" s="2"/>
      <c r="V99" s="6">
        <f t="shared" si="26"/>
        <v>0</v>
      </c>
      <c r="W99" s="2"/>
      <c r="X99" s="7">
        <f t="shared" si="27"/>
        <v>0</v>
      </c>
      <c r="Y99" s="2"/>
      <c r="Z99" s="6">
        <f t="shared" si="28"/>
        <v>0</v>
      </c>
    </row>
    <row r="100" spans="1:26" s="28" customFormat="1" outlineLevel="1" collapsed="1" x14ac:dyDescent="0.25">
      <c r="A100" s="27"/>
      <c r="B100" s="14" t="str">
        <f>CONCATENATE("     ","Advertising/Promo                                 ")</f>
        <v xml:space="preserve">     Advertising/Promo                                 </v>
      </c>
      <c r="C100" s="14"/>
      <c r="D100" s="1">
        <f>SUM(OSRRefD22_2x_0)</f>
        <v>220.5</v>
      </c>
      <c r="E100" s="1"/>
      <c r="F100" s="5">
        <f t="shared" ref="F100:F112" si="29">IF(D$12=0,0,D100/D$12)</f>
        <v>1.2546182611992323E-3</v>
      </c>
      <c r="G100" s="1"/>
      <c r="H100" s="1">
        <f>SUM(OSRRefH22_2x_0)</f>
        <v>580</v>
      </c>
      <c r="I100" s="1"/>
      <c r="J100" s="5">
        <f t="shared" ref="J100:J112" si="30">IF(H$12=0,0,H100/H$12)</f>
        <v>2.363411135741296E-3</v>
      </c>
      <c r="K100" s="1"/>
      <c r="L100" s="1">
        <f t="shared" ref="L100:L112" si="31">+D100-H100</f>
        <v>-359.5</v>
      </c>
      <c r="M100" s="1"/>
      <c r="N100" s="5">
        <f t="shared" ref="N100:N112" si="32">IF(H100=0,0,L100/H100)</f>
        <v>-0.6198275862068966</v>
      </c>
      <c r="O100" s="14"/>
      <c r="P100" s="1">
        <f>SUM(OSRRefP22_2x_0)</f>
        <v>12023.15</v>
      </c>
      <c r="Q100" s="1"/>
      <c r="R100" s="5">
        <f t="shared" ref="R100:R112" si="33">IF(P$12=0,0,P100/P$12)</f>
        <v>1.357622292939099E-2</v>
      </c>
      <c r="S100" s="1"/>
      <c r="T100" s="1">
        <f>SUM(OSRRefT22_2x_0)</f>
        <v>3980</v>
      </c>
      <c r="U100" s="1"/>
      <c r="V100" s="5">
        <f t="shared" ref="V100:V112" si="34">IF(T$12=0,0,T100/T$12)</f>
        <v>2.4573877844364616E-3</v>
      </c>
      <c r="W100" s="1"/>
      <c r="X100" s="1">
        <f t="shared" ref="X100:X112" si="35">+P100-T100</f>
        <v>8043.15</v>
      </c>
      <c r="Y100" s="1"/>
      <c r="Z100" s="5">
        <f t="shared" ref="Z100:Z112" si="36">IF(T100=0,0,X100/T100)</f>
        <v>2.0208919597989947</v>
      </c>
    </row>
    <row r="101" spans="1:26" s="24" customFormat="1" hidden="1" outlineLevel="2" x14ac:dyDescent="0.25">
      <c r="A101" s="29"/>
      <c r="B101" s="11" t="str">
        <f>CONCATENATE("          ", "6362", " - ", "ADVERTISING EXPENSE")</f>
        <v xml:space="preserve">          6362 - ADVERTISING EXPENSE</v>
      </c>
      <c r="C101" s="11"/>
      <c r="D101" s="7">
        <v>220.5</v>
      </c>
      <c r="E101" s="2"/>
      <c r="F101" s="6">
        <f t="shared" si="29"/>
        <v>1.2546182611992323E-3</v>
      </c>
      <c r="G101" s="2"/>
      <c r="H101" s="7">
        <v>580</v>
      </c>
      <c r="I101" s="2"/>
      <c r="J101" s="6">
        <f t="shared" si="30"/>
        <v>2.363411135741296E-3</v>
      </c>
      <c r="K101" s="2"/>
      <c r="L101" s="7">
        <f t="shared" si="31"/>
        <v>-359.5</v>
      </c>
      <c r="M101" s="2"/>
      <c r="N101" s="6">
        <f t="shared" si="32"/>
        <v>-0.6198275862068966</v>
      </c>
      <c r="O101" s="11"/>
      <c r="P101" s="7">
        <v>12023.15</v>
      </c>
      <c r="Q101" s="2"/>
      <c r="R101" s="6">
        <f t="shared" si="33"/>
        <v>1.357622292939099E-2</v>
      </c>
      <c r="S101" s="2"/>
      <c r="T101" s="7">
        <v>3980</v>
      </c>
      <c r="U101" s="2"/>
      <c r="V101" s="6">
        <f t="shared" si="34"/>
        <v>2.4573877844364616E-3</v>
      </c>
      <c r="W101" s="2"/>
      <c r="X101" s="7">
        <f t="shared" si="35"/>
        <v>8043.15</v>
      </c>
      <c r="Y101" s="2"/>
      <c r="Z101" s="6">
        <f t="shared" si="36"/>
        <v>2.0208919597989947</v>
      </c>
    </row>
    <row r="102" spans="1:26" s="28" customFormat="1" outlineLevel="1" collapsed="1" x14ac:dyDescent="0.25">
      <c r="A102" s="27"/>
      <c r="B102" s="14" t="str">
        <f>CONCATENATE("     ","Bad Debts/Over/Short                              ")</f>
        <v xml:space="preserve">     Bad Debts/Over/Short                              </v>
      </c>
      <c r="C102" s="14"/>
      <c r="D102" s="1">
        <f>SUM(OSRRefD22_3x_0)</f>
        <v>0</v>
      </c>
      <c r="E102" s="1"/>
      <c r="F102" s="5">
        <f t="shared" si="29"/>
        <v>0</v>
      </c>
      <c r="G102" s="1"/>
      <c r="H102" s="1">
        <f>SUM(OSRRefH22_3x_0)</f>
        <v>0</v>
      </c>
      <c r="I102" s="1"/>
      <c r="J102" s="5">
        <f t="shared" si="30"/>
        <v>0</v>
      </c>
      <c r="K102" s="1"/>
      <c r="L102" s="1">
        <f t="shared" si="31"/>
        <v>0</v>
      </c>
      <c r="M102" s="1"/>
      <c r="N102" s="5">
        <f t="shared" si="32"/>
        <v>0</v>
      </c>
      <c r="O102" s="14"/>
      <c r="P102" s="1">
        <f>SUM(OSRRefP22_3x_0)</f>
        <v>0</v>
      </c>
      <c r="Q102" s="1"/>
      <c r="R102" s="5">
        <f t="shared" si="33"/>
        <v>0</v>
      </c>
      <c r="S102" s="1"/>
      <c r="T102" s="1">
        <f>SUM(OSRRefT22_3x_0)</f>
        <v>0</v>
      </c>
      <c r="U102" s="1"/>
      <c r="V102" s="5">
        <f t="shared" si="34"/>
        <v>0</v>
      </c>
      <c r="W102" s="1"/>
      <c r="X102" s="1">
        <f t="shared" si="35"/>
        <v>0</v>
      </c>
      <c r="Y102" s="1"/>
      <c r="Z102" s="5">
        <f t="shared" si="36"/>
        <v>0</v>
      </c>
    </row>
    <row r="103" spans="1:26" s="24" customFormat="1" hidden="1" outlineLevel="2" x14ac:dyDescent="0.25">
      <c r="A103" s="29"/>
      <c r="B103" s="11" t="str">
        <f>CONCATENATE("          ", "6272", " - ", "CASH (OVER/SHORT)")</f>
        <v xml:space="preserve">          6272 - CASH (OVER/SHORT)</v>
      </c>
      <c r="C103" s="11"/>
      <c r="D103" s="7"/>
      <c r="E103" s="2"/>
      <c r="F103" s="6">
        <f t="shared" si="29"/>
        <v>0</v>
      </c>
      <c r="G103" s="2"/>
      <c r="H103" s="7">
        <v>0</v>
      </c>
      <c r="I103" s="2"/>
      <c r="J103" s="6">
        <f t="shared" si="30"/>
        <v>0</v>
      </c>
      <c r="K103" s="2"/>
      <c r="L103" s="7">
        <f t="shared" si="31"/>
        <v>0</v>
      </c>
      <c r="M103" s="2"/>
      <c r="N103" s="6">
        <f t="shared" si="32"/>
        <v>0</v>
      </c>
      <c r="O103" s="11"/>
      <c r="P103" s="7"/>
      <c r="Q103" s="2"/>
      <c r="R103" s="6">
        <f t="shared" si="33"/>
        <v>0</v>
      </c>
      <c r="S103" s="2"/>
      <c r="T103" s="7">
        <v>0</v>
      </c>
      <c r="U103" s="2"/>
      <c r="V103" s="6">
        <f t="shared" si="34"/>
        <v>0</v>
      </c>
      <c r="W103" s="2"/>
      <c r="X103" s="7">
        <f t="shared" si="35"/>
        <v>0</v>
      </c>
      <c r="Y103" s="2"/>
      <c r="Z103" s="6">
        <f t="shared" si="36"/>
        <v>0</v>
      </c>
    </row>
    <row r="104" spans="1:26" s="28" customFormat="1" outlineLevel="1" collapsed="1" x14ac:dyDescent="0.25">
      <c r="A104" s="27"/>
      <c r="B104" s="14" t="str">
        <f>CONCATENATE("     ","Bank/card Fees                                    ")</f>
        <v xml:space="preserve">     Bank/card Fees                                    </v>
      </c>
      <c r="C104" s="14"/>
      <c r="D104" s="1">
        <f>SUM(OSRRefD22_4x_0)</f>
        <v>0</v>
      </c>
      <c r="E104" s="1"/>
      <c r="F104" s="5">
        <f t="shared" si="29"/>
        <v>0</v>
      </c>
      <c r="G104" s="1"/>
      <c r="H104" s="1">
        <f>SUM(OSRRefH22_4x_0)</f>
        <v>0</v>
      </c>
      <c r="I104" s="1"/>
      <c r="J104" s="5">
        <f t="shared" si="30"/>
        <v>0</v>
      </c>
      <c r="K104" s="1"/>
      <c r="L104" s="1">
        <f t="shared" si="31"/>
        <v>0</v>
      </c>
      <c r="M104" s="1"/>
      <c r="N104" s="5">
        <f t="shared" si="32"/>
        <v>0</v>
      </c>
      <c r="O104" s="14"/>
      <c r="P104" s="1">
        <f>SUM(OSRRefP22_4x_0)</f>
        <v>0</v>
      </c>
      <c r="Q104" s="1"/>
      <c r="R104" s="5">
        <f t="shared" si="33"/>
        <v>0</v>
      </c>
      <c r="S104" s="1"/>
      <c r="T104" s="1">
        <f>SUM(OSRRefT22_4x_0)</f>
        <v>0</v>
      </c>
      <c r="U104" s="1"/>
      <c r="V104" s="5">
        <f t="shared" si="34"/>
        <v>0</v>
      </c>
      <c r="W104" s="1"/>
      <c r="X104" s="1">
        <f t="shared" si="35"/>
        <v>0</v>
      </c>
      <c r="Y104" s="1"/>
      <c r="Z104" s="5">
        <f t="shared" si="36"/>
        <v>0</v>
      </c>
    </row>
    <row r="105" spans="1:26" s="24" customFormat="1" hidden="1" outlineLevel="2" x14ac:dyDescent="0.25">
      <c r="A105" s="29"/>
      <c r="B105" s="11" t="str">
        <f>CONCATENATE("          ", "6381", " - ", "BANK/CREDIT CARD FEES")</f>
        <v xml:space="preserve">          6381 - BANK/CREDIT CARD FEES</v>
      </c>
      <c r="C105" s="11"/>
      <c r="D105" s="7"/>
      <c r="E105" s="2"/>
      <c r="F105" s="6">
        <f t="shared" si="29"/>
        <v>0</v>
      </c>
      <c r="G105" s="2"/>
      <c r="H105" s="7">
        <v>0</v>
      </c>
      <c r="I105" s="2"/>
      <c r="J105" s="6">
        <f t="shared" si="30"/>
        <v>0</v>
      </c>
      <c r="K105" s="2"/>
      <c r="L105" s="7">
        <f t="shared" si="31"/>
        <v>0</v>
      </c>
      <c r="M105" s="2"/>
      <c r="N105" s="6">
        <f t="shared" si="32"/>
        <v>0</v>
      </c>
      <c r="O105" s="11"/>
      <c r="P105" s="7"/>
      <c r="Q105" s="2"/>
      <c r="R105" s="6">
        <f t="shared" si="33"/>
        <v>0</v>
      </c>
      <c r="S105" s="2"/>
      <c r="T105" s="7">
        <v>0</v>
      </c>
      <c r="U105" s="2"/>
      <c r="V105" s="6">
        <f t="shared" si="34"/>
        <v>0</v>
      </c>
      <c r="W105" s="2"/>
      <c r="X105" s="7">
        <f t="shared" si="35"/>
        <v>0</v>
      </c>
      <c r="Y105" s="2"/>
      <c r="Z105" s="6">
        <f t="shared" si="36"/>
        <v>0</v>
      </c>
    </row>
    <row r="106" spans="1:26" s="28" customFormat="1" outlineLevel="1" collapsed="1" x14ac:dyDescent="0.25">
      <c r="A106" s="27"/>
      <c r="B106" s="14" t="str">
        <f>CONCATENATE("     ","Discounts and Markdowns                           ")</f>
        <v xml:space="preserve">     Discounts and Markdowns                           </v>
      </c>
      <c r="C106" s="14"/>
      <c r="D106" s="1">
        <f>SUM(OSRRefD22_5x_0)</f>
        <v>0</v>
      </c>
      <c r="E106" s="1"/>
      <c r="F106" s="5">
        <f t="shared" si="29"/>
        <v>0</v>
      </c>
      <c r="G106" s="1"/>
      <c r="H106" s="1">
        <f>SUM(OSRRefH22_5x_0)</f>
        <v>18406</v>
      </c>
      <c r="I106" s="1"/>
      <c r="J106" s="5">
        <f t="shared" si="30"/>
        <v>7.5001629938714301E-2</v>
      </c>
      <c r="K106" s="1"/>
      <c r="L106" s="1">
        <f t="shared" si="31"/>
        <v>-18406</v>
      </c>
      <c r="M106" s="1"/>
      <c r="N106" s="5">
        <f t="shared" si="32"/>
        <v>-1</v>
      </c>
      <c r="O106" s="14"/>
      <c r="P106" s="1">
        <f>SUM(OSRRefP22_5x_0)</f>
        <v>0</v>
      </c>
      <c r="Q106" s="1"/>
      <c r="R106" s="5">
        <f t="shared" si="33"/>
        <v>0</v>
      </c>
      <c r="S106" s="1"/>
      <c r="T106" s="1">
        <f>SUM(OSRRefT22_5x_0)</f>
        <v>121470.00000000001</v>
      </c>
      <c r="U106" s="1"/>
      <c r="V106" s="5">
        <f t="shared" si="34"/>
        <v>7.4999722154647494E-2</v>
      </c>
      <c r="W106" s="1"/>
      <c r="X106" s="1">
        <f t="shared" si="35"/>
        <v>-121470.00000000001</v>
      </c>
      <c r="Y106" s="1"/>
      <c r="Z106" s="5">
        <f t="shared" si="36"/>
        <v>-1</v>
      </c>
    </row>
    <row r="107" spans="1:26" s="24" customFormat="1" hidden="1" outlineLevel="2" x14ac:dyDescent="0.25">
      <c r="A107" s="29"/>
      <c r="B107" s="11" t="str">
        <f>CONCATENATE("          ", "6382", " - ", "DISCOUNTS/MARK DOWNS")</f>
        <v xml:space="preserve">          6382 - DISCOUNTS/MARK DOWNS</v>
      </c>
      <c r="C107" s="11"/>
      <c r="D107" s="7"/>
      <c r="E107" s="2"/>
      <c r="F107" s="6">
        <f t="shared" si="29"/>
        <v>0</v>
      </c>
      <c r="G107" s="2"/>
      <c r="H107" s="7">
        <v>18406</v>
      </c>
      <c r="I107" s="2"/>
      <c r="J107" s="6">
        <f t="shared" si="30"/>
        <v>7.5001629938714301E-2</v>
      </c>
      <c r="K107" s="2"/>
      <c r="L107" s="7">
        <f t="shared" si="31"/>
        <v>-18406</v>
      </c>
      <c r="M107" s="2"/>
      <c r="N107" s="6">
        <f t="shared" si="32"/>
        <v>-1</v>
      </c>
      <c r="O107" s="11"/>
      <c r="P107" s="7"/>
      <c r="Q107" s="2"/>
      <c r="R107" s="6">
        <f t="shared" si="33"/>
        <v>0</v>
      </c>
      <c r="S107" s="2"/>
      <c r="T107" s="7">
        <v>121470.00000000001</v>
      </c>
      <c r="U107" s="2"/>
      <c r="V107" s="6">
        <f t="shared" si="34"/>
        <v>7.4999722154647494E-2</v>
      </c>
      <c r="W107" s="2"/>
      <c r="X107" s="7">
        <f t="shared" si="35"/>
        <v>-121470.00000000001</v>
      </c>
      <c r="Y107" s="2"/>
      <c r="Z107" s="6">
        <f t="shared" si="36"/>
        <v>-1</v>
      </c>
    </row>
    <row r="108" spans="1:26" s="28" customFormat="1" outlineLevel="1" collapsed="1" x14ac:dyDescent="0.25">
      <c r="A108" s="27"/>
      <c r="B108" s="14" t="str">
        <f>CONCATENATE("     ","Employees' Appreciation                           ")</f>
        <v xml:space="preserve">     Employees' Appreciation                           </v>
      </c>
      <c r="C108" s="14"/>
      <c r="D108" s="1">
        <f>SUM(OSRRefD22_6x_0)</f>
        <v>0</v>
      </c>
      <c r="E108" s="1"/>
      <c r="F108" s="5">
        <f t="shared" si="29"/>
        <v>0</v>
      </c>
      <c r="G108" s="1"/>
      <c r="H108" s="1">
        <f>SUM(OSRRefH22_6x_0)</f>
        <v>150</v>
      </c>
      <c r="I108" s="1"/>
      <c r="J108" s="5">
        <f t="shared" si="30"/>
        <v>6.1122701786412836E-4</v>
      </c>
      <c r="K108" s="1"/>
      <c r="L108" s="1">
        <f t="shared" si="31"/>
        <v>-150</v>
      </c>
      <c r="M108" s="1"/>
      <c r="N108" s="5">
        <f t="shared" si="32"/>
        <v>-1</v>
      </c>
      <c r="O108" s="14"/>
      <c r="P108" s="1">
        <f>SUM(OSRRefP22_6x_0)</f>
        <v>0</v>
      </c>
      <c r="Q108" s="1"/>
      <c r="R108" s="5">
        <f t="shared" si="33"/>
        <v>0</v>
      </c>
      <c r="S108" s="1"/>
      <c r="T108" s="1">
        <f>SUM(OSRRefT22_6x_0)</f>
        <v>900</v>
      </c>
      <c r="U108" s="1"/>
      <c r="V108" s="5">
        <f t="shared" si="34"/>
        <v>5.556907050233205E-4</v>
      </c>
      <c r="W108" s="1"/>
      <c r="X108" s="1">
        <f t="shared" si="35"/>
        <v>-900</v>
      </c>
      <c r="Y108" s="1"/>
      <c r="Z108" s="5">
        <f t="shared" si="36"/>
        <v>-1</v>
      </c>
    </row>
    <row r="109" spans="1:26" s="24" customFormat="1" hidden="1" outlineLevel="2" x14ac:dyDescent="0.25">
      <c r="A109" s="29"/>
      <c r="B109" s="11" t="str">
        <f>CONCATENATE("          ", "6277", " - ", "EMPLOYEE APPRECIATION")</f>
        <v xml:space="preserve">          6277 - EMPLOYEE APPRECIATION</v>
      </c>
      <c r="C109" s="11"/>
      <c r="D109" s="7"/>
      <c r="E109" s="2"/>
      <c r="F109" s="6">
        <f t="shared" si="29"/>
        <v>0</v>
      </c>
      <c r="G109" s="2"/>
      <c r="H109" s="7">
        <v>150</v>
      </c>
      <c r="I109" s="2"/>
      <c r="J109" s="6">
        <f t="shared" si="30"/>
        <v>6.1122701786412836E-4</v>
      </c>
      <c r="K109" s="2"/>
      <c r="L109" s="7">
        <f t="shared" si="31"/>
        <v>-150</v>
      </c>
      <c r="M109" s="2"/>
      <c r="N109" s="6">
        <f t="shared" si="32"/>
        <v>-1</v>
      </c>
      <c r="O109" s="11"/>
      <c r="P109" s="7"/>
      <c r="Q109" s="2"/>
      <c r="R109" s="6">
        <f t="shared" si="33"/>
        <v>0</v>
      </c>
      <c r="S109" s="2"/>
      <c r="T109" s="7">
        <v>900</v>
      </c>
      <c r="U109" s="2"/>
      <c r="V109" s="6">
        <f t="shared" si="34"/>
        <v>5.556907050233205E-4</v>
      </c>
      <c r="W109" s="2"/>
      <c r="X109" s="7">
        <f t="shared" si="35"/>
        <v>-900</v>
      </c>
      <c r="Y109" s="2"/>
      <c r="Z109" s="6">
        <f t="shared" si="36"/>
        <v>-1</v>
      </c>
    </row>
    <row r="110" spans="1:26" s="28" customFormat="1" outlineLevel="1" collapsed="1" x14ac:dyDescent="0.25">
      <c r="A110" s="27"/>
      <c r="B110" s="14" t="str">
        <f>CONCATENATE("     ","Freight out/Postage                               ")</f>
        <v xml:space="preserve">     Freight out/Postage                               </v>
      </c>
      <c r="C110" s="14"/>
      <c r="D110" s="1">
        <f>SUM(OSRRefD22_7x_0)</f>
        <v>15.280000000000001</v>
      </c>
      <c r="E110" s="1"/>
      <c r="F110" s="5">
        <f t="shared" si="29"/>
        <v>8.6941347079928661E-5</v>
      </c>
      <c r="G110" s="1"/>
      <c r="H110" s="1">
        <f>SUM(OSRRefH22_7x_0)</f>
        <v>10</v>
      </c>
      <c r="I110" s="1"/>
      <c r="J110" s="5">
        <f t="shared" si="30"/>
        <v>4.0748467857608554E-5</v>
      </c>
      <c r="K110" s="1"/>
      <c r="L110" s="1">
        <f t="shared" si="31"/>
        <v>5.2800000000000011</v>
      </c>
      <c r="M110" s="1"/>
      <c r="N110" s="5">
        <f t="shared" si="32"/>
        <v>0.52800000000000014</v>
      </c>
      <c r="O110" s="14"/>
      <c r="P110" s="1">
        <f>SUM(OSRRefP22_7x_0)</f>
        <v>107.24</v>
      </c>
      <c r="Q110" s="1"/>
      <c r="R110" s="5">
        <f t="shared" si="33"/>
        <v>1.2109257116046042E-4</v>
      </c>
      <c r="S110" s="1"/>
      <c r="T110" s="1">
        <f>SUM(OSRRefT22_7x_0)</f>
        <v>60</v>
      </c>
      <c r="U110" s="1"/>
      <c r="V110" s="5">
        <f t="shared" si="34"/>
        <v>3.7046047001554698E-5</v>
      </c>
      <c r="W110" s="1"/>
      <c r="X110" s="1">
        <f t="shared" si="35"/>
        <v>47.239999999999995</v>
      </c>
      <c r="Y110" s="1"/>
      <c r="Z110" s="5">
        <f t="shared" si="36"/>
        <v>0.78733333333333322</v>
      </c>
    </row>
    <row r="111" spans="1:26" s="24" customFormat="1" hidden="1" outlineLevel="2" x14ac:dyDescent="0.25">
      <c r="A111" s="29"/>
      <c r="B111" s="11" t="str">
        <f>CONCATENATE("          ", "6305", " - ", "FREIGHT OUT")</f>
        <v xml:space="preserve">          6305 - FREIGHT OUT</v>
      </c>
      <c r="C111" s="11"/>
      <c r="D111" s="7">
        <v>21.28</v>
      </c>
      <c r="E111" s="2"/>
      <c r="F111" s="6">
        <f t="shared" si="29"/>
        <v>1.2108061949351321E-4</v>
      </c>
      <c r="G111" s="2"/>
      <c r="H111" s="7"/>
      <c r="I111" s="2"/>
      <c r="J111" s="6">
        <f t="shared" si="30"/>
        <v>0</v>
      </c>
      <c r="K111" s="2"/>
      <c r="L111" s="7">
        <f t="shared" si="31"/>
        <v>21.28</v>
      </c>
      <c r="M111" s="2"/>
      <c r="N111" s="6">
        <f t="shared" si="32"/>
        <v>0</v>
      </c>
      <c r="O111" s="11"/>
      <c r="P111" s="7">
        <v>113.24</v>
      </c>
      <c r="Q111" s="2"/>
      <c r="R111" s="6">
        <f t="shared" si="33"/>
        <v>1.2786761244135153E-4</v>
      </c>
      <c r="S111" s="2"/>
      <c r="T111" s="7"/>
      <c r="U111" s="2"/>
      <c r="V111" s="6">
        <f t="shared" si="34"/>
        <v>0</v>
      </c>
      <c r="W111" s="2"/>
      <c r="X111" s="7">
        <f t="shared" si="35"/>
        <v>113.24</v>
      </c>
      <c r="Y111" s="2"/>
      <c r="Z111" s="6">
        <f t="shared" si="36"/>
        <v>0</v>
      </c>
    </row>
    <row r="112" spans="1:26" s="24" customFormat="1" hidden="1" outlineLevel="2" x14ac:dyDescent="0.25">
      <c r="A112" s="29"/>
      <c r="B112" s="11" t="str">
        <f>CONCATENATE("          ", "6307", " - ", "POSTAGE")</f>
        <v xml:space="preserve">          6307 - POSTAGE</v>
      </c>
      <c r="C112" s="11"/>
      <c r="D112" s="7">
        <v>-6</v>
      </c>
      <c r="E112" s="2"/>
      <c r="F112" s="6">
        <f t="shared" si="29"/>
        <v>-3.4139272413584548E-5</v>
      </c>
      <c r="G112" s="2"/>
      <c r="H112" s="7">
        <v>10</v>
      </c>
      <c r="I112" s="2"/>
      <c r="J112" s="6">
        <f t="shared" si="30"/>
        <v>4.0748467857608554E-5</v>
      </c>
      <c r="K112" s="2"/>
      <c r="L112" s="7">
        <f t="shared" si="31"/>
        <v>-16</v>
      </c>
      <c r="M112" s="2"/>
      <c r="N112" s="6">
        <f t="shared" si="32"/>
        <v>-1.6</v>
      </c>
      <c r="O112" s="11"/>
      <c r="P112" s="7">
        <v>-6</v>
      </c>
      <c r="Q112" s="2"/>
      <c r="R112" s="6">
        <f t="shared" si="33"/>
        <v>-6.7750412808911093E-6</v>
      </c>
      <c r="S112" s="2"/>
      <c r="T112" s="7">
        <v>60</v>
      </c>
      <c r="U112" s="2"/>
      <c r="V112" s="6">
        <f t="shared" si="34"/>
        <v>3.7046047001554698E-5</v>
      </c>
      <c r="W112" s="2"/>
      <c r="X112" s="7">
        <f t="shared" si="35"/>
        <v>-66</v>
      </c>
      <c r="Y112" s="2"/>
      <c r="Z112" s="6">
        <f t="shared" si="36"/>
        <v>-1.1000000000000001</v>
      </c>
    </row>
    <row r="113" spans="1:26" s="28" customFormat="1" outlineLevel="1" collapsed="1" x14ac:dyDescent="0.25">
      <c r="A113" s="27"/>
      <c r="B113" s="14" t="str">
        <f>CONCATENATE("     ","General                                           ")</f>
        <v xml:space="preserve">     General                                           </v>
      </c>
      <c r="C113" s="14"/>
      <c r="D113" s="1">
        <f>SUM(OSRRefD22_8x_0)</f>
        <v>0</v>
      </c>
      <c r="E113" s="1"/>
      <c r="F113" s="5">
        <f t="shared" ref="F113:F124" si="37">IF(D$12=0,0,D113/D$12)</f>
        <v>0</v>
      </c>
      <c r="G113" s="1"/>
      <c r="H113" s="1">
        <f>SUM(OSRRefH22_8x_0)</f>
        <v>0</v>
      </c>
      <c r="I113" s="1"/>
      <c r="J113" s="5">
        <f t="shared" ref="J113:J124" si="38">IF(H$12=0,0,H113/H$12)</f>
        <v>0</v>
      </c>
      <c r="K113" s="1"/>
      <c r="L113" s="1">
        <f t="shared" ref="L113:L124" si="39">+D113-H113</f>
        <v>0</v>
      </c>
      <c r="M113" s="1"/>
      <c r="N113" s="5">
        <f t="shared" ref="N113:N124" si="40">IF(H113=0,0,L113/H113)</f>
        <v>0</v>
      </c>
      <c r="O113" s="14"/>
      <c r="P113" s="1">
        <f>SUM(OSRRefP22_8x_0)</f>
        <v>0</v>
      </c>
      <c r="Q113" s="1"/>
      <c r="R113" s="5">
        <f t="shared" ref="R113:R124" si="41">IF(P$12=0,0,P113/P$12)</f>
        <v>0</v>
      </c>
      <c r="S113" s="1"/>
      <c r="T113" s="1">
        <f>SUM(OSRRefT22_8x_0)</f>
        <v>0</v>
      </c>
      <c r="U113" s="1"/>
      <c r="V113" s="5">
        <f t="shared" ref="V113:V124" si="42">IF(T$12=0,0,T113/T$12)</f>
        <v>0</v>
      </c>
      <c r="W113" s="1"/>
      <c r="X113" s="1">
        <f t="shared" ref="X113:X124" si="43">+P113-T113</f>
        <v>0</v>
      </c>
      <c r="Y113" s="1"/>
      <c r="Z113" s="5">
        <f t="shared" ref="Z113:Z124" si="44">IF(T113=0,0,X113/T113)</f>
        <v>0</v>
      </c>
    </row>
    <row r="114" spans="1:26" s="24" customFormat="1" hidden="1" outlineLevel="2" x14ac:dyDescent="0.25">
      <c r="A114" s="29"/>
      <c r="B114" s="11" t="str">
        <f>CONCATENATE("          ", "6279", " - ", "GENERAL EXPENSE")</f>
        <v xml:space="preserve">          6279 - GENERAL EXPENSE</v>
      </c>
      <c r="C114" s="11"/>
      <c r="D114" s="7"/>
      <c r="E114" s="2"/>
      <c r="F114" s="6">
        <f t="shared" si="37"/>
        <v>0</v>
      </c>
      <c r="G114" s="2"/>
      <c r="H114" s="7">
        <v>0</v>
      </c>
      <c r="I114" s="2"/>
      <c r="J114" s="6">
        <f t="shared" si="38"/>
        <v>0</v>
      </c>
      <c r="K114" s="2"/>
      <c r="L114" s="7">
        <f t="shared" si="39"/>
        <v>0</v>
      </c>
      <c r="M114" s="2"/>
      <c r="N114" s="6">
        <f t="shared" si="40"/>
        <v>0</v>
      </c>
      <c r="O114" s="11"/>
      <c r="P114" s="7"/>
      <c r="Q114" s="2"/>
      <c r="R114" s="6">
        <f t="shared" si="41"/>
        <v>0</v>
      </c>
      <c r="S114" s="2"/>
      <c r="T114" s="7">
        <v>0</v>
      </c>
      <c r="U114" s="2"/>
      <c r="V114" s="6">
        <f t="shared" si="42"/>
        <v>0</v>
      </c>
      <c r="W114" s="2"/>
      <c r="X114" s="7">
        <f t="shared" si="43"/>
        <v>0</v>
      </c>
      <c r="Y114" s="2"/>
      <c r="Z114" s="6">
        <f t="shared" si="44"/>
        <v>0</v>
      </c>
    </row>
    <row r="115" spans="1:26" s="28" customFormat="1" outlineLevel="1" collapsed="1" x14ac:dyDescent="0.25">
      <c r="A115" s="27"/>
      <c r="B115" s="14" t="str">
        <f>CONCATENATE("     ","Inventory Adjustment                              ")</f>
        <v xml:space="preserve">     Inventory Adjustment                              </v>
      </c>
      <c r="C115" s="14"/>
      <c r="D115" s="1">
        <f>SUM(OSRRefD22_9x_0)</f>
        <v>1000</v>
      </c>
      <c r="E115" s="1"/>
      <c r="F115" s="5">
        <f t="shared" si="37"/>
        <v>5.6898787355974248E-3</v>
      </c>
      <c r="G115" s="1"/>
      <c r="H115" s="1">
        <f>SUM(OSRRefH22_9x_0)</f>
        <v>1000</v>
      </c>
      <c r="I115" s="1"/>
      <c r="J115" s="5">
        <f t="shared" si="38"/>
        <v>4.0748467857608557E-3</v>
      </c>
      <c r="K115" s="1"/>
      <c r="L115" s="1">
        <f t="shared" si="39"/>
        <v>0</v>
      </c>
      <c r="M115" s="1"/>
      <c r="N115" s="5">
        <f t="shared" si="40"/>
        <v>0</v>
      </c>
      <c r="O115" s="14"/>
      <c r="P115" s="1">
        <f>SUM(OSRRefP22_9x_0)</f>
        <v>6000</v>
      </c>
      <c r="Q115" s="1"/>
      <c r="R115" s="5">
        <f t="shared" si="41"/>
        <v>6.7750412808911097E-3</v>
      </c>
      <c r="S115" s="1"/>
      <c r="T115" s="1">
        <f>SUM(OSRRefT22_9x_0)</f>
        <v>6000</v>
      </c>
      <c r="U115" s="1"/>
      <c r="V115" s="5">
        <f t="shared" si="42"/>
        <v>3.7046047001554699E-3</v>
      </c>
      <c r="W115" s="1"/>
      <c r="X115" s="1">
        <f t="shared" si="43"/>
        <v>0</v>
      </c>
      <c r="Y115" s="1"/>
      <c r="Z115" s="5">
        <f t="shared" si="44"/>
        <v>0</v>
      </c>
    </row>
    <row r="116" spans="1:26" s="24" customFormat="1" hidden="1" outlineLevel="2" x14ac:dyDescent="0.25">
      <c r="A116" s="29"/>
      <c r="B116" s="11" t="str">
        <f>CONCATENATE("          ", "6408", " - ", "INVENTORY ADJUSTMENT")</f>
        <v xml:space="preserve">          6408 - INVENTORY ADJUSTMENT</v>
      </c>
      <c r="C116" s="11"/>
      <c r="D116" s="7">
        <v>1000</v>
      </c>
      <c r="E116" s="2"/>
      <c r="F116" s="6">
        <f t="shared" si="37"/>
        <v>5.6898787355974248E-3</v>
      </c>
      <c r="G116" s="2"/>
      <c r="H116" s="7">
        <v>1000</v>
      </c>
      <c r="I116" s="2"/>
      <c r="J116" s="6">
        <f t="shared" si="38"/>
        <v>4.0748467857608557E-3</v>
      </c>
      <c r="K116" s="2"/>
      <c r="L116" s="7">
        <f t="shared" si="39"/>
        <v>0</v>
      </c>
      <c r="M116" s="2"/>
      <c r="N116" s="6">
        <f t="shared" si="40"/>
        <v>0</v>
      </c>
      <c r="O116" s="11"/>
      <c r="P116" s="7">
        <v>6000</v>
      </c>
      <c r="Q116" s="2"/>
      <c r="R116" s="6">
        <f t="shared" si="41"/>
        <v>6.7750412808911097E-3</v>
      </c>
      <c r="S116" s="2"/>
      <c r="T116" s="7">
        <v>6000</v>
      </c>
      <c r="U116" s="2"/>
      <c r="V116" s="6">
        <f t="shared" si="42"/>
        <v>3.7046047001554699E-3</v>
      </c>
      <c r="W116" s="2"/>
      <c r="X116" s="7">
        <f t="shared" si="43"/>
        <v>0</v>
      </c>
      <c r="Y116" s="2"/>
      <c r="Z116" s="6">
        <f t="shared" si="44"/>
        <v>0</v>
      </c>
    </row>
    <row r="117" spans="1:26" s="28" customFormat="1" outlineLevel="1" collapsed="1" x14ac:dyDescent="0.25">
      <c r="A117" s="27"/>
      <c r="B117" s="14" t="str">
        <f>CONCATENATE("     ","Professional Services                             ")</f>
        <v xml:space="preserve">     Professional Services                             </v>
      </c>
      <c r="C117" s="14"/>
      <c r="D117" s="1">
        <f>SUM(OSRRefD22_10x_0)</f>
        <v>0</v>
      </c>
      <c r="E117" s="1"/>
      <c r="F117" s="5">
        <f t="shared" si="37"/>
        <v>0</v>
      </c>
      <c r="G117" s="1"/>
      <c r="H117" s="1">
        <f>SUM(OSRRefH22_10x_0)</f>
        <v>0</v>
      </c>
      <c r="I117" s="1"/>
      <c r="J117" s="5">
        <f t="shared" si="38"/>
        <v>0</v>
      </c>
      <c r="K117" s="1"/>
      <c r="L117" s="1">
        <f t="shared" si="39"/>
        <v>0</v>
      </c>
      <c r="M117" s="1"/>
      <c r="N117" s="5">
        <f t="shared" si="40"/>
        <v>0</v>
      </c>
      <c r="O117" s="14"/>
      <c r="P117" s="1">
        <f>SUM(OSRRefP22_10x_0)</f>
        <v>0</v>
      </c>
      <c r="Q117" s="1"/>
      <c r="R117" s="5">
        <f t="shared" si="41"/>
        <v>0</v>
      </c>
      <c r="S117" s="1"/>
      <c r="T117" s="1">
        <f>SUM(OSRRefT22_10x_0)</f>
        <v>5250</v>
      </c>
      <c r="U117" s="1"/>
      <c r="V117" s="5">
        <f t="shared" si="42"/>
        <v>3.2415291126360363E-3</v>
      </c>
      <c r="W117" s="1"/>
      <c r="X117" s="1">
        <f t="shared" si="43"/>
        <v>-5250</v>
      </c>
      <c r="Y117" s="1"/>
      <c r="Z117" s="5">
        <f t="shared" si="44"/>
        <v>-1</v>
      </c>
    </row>
    <row r="118" spans="1:26" s="24" customFormat="1" hidden="1" outlineLevel="2" x14ac:dyDescent="0.25">
      <c r="A118" s="29"/>
      <c r="B118" s="11" t="str">
        <f>CONCATENATE("          ", "6336", " - ", "PROFESSIONAL SERVICES")</f>
        <v xml:space="preserve">          6336 - PROFESSIONAL SERVICES</v>
      </c>
      <c r="C118" s="11"/>
      <c r="D118" s="7"/>
      <c r="E118" s="2"/>
      <c r="F118" s="6">
        <f t="shared" si="37"/>
        <v>0</v>
      </c>
      <c r="G118" s="2"/>
      <c r="H118" s="7">
        <v>0</v>
      </c>
      <c r="I118" s="2"/>
      <c r="J118" s="6">
        <f t="shared" si="38"/>
        <v>0</v>
      </c>
      <c r="K118" s="2"/>
      <c r="L118" s="7">
        <f t="shared" si="39"/>
        <v>0</v>
      </c>
      <c r="M118" s="2"/>
      <c r="N118" s="6">
        <f t="shared" si="40"/>
        <v>0</v>
      </c>
      <c r="O118" s="11"/>
      <c r="P118" s="7"/>
      <c r="Q118" s="2"/>
      <c r="R118" s="6">
        <f t="shared" si="41"/>
        <v>0</v>
      </c>
      <c r="S118" s="2"/>
      <c r="T118" s="7">
        <v>5250</v>
      </c>
      <c r="U118" s="2"/>
      <c r="V118" s="6">
        <f t="shared" si="42"/>
        <v>3.2415291126360363E-3</v>
      </c>
      <c r="W118" s="2"/>
      <c r="X118" s="7">
        <f t="shared" si="43"/>
        <v>-5250</v>
      </c>
      <c r="Y118" s="2"/>
      <c r="Z118" s="6">
        <f t="shared" si="44"/>
        <v>-1</v>
      </c>
    </row>
    <row r="119" spans="1:26" s="28" customFormat="1" outlineLevel="1" collapsed="1" x14ac:dyDescent="0.25">
      <c r="A119" s="27"/>
      <c r="B119" s="14" t="str">
        <f>CONCATENATE("     ","Repair and Maintenance                            ")</f>
        <v xml:space="preserve">     Repair and Maintenance                            </v>
      </c>
      <c r="C119" s="14"/>
      <c r="D119" s="1">
        <f>SUM(OSRRefD22_11x_0)</f>
        <v>0</v>
      </c>
      <c r="E119" s="1"/>
      <c r="F119" s="5">
        <f t="shared" si="37"/>
        <v>0</v>
      </c>
      <c r="G119" s="1"/>
      <c r="H119" s="1">
        <f>SUM(OSRRefH22_11x_0)</f>
        <v>50</v>
      </c>
      <c r="I119" s="1"/>
      <c r="J119" s="5">
        <f t="shared" si="38"/>
        <v>2.0374233928804276E-4</v>
      </c>
      <c r="K119" s="1"/>
      <c r="L119" s="1">
        <f t="shared" si="39"/>
        <v>-50</v>
      </c>
      <c r="M119" s="1"/>
      <c r="N119" s="5">
        <f t="shared" si="40"/>
        <v>-1</v>
      </c>
      <c r="O119" s="14"/>
      <c r="P119" s="1">
        <f>SUM(OSRRefP22_11x_0)</f>
        <v>0</v>
      </c>
      <c r="Q119" s="1"/>
      <c r="R119" s="5">
        <f t="shared" si="41"/>
        <v>0</v>
      </c>
      <c r="S119" s="1"/>
      <c r="T119" s="1">
        <f>SUM(OSRRefT22_11x_0)</f>
        <v>800</v>
      </c>
      <c r="U119" s="1"/>
      <c r="V119" s="5">
        <f t="shared" si="42"/>
        <v>4.9394729335406262E-4</v>
      </c>
      <c r="W119" s="1"/>
      <c r="X119" s="1">
        <f t="shared" si="43"/>
        <v>-800</v>
      </c>
      <c r="Y119" s="1"/>
      <c r="Z119" s="5">
        <f t="shared" si="44"/>
        <v>-1</v>
      </c>
    </row>
    <row r="120" spans="1:26" s="24" customFormat="1" hidden="1" outlineLevel="2" x14ac:dyDescent="0.25">
      <c r="A120" s="29"/>
      <c r="B120" s="11" t="str">
        <f>CONCATENATE("          ", "6375", " - ", "OUTSIDE REPAIRS &amp; MAINTENANCE")</f>
        <v xml:space="preserve">          6375 - OUTSIDE REPAIRS &amp; MAINTENANCE</v>
      </c>
      <c r="C120" s="11"/>
      <c r="D120" s="7"/>
      <c r="E120" s="2"/>
      <c r="F120" s="6">
        <f t="shared" si="37"/>
        <v>0</v>
      </c>
      <c r="G120" s="2"/>
      <c r="H120" s="7">
        <v>50</v>
      </c>
      <c r="I120" s="2"/>
      <c r="J120" s="6">
        <f t="shared" si="38"/>
        <v>2.0374233928804276E-4</v>
      </c>
      <c r="K120" s="2"/>
      <c r="L120" s="7">
        <f t="shared" si="39"/>
        <v>-50</v>
      </c>
      <c r="M120" s="2"/>
      <c r="N120" s="6">
        <f t="shared" si="40"/>
        <v>-1</v>
      </c>
      <c r="O120" s="11"/>
      <c r="P120" s="7"/>
      <c r="Q120" s="2"/>
      <c r="R120" s="6">
        <f t="shared" si="41"/>
        <v>0</v>
      </c>
      <c r="S120" s="2"/>
      <c r="T120" s="7">
        <v>800</v>
      </c>
      <c r="U120" s="2"/>
      <c r="V120" s="6">
        <f t="shared" si="42"/>
        <v>4.9394729335406262E-4</v>
      </c>
      <c r="W120" s="2"/>
      <c r="X120" s="7">
        <f t="shared" si="43"/>
        <v>-800</v>
      </c>
      <c r="Y120" s="2"/>
      <c r="Z120" s="6">
        <f t="shared" si="44"/>
        <v>-1</v>
      </c>
    </row>
    <row r="121" spans="1:26" s="28" customFormat="1" outlineLevel="1" collapsed="1" x14ac:dyDescent="0.25">
      <c r="A121" s="27"/>
      <c r="B121" s="14" t="str">
        <f>CONCATENATE("     ","Royalty &amp; Commissions                             ")</f>
        <v xml:space="preserve">     Royalty &amp; Commissions                             </v>
      </c>
      <c r="C121" s="14"/>
      <c r="D121" s="1">
        <f>SUM(OSRRefD22_12x_0)</f>
        <v>0</v>
      </c>
      <c r="E121" s="1"/>
      <c r="F121" s="5">
        <f t="shared" si="37"/>
        <v>0</v>
      </c>
      <c r="G121" s="1"/>
      <c r="H121" s="1">
        <f>SUM(OSRRefH22_12x_0)</f>
        <v>6271</v>
      </c>
      <c r="I121" s="1"/>
      <c r="J121" s="5">
        <f t="shared" si="38"/>
        <v>2.5553364193506324E-2</v>
      </c>
      <c r="K121" s="1"/>
      <c r="L121" s="1">
        <f t="shared" si="39"/>
        <v>-6271</v>
      </c>
      <c r="M121" s="1"/>
      <c r="N121" s="5">
        <f t="shared" si="40"/>
        <v>-1</v>
      </c>
      <c r="O121" s="14"/>
      <c r="P121" s="1">
        <f>SUM(OSRRefP22_12x_0)</f>
        <v>18411.8</v>
      </c>
      <c r="Q121" s="1"/>
      <c r="R121" s="5">
        <f t="shared" si="41"/>
        <v>2.0790117509251822E-2</v>
      </c>
      <c r="S121" s="1"/>
      <c r="T121" s="1">
        <f>SUM(OSRRefT22_12x_0)</f>
        <v>37626</v>
      </c>
      <c r="U121" s="1"/>
      <c r="V121" s="5">
        <f t="shared" si="42"/>
        <v>2.3231576074674951E-2</v>
      </c>
      <c r="W121" s="1"/>
      <c r="X121" s="1">
        <f t="shared" si="43"/>
        <v>-19214.2</v>
      </c>
      <c r="Y121" s="1"/>
      <c r="Z121" s="5">
        <f t="shared" si="44"/>
        <v>-0.51066283952585978</v>
      </c>
    </row>
    <row r="122" spans="1:26" s="24" customFormat="1" hidden="1" outlineLevel="2" x14ac:dyDescent="0.25">
      <c r="A122" s="29"/>
      <c r="B122" s="11" t="str">
        <f>CONCATENATE("          ", "6252", " - ", "ROYALTY DUE CSTV")</f>
        <v xml:space="preserve">          6252 - ROYALTY DUE CSTV</v>
      </c>
      <c r="C122" s="11"/>
      <c r="D122" s="7"/>
      <c r="E122" s="2"/>
      <c r="F122" s="6">
        <f t="shared" si="37"/>
        <v>0</v>
      </c>
      <c r="G122" s="2"/>
      <c r="H122" s="7">
        <v>1085</v>
      </c>
      <c r="I122" s="2"/>
      <c r="J122" s="6">
        <f t="shared" si="38"/>
        <v>4.4212087625505282E-3</v>
      </c>
      <c r="K122" s="2"/>
      <c r="L122" s="7">
        <f t="shared" si="39"/>
        <v>-1085</v>
      </c>
      <c r="M122" s="2"/>
      <c r="N122" s="6">
        <f t="shared" si="40"/>
        <v>-1</v>
      </c>
      <c r="O122" s="11"/>
      <c r="P122" s="7"/>
      <c r="Q122" s="2"/>
      <c r="R122" s="6">
        <f t="shared" si="41"/>
        <v>0</v>
      </c>
      <c r="S122" s="2"/>
      <c r="T122" s="7">
        <v>6510</v>
      </c>
      <c r="U122" s="2"/>
      <c r="V122" s="6">
        <f t="shared" si="42"/>
        <v>4.0194960996686848E-3</v>
      </c>
      <c r="W122" s="2"/>
      <c r="X122" s="7">
        <f t="shared" si="43"/>
        <v>-6510</v>
      </c>
      <c r="Y122" s="2"/>
      <c r="Z122" s="6">
        <f t="shared" si="44"/>
        <v>-1</v>
      </c>
    </row>
    <row r="123" spans="1:26" s="24" customFormat="1" hidden="1" outlineLevel="2" x14ac:dyDescent="0.25">
      <c r="A123" s="29"/>
      <c r="B123" s="11" t="str">
        <f>CONCATENATE("          ", "6253", " - ", "ROYALTY DUE ATHLETICS-LRG")</f>
        <v xml:space="preserve">          6253 - ROYALTY DUE ATHLETICS-LRG</v>
      </c>
      <c r="C123" s="11"/>
      <c r="D123" s="7"/>
      <c r="E123" s="2"/>
      <c r="F123" s="6">
        <f t="shared" si="37"/>
        <v>0</v>
      </c>
      <c r="G123" s="2"/>
      <c r="H123" s="7">
        <v>4037</v>
      </c>
      <c r="I123" s="2"/>
      <c r="J123" s="6">
        <f t="shared" si="38"/>
        <v>1.6450156474116573E-2</v>
      </c>
      <c r="K123" s="2"/>
      <c r="L123" s="7">
        <f t="shared" si="39"/>
        <v>-4037</v>
      </c>
      <c r="M123" s="2"/>
      <c r="N123" s="6">
        <f t="shared" si="40"/>
        <v>-1</v>
      </c>
      <c r="O123" s="11"/>
      <c r="P123" s="7">
        <v>18411.8</v>
      </c>
      <c r="Q123" s="2"/>
      <c r="R123" s="6">
        <f t="shared" si="41"/>
        <v>2.0790117509251822E-2</v>
      </c>
      <c r="S123" s="2"/>
      <c r="T123" s="7">
        <v>24222</v>
      </c>
      <c r="U123" s="2"/>
      <c r="V123" s="6">
        <f t="shared" si="42"/>
        <v>1.4955489174527633E-2</v>
      </c>
      <c r="W123" s="2"/>
      <c r="X123" s="7">
        <f t="shared" si="43"/>
        <v>-5810.2000000000007</v>
      </c>
      <c r="Y123" s="2"/>
      <c r="Z123" s="6">
        <f t="shared" si="44"/>
        <v>-0.23987284287011809</v>
      </c>
    </row>
    <row r="124" spans="1:26" s="24" customFormat="1" hidden="1" outlineLevel="2" x14ac:dyDescent="0.25">
      <c r="A124" s="29"/>
      <c r="B124" s="11" t="str">
        <f>CONCATENATE("          ", "6254", " - ", "ROYALTY &amp; COMMISSIONS")</f>
        <v xml:space="preserve">          6254 - ROYALTY &amp; COMMISSIONS</v>
      </c>
      <c r="C124" s="11"/>
      <c r="D124" s="7"/>
      <c r="E124" s="2"/>
      <c r="F124" s="6">
        <f t="shared" si="37"/>
        <v>0</v>
      </c>
      <c r="G124" s="2"/>
      <c r="H124" s="7">
        <v>1149</v>
      </c>
      <c r="I124" s="2"/>
      <c r="J124" s="6">
        <f t="shared" si="38"/>
        <v>4.681998956839223E-3</v>
      </c>
      <c r="K124" s="2"/>
      <c r="L124" s="7">
        <f t="shared" si="39"/>
        <v>-1149</v>
      </c>
      <c r="M124" s="2"/>
      <c r="N124" s="6">
        <f t="shared" si="40"/>
        <v>-1</v>
      </c>
      <c r="O124" s="11"/>
      <c r="P124" s="7"/>
      <c r="Q124" s="2"/>
      <c r="R124" s="6">
        <f t="shared" si="41"/>
        <v>0</v>
      </c>
      <c r="S124" s="2"/>
      <c r="T124" s="7">
        <v>6894</v>
      </c>
      <c r="U124" s="2"/>
      <c r="V124" s="6">
        <f t="shared" si="42"/>
        <v>4.256590800478635E-3</v>
      </c>
      <c r="W124" s="2"/>
      <c r="X124" s="7">
        <f t="shared" si="43"/>
        <v>-6894</v>
      </c>
      <c r="Y124" s="2"/>
      <c r="Z124" s="6">
        <f t="shared" si="44"/>
        <v>-1</v>
      </c>
    </row>
    <row r="125" spans="1:26" s="28" customFormat="1" outlineLevel="1" collapsed="1" x14ac:dyDescent="0.25">
      <c r="A125" s="27"/>
      <c r="B125" s="14" t="str">
        <f>CONCATENATE("     ","Subscriptions &amp; Dues                              ")</f>
        <v xml:space="preserve">     Subscriptions &amp; Dues                              </v>
      </c>
      <c r="C125" s="14"/>
      <c r="D125" s="1">
        <f>SUM(OSRRefD22_13x_0)</f>
        <v>0</v>
      </c>
      <c r="E125" s="1"/>
      <c r="F125" s="5">
        <f t="shared" ref="F125:F127" si="45">IF(D$12=0,0,D125/D$12)</f>
        <v>0</v>
      </c>
      <c r="G125" s="1"/>
      <c r="H125" s="1">
        <f>SUM(OSRRefH22_13x_0)</f>
        <v>0</v>
      </c>
      <c r="I125" s="1"/>
      <c r="J125" s="5">
        <f t="shared" ref="J125:J127" si="46">IF(H$12=0,0,H125/H$12)</f>
        <v>0</v>
      </c>
      <c r="K125" s="1"/>
      <c r="L125" s="1">
        <f t="shared" ref="L125:L127" si="47">+D125-H125</f>
        <v>0</v>
      </c>
      <c r="M125" s="1"/>
      <c r="N125" s="5">
        <f t="shared" ref="N125:N127" si="48">IF(H125=0,0,L125/H125)</f>
        <v>0</v>
      </c>
      <c r="O125" s="14"/>
      <c r="P125" s="1">
        <f>SUM(OSRRefP22_13x_0)</f>
        <v>-365.27</v>
      </c>
      <c r="Q125" s="1"/>
      <c r="R125" s="5">
        <f t="shared" ref="R125:R127" si="49">IF(P$12=0,0,P125/P$12)</f>
        <v>-4.1245322144518257E-4</v>
      </c>
      <c r="S125" s="1"/>
      <c r="T125" s="1">
        <f>SUM(OSRRefT22_13x_0)</f>
        <v>1000</v>
      </c>
      <c r="U125" s="1"/>
      <c r="V125" s="5">
        <f t="shared" ref="V125:V127" si="50">IF(T$12=0,0,T125/T$12)</f>
        <v>6.1743411669257827E-4</v>
      </c>
      <c r="W125" s="1"/>
      <c r="X125" s="1">
        <f t="shared" ref="X125:X127" si="51">+P125-T125</f>
        <v>-1365.27</v>
      </c>
      <c r="Y125" s="1"/>
      <c r="Z125" s="5">
        <f t="shared" ref="Z125:Z127" si="52">IF(T125=0,0,X125/T125)</f>
        <v>-1.36527</v>
      </c>
    </row>
    <row r="126" spans="1:26" s="24" customFormat="1" hidden="1" outlineLevel="2" x14ac:dyDescent="0.25">
      <c r="A126" s="29"/>
      <c r="B126" s="11" t="str">
        <f>CONCATENATE("          ", "6258", " - ", "MEMBERSHIP DUES")</f>
        <v xml:space="preserve">          6258 - MEMBERSHIP DUES</v>
      </c>
      <c r="C126" s="11"/>
      <c r="D126" s="7"/>
      <c r="E126" s="2"/>
      <c r="F126" s="6">
        <f t="shared" si="45"/>
        <v>0</v>
      </c>
      <c r="G126" s="2"/>
      <c r="H126" s="7">
        <v>0</v>
      </c>
      <c r="I126" s="2"/>
      <c r="J126" s="6">
        <f t="shared" si="46"/>
        <v>0</v>
      </c>
      <c r="K126" s="2"/>
      <c r="L126" s="7">
        <f t="shared" si="47"/>
        <v>0</v>
      </c>
      <c r="M126" s="2"/>
      <c r="N126" s="6">
        <f t="shared" si="48"/>
        <v>0</v>
      </c>
      <c r="O126" s="11"/>
      <c r="P126" s="7">
        <v>-441</v>
      </c>
      <c r="Q126" s="2"/>
      <c r="R126" s="6">
        <f t="shared" si="49"/>
        <v>-4.9796553414549656E-4</v>
      </c>
      <c r="S126" s="2"/>
      <c r="T126" s="7">
        <v>1000</v>
      </c>
      <c r="U126" s="2"/>
      <c r="V126" s="6">
        <f t="shared" si="50"/>
        <v>6.1743411669257827E-4</v>
      </c>
      <c r="W126" s="2"/>
      <c r="X126" s="7">
        <f t="shared" si="51"/>
        <v>-1441</v>
      </c>
      <c r="Y126" s="2"/>
      <c r="Z126" s="6">
        <f t="shared" si="52"/>
        <v>-1.4410000000000001</v>
      </c>
    </row>
    <row r="127" spans="1:26" s="24" customFormat="1" hidden="1" outlineLevel="2" x14ac:dyDescent="0.25">
      <c r="A127" s="29"/>
      <c r="B127" s="11" t="str">
        <f>CONCATENATE("          ", "6275", " - ", "SUBSCRIPTIONS")</f>
        <v xml:space="preserve">          6275 - SUBSCRIPTIONS</v>
      </c>
      <c r="C127" s="11"/>
      <c r="D127" s="7"/>
      <c r="E127" s="2"/>
      <c r="F127" s="6">
        <f t="shared" si="45"/>
        <v>0</v>
      </c>
      <c r="G127" s="2"/>
      <c r="H127" s="7"/>
      <c r="I127" s="2"/>
      <c r="J127" s="6">
        <f t="shared" si="46"/>
        <v>0</v>
      </c>
      <c r="K127" s="2"/>
      <c r="L127" s="7">
        <f t="shared" si="47"/>
        <v>0</v>
      </c>
      <c r="M127" s="2"/>
      <c r="N127" s="6">
        <f t="shared" si="48"/>
        <v>0</v>
      </c>
      <c r="O127" s="11"/>
      <c r="P127" s="7">
        <v>75.73</v>
      </c>
      <c r="Q127" s="2"/>
      <c r="R127" s="6">
        <f t="shared" si="49"/>
        <v>8.5512312700313956E-5</v>
      </c>
      <c r="S127" s="2"/>
      <c r="T127" s="7">
        <v>0</v>
      </c>
      <c r="U127" s="2"/>
      <c r="V127" s="6">
        <f t="shared" si="50"/>
        <v>0</v>
      </c>
      <c r="W127" s="2"/>
      <c r="X127" s="7">
        <f t="shared" si="51"/>
        <v>75.73</v>
      </c>
      <c r="Y127" s="2"/>
      <c r="Z127" s="6">
        <f t="shared" si="52"/>
        <v>0</v>
      </c>
    </row>
    <row r="128" spans="1:26" s="28" customFormat="1" outlineLevel="1" collapsed="1" x14ac:dyDescent="0.25">
      <c r="A128" s="27"/>
      <c r="B128" s="14" t="str">
        <f>CONCATENATE("     ","Supplies                                          ")</f>
        <v xml:space="preserve">     Supplies                                          </v>
      </c>
      <c r="C128" s="14"/>
      <c r="D128" s="1">
        <f>SUM(OSRRefD22_14x_0)</f>
        <v>46.59</v>
      </c>
      <c r="E128" s="1"/>
      <c r="F128" s="5">
        <f t="shared" ref="F128:F135" si="53">IF(D$12=0,0,D128/D$12)</f>
        <v>2.6509145029148402E-4</v>
      </c>
      <c r="G128" s="1"/>
      <c r="H128" s="1">
        <f>SUM(OSRRefH22_14x_0)</f>
        <v>450</v>
      </c>
      <c r="I128" s="1"/>
      <c r="J128" s="5">
        <f t="shared" ref="J128:J135" si="54">IF(H$12=0,0,H128/H$12)</f>
        <v>1.8336810535923849E-3</v>
      </c>
      <c r="K128" s="1"/>
      <c r="L128" s="1">
        <f t="shared" ref="L128:L135" si="55">+D128-H128</f>
        <v>-403.40999999999997</v>
      </c>
      <c r="M128" s="1"/>
      <c r="N128" s="5">
        <f t="shared" ref="N128:N135" si="56">IF(H128=0,0,L128/H128)</f>
        <v>-0.89646666666666663</v>
      </c>
      <c r="O128" s="14"/>
      <c r="P128" s="1">
        <f>SUM(OSRRefP22_14x_0)</f>
        <v>1691.29</v>
      </c>
      <c r="Q128" s="1"/>
      <c r="R128" s="5">
        <f t="shared" ref="R128:R135" si="57">IF(P$12=0,0,P128/P$12)</f>
        <v>1.9097599279930542E-3</v>
      </c>
      <c r="S128" s="1"/>
      <c r="T128" s="1">
        <f>SUM(OSRRefT22_14x_0)</f>
        <v>2700</v>
      </c>
      <c r="U128" s="1"/>
      <c r="V128" s="5">
        <f t="shared" ref="V128:V135" si="58">IF(T$12=0,0,T128/T$12)</f>
        <v>1.6670721150699615E-3</v>
      </c>
      <c r="W128" s="1"/>
      <c r="X128" s="1">
        <f t="shared" ref="X128:X135" si="59">+P128-T128</f>
        <v>-1008.71</v>
      </c>
      <c r="Y128" s="1"/>
      <c r="Z128" s="5">
        <f t="shared" ref="Z128:Z135" si="60">IF(T128=0,0,X128/T128)</f>
        <v>-0.37359629629629632</v>
      </c>
    </row>
    <row r="129" spans="1:26" s="24" customFormat="1" hidden="1" outlineLevel="2" x14ac:dyDescent="0.25">
      <c r="A129" s="29"/>
      <c r="B129" s="11" t="str">
        <f>CONCATENATE("          ", "6234", " - ", "EXPENDABLE SUPPLIES &amp; EQUIPMEN")</f>
        <v xml:space="preserve">          6234 - EXPENDABLE SUPPLIES &amp; EQUIPMEN</v>
      </c>
      <c r="C129" s="11"/>
      <c r="D129" s="7"/>
      <c r="E129" s="2"/>
      <c r="F129" s="6">
        <f t="shared" si="53"/>
        <v>0</v>
      </c>
      <c r="G129" s="2"/>
      <c r="H129" s="7">
        <v>50</v>
      </c>
      <c r="I129" s="2"/>
      <c r="J129" s="6">
        <f t="shared" si="54"/>
        <v>2.0374233928804276E-4</v>
      </c>
      <c r="K129" s="2"/>
      <c r="L129" s="7">
        <f t="shared" si="55"/>
        <v>-50</v>
      </c>
      <c r="M129" s="2"/>
      <c r="N129" s="6">
        <f t="shared" si="56"/>
        <v>-1</v>
      </c>
      <c r="O129" s="11"/>
      <c r="P129" s="7"/>
      <c r="Q129" s="2"/>
      <c r="R129" s="6">
        <f t="shared" si="57"/>
        <v>0</v>
      </c>
      <c r="S129" s="2"/>
      <c r="T129" s="7">
        <v>300</v>
      </c>
      <c r="U129" s="2"/>
      <c r="V129" s="6">
        <f t="shared" si="58"/>
        <v>1.8523023500777351E-4</v>
      </c>
      <c r="W129" s="2"/>
      <c r="X129" s="7">
        <f t="shared" si="59"/>
        <v>-300</v>
      </c>
      <c r="Y129" s="2"/>
      <c r="Z129" s="6">
        <f t="shared" si="60"/>
        <v>-1</v>
      </c>
    </row>
    <row r="130" spans="1:26" s="24" customFormat="1" hidden="1" outlineLevel="2" x14ac:dyDescent="0.25">
      <c r="A130" s="29"/>
      <c r="B130" s="11" t="str">
        <f>CONCATENATE("          ", "6235", " - ", "COVID-19 EXPENSES")</f>
        <v xml:space="preserve">          6235 - COVID-19 EXPENSES</v>
      </c>
      <c r="C130" s="11"/>
      <c r="D130" s="7"/>
      <c r="E130" s="2"/>
      <c r="F130" s="6">
        <f t="shared" si="53"/>
        <v>0</v>
      </c>
      <c r="G130" s="2"/>
      <c r="H130" s="7">
        <v>100</v>
      </c>
      <c r="I130" s="2"/>
      <c r="J130" s="6">
        <f t="shared" si="54"/>
        <v>4.0748467857608552E-4</v>
      </c>
      <c r="K130" s="2"/>
      <c r="L130" s="7">
        <f t="shared" si="55"/>
        <v>-100</v>
      </c>
      <c r="M130" s="2"/>
      <c r="N130" s="6">
        <f t="shared" si="56"/>
        <v>-1</v>
      </c>
      <c r="O130" s="11"/>
      <c r="P130" s="7">
        <v>1026.43</v>
      </c>
      <c r="Q130" s="2"/>
      <c r="R130" s="6">
        <f t="shared" si="57"/>
        <v>1.1590176036575103E-3</v>
      </c>
      <c r="S130" s="2"/>
      <c r="T130" s="7">
        <v>600</v>
      </c>
      <c r="U130" s="2"/>
      <c r="V130" s="6">
        <f t="shared" si="58"/>
        <v>3.7046047001554702E-4</v>
      </c>
      <c r="W130" s="2"/>
      <c r="X130" s="7">
        <f t="shared" si="59"/>
        <v>426.43000000000006</v>
      </c>
      <c r="Y130" s="2"/>
      <c r="Z130" s="6">
        <f t="shared" si="60"/>
        <v>0.71071666666666677</v>
      </c>
    </row>
    <row r="131" spans="1:26" s="24" customFormat="1" hidden="1" outlineLevel="2" x14ac:dyDescent="0.25">
      <c r="A131" s="29"/>
      <c r="B131" s="11" t="str">
        <f>CONCATENATE("          ", "6237", " - ", "JANITORIAL SUPPLIES")</f>
        <v xml:space="preserve">          6237 - JANITORIAL SUPPLIES</v>
      </c>
      <c r="C131" s="11"/>
      <c r="D131" s="7"/>
      <c r="E131" s="2"/>
      <c r="F131" s="6">
        <f t="shared" si="53"/>
        <v>0</v>
      </c>
      <c r="G131" s="2"/>
      <c r="H131" s="7">
        <v>50</v>
      </c>
      <c r="I131" s="2"/>
      <c r="J131" s="6">
        <f t="shared" si="54"/>
        <v>2.0374233928804276E-4</v>
      </c>
      <c r="K131" s="2"/>
      <c r="L131" s="7">
        <f t="shared" si="55"/>
        <v>-50</v>
      </c>
      <c r="M131" s="2"/>
      <c r="N131" s="6">
        <f t="shared" si="56"/>
        <v>-1</v>
      </c>
      <c r="O131" s="11"/>
      <c r="P131" s="7"/>
      <c r="Q131" s="2"/>
      <c r="R131" s="6">
        <f t="shared" si="57"/>
        <v>0</v>
      </c>
      <c r="S131" s="2"/>
      <c r="T131" s="7">
        <v>300</v>
      </c>
      <c r="U131" s="2"/>
      <c r="V131" s="6">
        <f t="shared" si="58"/>
        <v>1.8523023500777351E-4</v>
      </c>
      <c r="W131" s="2"/>
      <c r="X131" s="7">
        <f t="shared" si="59"/>
        <v>-300</v>
      </c>
      <c r="Y131" s="2"/>
      <c r="Z131" s="6">
        <f t="shared" si="60"/>
        <v>-1</v>
      </c>
    </row>
    <row r="132" spans="1:26" s="24" customFormat="1" hidden="1" outlineLevel="2" x14ac:dyDescent="0.25">
      <c r="A132" s="29"/>
      <c r="B132" s="11" t="str">
        <f>CONCATENATE("          ", "6241", " - ", "OFFICE EXPENSE")</f>
        <v xml:space="preserve">          6241 - OFFICE EXPENSE</v>
      </c>
      <c r="C132" s="11"/>
      <c r="D132" s="7">
        <v>39.840000000000003</v>
      </c>
      <c r="E132" s="2"/>
      <c r="F132" s="6">
        <f t="shared" si="53"/>
        <v>2.2668476882620143E-4</v>
      </c>
      <c r="G132" s="2"/>
      <c r="H132" s="7">
        <v>100</v>
      </c>
      <c r="I132" s="2"/>
      <c r="J132" s="6">
        <f t="shared" si="54"/>
        <v>4.0748467857608552E-4</v>
      </c>
      <c r="K132" s="2"/>
      <c r="L132" s="7">
        <f t="shared" si="55"/>
        <v>-60.16</v>
      </c>
      <c r="M132" s="2"/>
      <c r="N132" s="6">
        <f t="shared" si="56"/>
        <v>-0.60159999999999991</v>
      </c>
      <c r="O132" s="11"/>
      <c r="P132" s="7">
        <v>471.4</v>
      </c>
      <c r="Q132" s="2"/>
      <c r="R132" s="6">
        <f t="shared" si="57"/>
        <v>5.3229240996867811E-4</v>
      </c>
      <c r="S132" s="2"/>
      <c r="T132" s="7">
        <v>600</v>
      </c>
      <c r="U132" s="2"/>
      <c r="V132" s="6">
        <f t="shared" si="58"/>
        <v>3.7046047001554702E-4</v>
      </c>
      <c r="W132" s="2"/>
      <c r="X132" s="7">
        <f t="shared" si="59"/>
        <v>-128.60000000000002</v>
      </c>
      <c r="Y132" s="2"/>
      <c r="Z132" s="6">
        <f t="shared" si="60"/>
        <v>-0.21433333333333338</v>
      </c>
    </row>
    <row r="133" spans="1:26" s="24" customFormat="1" hidden="1" outlineLevel="2" x14ac:dyDescent="0.25">
      <c r="A133" s="29"/>
      <c r="B133" s="11" t="str">
        <f>CONCATENATE("          ", "6243", " - ", "PAPER SUPPLIES")</f>
        <v xml:space="preserve">          6243 - PAPER SUPPLIES</v>
      </c>
      <c r="C133" s="11"/>
      <c r="D133" s="7"/>
      <c r="E133" s="2"/>
      <c r="F133" s="6">
        <f t="shared" si="53"/>
        <v>0</v>
      </c>
      <c r="G133" s="2"/>
      <c r="H133" s="7">
        <v>50</v>
      </c>
      <c r="I133" s="2"/>
      <c r="J133" s="6">
        <f t="shared" si="54"/>
        <v>2.0374233928804276E-4</v>
      </c>
      <c r="K133" s="2"/>
      <c r="L133" s="7">
        <f t="shared" si="55"/>
        <v>-50</v>
      </c>
      <c r="M133" s="2"/>
      <c r="N133" s="6">
        <f t="shared" si="56"/>
        <v>-1</v>
      </c>
      <c r="O133" s="11"/>
      <c r="P133" s="7"/>
      <c r="Q133" s="2"/>
      <c r="R133" s="6">
        <f t="shared" si="57"/>
        <v>0</v>
      </c>
      <c r="S133" s="2"/>
      <c r="T133" s="7">
        <v>300</v>
      </c>
      <c r="U133" s="2"/>
      <c r="V133" s="6">
        <f t="shared" si="58"/>
        <v>1.8523023500777351E-4</v>
      </c>
      <c r="W133" s="2"/>
      <c r="X133" s="7">
        <f t="shared" si="59"/>
        <v>-300</v>
      </c>
      <c r="Y133" s="2"/>
      <c r="Z133" s="6">
        <f t="shared" si="60"/>
        <v>-1</v>
      </c>
    </row>
    <row r="134" spans="1:26" s="24" customFormat="1" hidden="1" outlineLevel="2" x14ac:dyDescent="0.25">
      <c r="A134" s="29"/>
      <c r="B134" s="11" t="str">
        <f>CONCATENATE("          ", "6245", " - ", "PRINTING")</f>
        <v xml:space="preserve">          6245 - PRINTING</v>
      </c>
      <c r="C134" s="11"/>
      <c r="D134" s="7"/>
      <c r="E134" s="2"/>
      <c r="F134" s="6">
        <f t="shared" si="53"/>
        <v>0</v>
      </c>
      <c r="G134" s="2"/>
      <c r="H134" s="7">
        <v>50</v>
      </c>
      <c r="I134" s="2"/>
      <c r="J134" s="6">
        <f t="shared" si="54"/>
        <v>2.0374233928804276E-4</v>
      </c>
      <c r="K134" s="2"/>
      <c r="L134" s="7">
        <f t="shared" si="55"/>
        <v>-50</v>
      </c>
      <c r="M134" s="2"/>
      <c r="N134" s="6">
        <f t="shared" si="56"/>
        <v>-1</v>
      </c>
      <c r="O134" s="11"/>
      <c r="P134" s="7"/>
      <c r="Q134" s="2"/>
      <c r="R134" s="6">
        <f t="shared" si="57"/>
        <v>0</v>
      </c>
      <c r="S134" s="2"/>
      <c r="T134" s="7">
        <v>300</v>
      </c>
      <c r="U134" s="2"/>
      <c r="V134" s="6">
        <f t="shared" si="58"/>
        <v>1.8523023500777351E-4</v>
      </c>
      <c r="W134" s="2"/>
      <c r="X134" s="7">
        <f t="shared" si="59"/>
        <v>-300</v>
      </c>
      <c r="Y134" s="2"/>
      <c r="Z134" s="6">
        <f t="shared" si="60"/>
        <v>-1</v>
      </c>
    </row>
    <row r="135" spans="1:26" s="24" customFormat="1" hidden="1" outlineLevel="2" x14ac:dyDescent="0.25">
      <c r="A135" s="29"/>
      <c r="B135" s="11" t="str">
        <f>CONCATENATE("          ", "6247", " - ", "STORE SUPPLIES")</f>
        <v xml:space="preserve">          6247 - STORE SUPPLIES</v>
      </c>
      <c r="C135" s="11"/>
      <c r="D135" s="7">
        <v>6.75</v>
      </c>
      <c r="E135" s="2"/>
      <c r="F135" s="6">
        <f t="shared" si="53"/>
        <v>3.8406681465282619E-5</v>
      </c>
      <c r="G135" s="2"/>
      <c r="H135" s="7">
        <v>50</v>
      </c>
      <c r="I135" s="2"/>
      <c r="J135" s="6">
        <f t="shared" si="54"/>
        <v>2.0374233928804276E-4</v>
      </c>
      <c r="K135" s="2"/>
      <c r="L135" s="7">
        <f t="shared" si="55"/>
        <v>-43.25</v>
      </c>
      <c r="M135" s="2"/>
      <c r="N135" s="6">
        <f t="shared" si="56"/>
        <v>-0.86499999999999999</v>
      </c>
      <c r="O135" s="11"/>
      <c r="P135" s="7">
        <v>193.46</v>
      </c>
      <c r="Q135" s="2"/>
      <c r="R135" s="6">
        <f t="shared" si="57"/>
        <v>2.1844991436686568E-4</v>
      </c>
      <c r="S135" s="2"/>
      <c r="T135" s="7">
        <v>300</v>
      </c>
      <c r="U135" s="2"/>
      <c r="V135" s="6">
        <f t="shared" si="58"/>
        <v>1.8523023500777351E-4</v>
      </c>
      <c r="W135" s="2"/>
      <c r="X135" s="7">
        <f t="shared" si="59"/>
        <v>-106.53999999999999</v>
      </c>
      <c r="Y135" s="2"/>
      <c r="Z135" s="6">
        <f t="shared" si="60"/>
        <v>-0.3551333333333333</v>
      </c>
    </row>
    <row r="136" spans="1:26" s="28" customFormat="1" outlineLevel="1" collapsed="1" x14ac:dyDescent="0.25">
      <c r="A136" s="27"/>
      <c r="B136" s="14" t="str">
        <f>CONCATENATE("     ","Telephone/Data Lines                              ")</f>
        <v xml:space="preserve">     Telephone/Data Lines                              </v>
      </c>
      <c r="C136" s="14"/>
      <c r="D136" s="1">
        <f>SUM(OSRRefD22_15x_0)</f>
        <v>262.10000000000002</v>
      </c>
      <c r="E136" s="1"/>
      <c r="F136" s="5">
        <f t="shared" ref="F136:F142" si="61">IF(D$12=0,0,D136/D$12)</f>
        <v>1.4913172166000851E-3</v>
      </c>
      <c r="G136" s="1"/>
      <c r="H136" s="1">
        <f>SUM(OSRRefH22_15x_0)</f>
        <v>600</v>
      </c>
      <c r="I136" s="1"/>
      <c r="J136" s="5">
        <f t="shared" ref="J136:J142" si="62">IF(H$12=0,0,H136/H$12)</f>
        <v>2.4449080714565134E-3</v>
      </c>
      <c r="K136" s="1"/>
      <c r="L136" s="1">
        <f t="shared" ref="L136:L142" si="63">+D136-H136</f>
        <v>-337.9</v>
      </c>
      <c r="M136" s="1"/>
      <c r="N136" s="5">
        <f t="shared" ref="N136:N142" si="64">IF(H136=0,0,L136/H136)</f>
        <v>-0.56316666666666659</v>
      </c>
      <c r="O136" s="14"/>
      <c r="P136" s="1">
        <f>SUM(OSRRefP22_15x_0)</f>
        <v>2563.98</v>
      </c>
      <c r="Q136" s="1"/>
      <c r="R136" s="5">
        <f t="shared" ref="R136:R142" si="65">IF(P$12=0,0,P136/P$12)</f>
        <v>2.8951783905631981E-3</v>
      </c>
      <c r="S136" s="1"/>
      <c r="T136" s="1">
        <f>SUM(OSRRefT22_15x_0)</f>
        <v>3600</v>
      </c>
      <c r="U136" s="1"/>
      <c r="V136" s="5">
        <f t="shared" ref="V136:V142" si="66">IF(T$12=0,0,T136/T$12)</f>
        <v>2.222762820093282E-3</v>
      </c>
      <c r="W136" s="1"/>
      <c r="X136" s="1">
        <f t="shared" ref="X136:X142" si="67">+P136-T136</f>
        <v>-1036.02</v>
      </c>
      <c r="Y136" s="1"/>
      <c r="Z136" s="5">
        <f t="shared" ref="Z136:Z142" si="68">IF(T136=0,0,X136/T136)</f>
        <v>-0.28778333333333334</v>
      </c>
    </row>
    <row r="137" spans="1:26" s="24" customFormat="1" hidden="1" outlineLevel="2" x14ac:dyDescent="0.25">
      <c r="A137" s="29"/>
      <c r="B137" s="11" t="str">
        <f>CONCATENATE("          ", "6309", " - ", "TELEPHONE")</f>
        <v xml:space="preserve">          6309 - TELEPHONE</v>
      </c>
      <c r="C137" s="11"/>
      <c r="D137" s="7">
        <v>262.10000000000002</v>
      </c>
      <c r="E137" s="2"/>
      <c r="F137" s="6">
        <f t="shared" si="61"/>
        <v>1.4913172166000851E-3</v>
      </c>
      <c r="G137" s="2"/>
      <c r="H137" s="7">
        <v>600</v>
      </c>
      <c r="I137" s="2"/>
      <c r="J137" s="6">
        <f t="shared" si="62"/>
        <v>2.4449080714565134E-3</v>
      </c>
      <c r="K137" s="2"/>
      <c r="L137" s="7">
        <f t="shared" si="63"/>
        <v>-337.9</v>
      </c>
      <c r="M137" s="2"/>
      <c r="N137" s="6">
        <f t="shared" si="64"/>
        <v>-0.56316666666666659</v>
      </c>
      <c r="O137" s="11"/>
      <c r="P137" s="7">
        <v>2563.98</v>
      </c>
      <c r="Q137" s="2"/>
      <c r="R137" s="6">
        <f t="shared" si="65"/>
        <v>2.8951783905631981E-3</v>
      </c>
      <c r="S137" s="2"/>
      <c r="T137" s="7">
        <v>3600</v>
      </c>
      <c r="U137" s="2"/>
      <c r="V137" s="6">
        <f t="shared" si="66"/>
        <v>2.222762820093282E-3</v>
      </c>
      <c r="W137" s="2"/>
      <c r="X137" s="7">
        <f t="shared" si="67"/>
        <v>-1036.02</v>
      </c>
      <c r="Y137" s="2"/>
      <c r="Z137" s="6">
        <f t="shared" si="68"/>
        <v>-0.28778333333333334</v>
      </c>
    </row>
    <row r="138" spans="1:26" s="28" customFormat="1" outlineLevel="1" collapsed="1" x14ac:dyDescent="0.25">
      <c r="A138" s="27"/>
      <c r="B138" s="14" t="str">
        <f>CONCATENATE("     ","Training                                          ")</f>
        <v xml:space="preserve">     Training                                          </v>
      </c>
      <c r="C138" s="14"/>
      <c r="D138" s="1">
        <f>SUM(OSRRefD22_16x_0)</f>
        <v>0</v>
      </c>
      <c r="E138" s="1"/>
      <c r="F138" s="5">
        <f t="shared" si="61"/>
        <v>0</v>
      </c>
      <c r="G138" s="1"/>
      <c r="H138" s="1">
        <f>SUM(OSRRefH22_16x_0)</f>
        <v>1800</v>
      </c>
      <c r="I138" s="1"/>
      <c r="J138" s="5">
        <f t="shared" si="62"/>
        <v>7.3347242143695394E-3</v>
      </c>
      <c r="K138" s="1"/>
      <c r="L138" s="1">
        <f t="shared" si="63"/>
        <v>-1800</v>
      </c>
      <c r="M138" s="1"/>
      <c r="N138" s="5">
        <f t="shared" si="64"/>
        <v>-1</v>
      </c>
      <c r="O138" s="14"/>
      <c r="P138" s="1">
        <f>SUM(OSRRefP22_16x_0)</f>
        <v>0</v>
      </c>
      <c r="Q138" s="1"/>
      <c r="R138" s="5">
        <f t="shared" si="65"/>
        <v>0</v>
      </c>
      <c r="S138" s="1"/>
      <c r="T138" s="1">
        <f>SUM(OSRRefT22_16x_0)</f>
        <v>1800</v>
      </c>
      <c r="U138" s="1"/>
      <c r="V138" s="5">
        <f t="shared" si="66"/>
        <v>1.111381410046641E-3</v>
      </c>
      <c r="W138" s="1"/>
      <c r="X138" s="1">
        <f t="shared" si="67"/>
        <v>-1800</v>
      </c>
      <c r="Y138" s="1"/>
      <c r="Z138" s="5">
        <f t="shared" si="68"/>
        <v>-1</v>
      </c>
    </row>
    <row r="139" spans="1:26" s="24" customFormat="1" hidden="1" outlineLevel="2" x14ac:dyDescent="0.25">
      <c r="A139" s="29"/>
      <c r="B139" s="11" t="str">
        <f>CONCATENATE("          ", "6376", " - ", "TRAINING")</f>
        <v xml:space="preserve">          6376 - TRAINING</v>
      </c>
      <c r="C139" s="11"/>
      <c r="D139" s="7"/>
      <c r="E139" s="2"/>
      <c r="F139" s="6">
        <f t="shared" si="61"/>
        <v>0</v>
      </c>
      <c r="G139" s="2"/>
      <c r="H139" s="7">
        <v>1800</v>
      </c>
      <c r="I139" s="2"/>
      <c r="J139" s="6">
        <f t="shared" si="62"/>
        <v>7.3347242143695394E-3</v>
      </c>
      <c r="K139" s="2"/>
      <c r="L139" s="7">
        <f t="shared" si="63"/>
        <v>-1800</v>
      </c>
      <c r="M139" s="2"/>
      <c r="N139" s="6">
        <f t="shared" si="64"/>
        <v>-1</v>
      </c>
      <c r="O139" s="11"/>
      <c r="P139" s="7"/>
      <c r="Q139" s="2"/>
      <c r="R139" s="6">
        <f t="shared" si="65"/>
        <v>0</v>
      </c>
      <c r="S139" s="2"/>
      <c r="T139" s="7">
        <v>1800</v>
      </c>
      <c r="U139" s="2"/>
      <c r="V139" s="6">
        <f t="shared" si="66"/>
        <v>1.111381410046641E-3</v>
      </c>
      <c r="W139" s="2"/>
      <c r="X139" s="7">
        <f t="shared" si="67"/>
        <v>-1800</v>
      </c>
      <c r="Y139" s="2"/>
      <c r="Z139" s="6">
        <f t="shared" si="68"/>
        <v>-1</v>
      </c>
    </row>
    <row r="140" spans="1:26" s="28" customFormat="1" outlineLevel="1" collapsed="1" x14ac:dyDescent="0.25">
      <c r="A140" s="27"/>
      <c r="B140" s="14" t="str">
        <f>CONCATENATE("     ","Travel                                            ")</f>
        <v xml:space="preserve">     Travel                                            </v>
      </c>
      <c r="C140" s="14"/>
      <c r="D140" s="1">
        <f>SUM(OSRRefD22_17x_0)</f>
        <v>0</v>
      </c>
      <c r="E140" s="1"/>
      <c r="F140" s="5">
        <f t="shared" si="61"/>
        <v>0</v>
      </c>
      <c r="G140" s="1"/>
      <c r="H140" s="1">
        <f>SUM(OSRRefH22_17x_0)</f>
        <v>25</v>
      </c>
      <c r="I140" s="1"/>
      <c r="J140" s="5">
        <f t="shared" si="62"/>
        <v>1.0187116964402138E-4</v>
      </c>
      <c r="K140" s="1"/>
      <c r="L140" s="1">
        <f t="shared" si="63"/>
        <v>-25</v>
      </c>
      <c r="M140" s="1"/>
      <c r="N140" s="5">
        <f t="shared" si="64"/>
        <v>-1</v>
      </c>
      <c r="O140" s="14"/>
      <c r="P140" s="1">
        <f>SUM(OSRRefP22_17x_0)</f>
        <v>0</v>
      </c>
      <c r="Q140" s="1"/>
      <c r="R140" s="5">
        <f t="shared" si="65"/>
        <v>0</v>
      </c>
      <c r="S140" s="1"/>
      <c r="T140" s="1">
        <f>SUM(OSRRefT22_17x_0)</f>
        <v>150</v>
      </c>
      <c r="U140" s="1"/>
      <c r="V140" s="5">
        <f t="shared" si="66"/>
        <v>9.2615117503886755E-5</v>
      </c>
      <c r="W140" s="1"/>
      <c r="X140" s="1">
        <f t="shared" si="67"/>
        <v>-150</v>
      </c>
      <c r="Y140" s="1"/>
      <c r="Z140" s="5">
        <f t="shared" si="68"/>
        <v>-1</v>
      </c>
    </row>
    <row r="141" spans="1:26" s="24" customFormat="1" hidden="1" outlineLevel="2" x14ac:dyDescent="0.25">
      <c r="A141" s="29"/>
      <c r="B141" s="11" t="str">
        <f>CONCATENATE("          ", "6294", " - ", "TRAVEL OPERATIONAL")</f>
        <v xml:space="preserve">          6294 - TRAVEL OPERATIONAL</v>
      </c>
      <c r="C141" s="11"/>
      <c r="D141" s="7"/>
      <c r="E141" s="2"/>
      <c r="F141" s="6">
        <f t="shared" si="61"/>
        <v>0</v>
      </c>
      <c r="G141" s="2"/>
      <c r="H141" s="7">
        <v>25</v>
      </c>
      <c r="I141" s="2"/>
      <c r="J141" s="6">
        <f t="shared" si="62"/>
        <v>1.0187116964402138E-4</v>
      </c>
      <c r="K141" s="2"/>
      <c r="L141" s="7">
        <f t="shared" si="63"/>
        <v>-25</v>
      </c>
      <c r="M141" s="2"/>
      <c r="N141" s="6">
        <f t="shared" si="64"/>
        <v>-1</v>
      </c>
      <c r="O141" s="11"/>
      <c r="P141" s="7"/>
      <c r="Q141" s="2"/>
      <c r="R141" s="6">
        <f t="shared" si="65"/>
        <v>0</v>
      </c>
      <c r="S141" s="2"/>
      <c r="T141" s="7">
        <v>150</v>
      </c>
      <c r="U141" s="2"/>
      <c r="V141" s="6">
        <f t="shared" si="66"/>
        <v>9.2615117503886755E-5</v>
      </c>
      <c r="W141" s="2"/>
      <c r="X141" s="7">
        <f t="shared" si="67"/>
        <v>-150</v>
      </c>
      <c r="Y141" s="2"/>
      <c r="Z141" s="6">
        <f t="shared" si="68"/>
        <v>-1</v>
      </c>
    </row>
    <row r="142" spans="1:26" s="24" customFormat="1" hidden="1" outlineLevel="2" x14ac:dyDescent="0.25">
      <c r="A142" s="29"/>
      <c r="B142" s="11" t="str">
        <f>CONCATENATE("          ", "6298", " - ", "VEHICLE MILEAGE")</f>
        <v xml:space="preserve">          6298 - VEHICLE MILEAGE</v>
      </c>
      <c r="C142" s="11"/>
      <c r="D142" s="7"/>
      <c r="E142" s="2"/>
      <c r="F142" s="6">
        <f t="shared" si="61"/>
        <v>0</v>
      </c>
      <c r="G142" s="2"/>
      <c r="H142" s="7">
        <v>0</v>
      </c>
      <c r="I142" s="2"/>
      <c r="J142" s="6">
        <f t="shared" si="62"/>
        <v>0</v>
      </c>
      <c r="K142" s="2"/>
      <c r="L142" s="7">
        <f t="shared" si="63"/>
        <v>0</v>
      </c>
      <c r="M142" s="2"/>
      <c r="N142" s="6">
        <f t="shared" si="64"/>
        <v>0</v>
      </c>
      <c r="O142" s="11"/>
      <c r="P142" s="7"/>
      <c r="Q142" s="2"/>
      <c r="R142" s="6">
        <f t="shared" si="65"/>
        <v>0</v>
      </c>
      <c r="S142" s="2"/>
      <c r="T142" s="7">
        <v>0</v>
      </c>
      <c r="U142" s="2"/>
      <c r="V142" s="6">
        <f t="shared" si="66"/>
        <v>0</v>
      </c>
      <c r="W142" s="2"/>
      <c r="X142" s="7">
        <f t="shared" si="67"/>
        <v>0</v>
      </c>
      <c r="Y142" s="2"/>
      <c r="Z142" s="6">
        <f t="shared" si="68"/>
        <v>0</v>
      </c>
    </row>
    <row r="143" spans="1:26" s="53" customFormat="1" x14ac:dyDescent="0.25">
      <c r="A143" s="36"/>
      <c r="B143" s="36"/>
      <c r="C143" s="36"/>
      <c r="D143" s="1"/>
      <c r="E143" s="1"/>
      <c r="F143" s="5"/>
      <c r="G143" s="1"/>
      <c r="H143" s="1"/>
      <c r="I143" s="1"/>
      <c r="J143" s="5"/>
      <c r="K143" s="1"/>
      <c r="L143" s="1"/>
      <c r="M143" s="1"/>
      <c r="N143" s="5"/>
      <c r="O143" s="36"/>
      <c r="P143" s="1"/>
      <c r="Q143" s="1"/>
      <c r="R143" s="5"/>
      <c r="S143" s="1"/>
      <c r="T143" s="1"/>
      <c r="U143" s="1"/>
      <c r="V143" s="5"/>
      <c r="W143" s="1"/>
      <c r="X143" s="1"/>
      <c r="Y143" s="1"/>
      <c r="Z143" s="5"/>
    </row>
    <row r="144" spans="1:26" s="23" customFormat="1" collapsed="1" x14ac:dyDescent="0.25">
      <c r="A144" s="10"/>
      <c r="B144" s="26" t="s">
        <v>0</v>
      </c>
      <c r="C144" s="10"/>
      <c r="D144" s="4">
        <f>SUM(OSRRefD25x_0)</f>
        <v>-1666.87</v>
      </c>
      <c r="E144" s="4"/>
      <c r="F144" s="12">
        <f t="shared" ref="F144:F147" si="69">IF(D$12=0,0,D144/D$12)</f>
        <v>-9.4842881680052785E-3</v>
      </c>
      <c r="G144" s="4"/>
      <c r="H144" s="4">
        <f>SUM(OSRRefH25x_0)</f>
        <v>181695</v>
      </c>
      <c r="I144" s="4"/>
      <c r="J144" s="12">
        <f t="shared" ref="J144:J147" si="70">IF(H$12=0,0,H144/H$12)</f>
        <v>0.74037928673881859</v>
      </c>
      <c r="K144" s="4"/>
      <c r="L144" s="4">
        <f t="shared" ref="L144:L147" si="71">+D144-H144</f>
        <v>-183361.87</v>
      </c>
      <c r="M144" s="4"/>
      <c r="N144" s="12">
        <f t="shared" ref="N144:N147" si="72">IF(H144=0,0,L144/H144)</f>
        <v>-1.0091740003852609</v>
      </c>
      <c r="O144" s="10"/>
      <c r="P144" s="4">
        <f>SUM(OSRRefP25x_0)</f>
        <v>206207.58</v>
      </c>
      <c r="Q144" s="4"/>
      <c r="R144" s="12">
        <f t="shared" ref="R144:R147" si="73">IF(P$12=0,0,P144/P$12)</f>
        <v>0.23284414448877599</v>
      </c>
      <c r="S144" s="4"/>
      <c r="T144" s="4">
        <f>SUM(OSRRefT25x_0)</f>
        <v>222070</v>
      </c>
      <c r="U144" s="4"/>
      <c r="V144" s="12">
        <f t="shared" ref="V144:V147" si="74">IF(T$12=0,0,T144/T$12)</f>
        <v>0.13711359429392087</v>
      </c>
      <c r="W144" s="4"/>
      <c r="X144" s="4">
        <f t="shared" ref="X144:X147" si="75">+P144-T144</f>
        <v>-15862.420000000013</v>
      </c>
      <c r="Y144" s="4"/>
      <c r="Z144" s="12">
        <f t="shared" ref="Z144:Z147" si="76">IF(T144=0,0,X144/T144)</f>
        <v>-7.1429819426307078E-2</v>
      </c>
    </row>
    <row r="145" spans="1:26" s="24" customFormat="1" hidden="1" outlineLevel="1" x14ac:dyDescent="0.25">
      <c r="A145" s="51"/>
      <c r="B145" s="11" t="str">
        <f>CONCATENATE("          ", "9150", " - ", "MISC. INCOME")</f>
        <v xml:space="preserve">          9150 - MISC. INCOME</v>
      </c>
      <c r="C145" s="11"/>
      <c r="D145" s="2">
        <f>-1666.87</f>
        <v>-1666.87</v>
      </c>
      <c r="E145" s="2"/>
      <c r="F145" s="22">
        <f t="shared" si="69"/>
        <v>-9.4842881680052785E-3</v>
      </c>
      <c r="G145" s="2"/>
      <c r="H145" s="2">
        <v>8075</v>
      </c>
      <c r="I145" s="2"/>
      <c r="J145" s="22">
        <f t="shared" si="70"/>
        <v>3.2904387795018905E-2</v>
      </c>
      <c r="K145" s="2"/>
      <c r="L145" s="2">
        <f t="shared" si="71"/>
        <v>-9741.869999999999</v>
      </c>
      <c r="M145" s="2"/>
      <c r="N145" s="22">
        <f t="shared" si="72"/>
        <v>-1.2064235294117647</v>
      </c>
      <c r="O145" s="11"/>
      <c r="P145" s="2">
        <f>--30801.74</f>
        <v>30801.74</v>
      </c>
      <c r="Q145" s="2"/>
      <c r="R145" s="22">
        <f t="shared" si="73"/>
        <v>3.4780510003879155E-2</v>
      </c>
      <c r="S145" s="2"/>
      <c r="T145" s="2">
        <v>48450</v>
      </c>
      <c r="U145" s="2"/>
      <c r="V145" s="22">
        <f t="shared" si="74"/>
        <v>2.991468295375542E-2</v>
      </c>
      <c r="W145" s="2"/>
      <c r="X145" s="2">
        <f t="shared" si="75"/>
        <v>-17648.259999999998</v>
      </c>
      <c r="Y145" s="2"/>
      <c r="Z145" s="22">
        <f t="shared" si="76"/>
        <v>-0.36425717234262123</v>
      </c>
    </row>
    <row r="146" spans="1:26" s="24" customFormat="1" hidden="1" outlineLevel="1" x14ac:dyDescent="0.25">
      <c r="A146" s="51"/>
      <c r="B146" s="11" t="str">
        <f>CONCATENATE("          ", "9151", " - ", "MISC. INCOME")</f>
        <v xml:space="preserve">          9151 - MISC. INCOME</v>
      </c>
      <c r="C146" s="11"/>
      <c r="D146" s="2">
        <f t="shared" ref="D146:D147" si="77">0</f>
        <v>0</v>
      </c>
      <c r="E146" s="2"/>
      <c r="F146" s="22">
        <f t="shared" si="69"/>
        <v>0</v>
      </c>
      <c r="G146" s="2"/>
      <c r="H146" s="2">
        <v>173620</v>
      </c>
      <c r="I146" s="2"/>
      <c r="J146" s="22">
        <f t="shared" si="70"/>
        <v>0.70747489894379967</v>
      </c>
      <c r="K146" s="2"/>
      <c r="L146" s="2">
        <f t="shared" si="71"/>
        <v>-173620</v>
      </c>
      <c r="M146" s="2"/>
      <c r="N146" s="22">
        <f t="shared" si="72"/>
        <v>-1</v>
      </c>
      <c r="O146" s="11"/>
      <c r="P146" s="2">
        <f>0</f>
        <v>0</v>
      </c>
      <c r="Q146" s="2"/>
      <c r="R146" s="22">
        <f t="shared" si="73"/>
        <v>0</v>
      </c>
      <c r="S146" s="2"/>
      <c r="T146" s="2">
        <v>173620</v>
      </c>
      <c r="U146" s="2"/>
      <c r="V146" s="22">
        <f t="shared" si="74"/>
        <v>0.10719891134016545</v>
      </c>
      <c r="W146" s="2"/>
      <c r="X146" s="2">
        <f t="shared" si="75"/>
        <v>-173620</v>
      </c>
      <c r="Y146" s="2"/>
      <c r="Z146" s="22">
        <f t="shared" si="76"/>
        <v>-1</v>
      </c>
    </row>
    <row r="147" spans="1:26" s="24" customFormat="1" hidden="1" outlineLevel="1" x14ac:dyDescent="0.25">
      <c r="A147" s="51"/>
      <c r="B147" s="11" t="str">
        <f>CONCATENATE("          ", "9163", " - ", "MISC. INCOME")</f>
        <v xml:space="preserve">          9163 - MISC. INCOME</v>
      </c>
      <c r="C147" s="11"/>
      <c r="D147" s="2">
        <f t="shared" si="77"/>
        <v>0</v>
      </c>
      <c r="E147" s="2"/>
      <c r="F147" s="22">
        <f t="shared" si="69"/>
        <v>0</v>
      </c>
      <c r="G147" s="2"/>
      <c r="H147" s="2"/>
      <c r="I147" s="2"/>
      <c r="J147" s="22">
        <f t="shared" si="70"/>
        <v>0</v>
      </c>
      <c r="K147" s="2"/>
      <c r="L147" s="2">
        <f t="shared" si="71"/>
        <v>0</v>
      </c>
      <c r="M147" s="2"/>
      <c r="N147" s="22">
        <f t="shared" si="72"/>
        <v>0</v>
      </c>
      <c r="O147" s="11"/>
      <c r="P147" s="2">
        <f>--175405.84</f>
        <v>175405.84</v>
      </c>
      <c r="Q147" s="2"/>
      <c r="R147" s="22">
        <f t="shared" si="73"/>
        <v>0.19806363448489683</v>
      </c>
      <c r="S147" s="2"/>
      <c r="T147" s="2"/>
      <c r="U147" s="2"/>
      <c r="V147" s="22">
        <f t="shared" si="74"/>
        <v>0</v>
      </c>
      <c r="W147" s="2"/>
      <c r="X147" s="2">
        <f t="shared" si="75"/>
        <v>175405.84</v>
      </c>
      <c r="Y147" s="2"/>
      <c r="Z147" s="22">
        <f t="shared" si="76"/>
        <v>0</v>
      </c>
    </row>
    <row r="148" spans="1:26" x14ac:dyDescent="0.25">
      <c r="A148" s="9"/>
      <c r="B148" s="10"/>
      <c r="C148" s="10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O148" s="10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x14ac:dyDescent="0.25">
      <c r="A149" s="10"/>
      <c r="B149" s="25" t="s">
        <v>3</v>
      </c>
      <c r="C149" s="25"/>
      <c r="D149" s="21">
        <f>+D76-D78+D144</f>
        <v>30187.109999999975</v>
      </c>
      <c r="E149" s="13"/>
      <c r="F149" s="19">
        <f>IF(D$12=0,0,D149/D$12)</f>
        <v>0.17176099527814023</v>
      </c>
      <c r="G149" s="13"/>
      <c r="H149" s="21">
        <f>+H76-H78+H144</f>
        <v>223259.9409769231</v>
      </c>
      <c r="I149" s="13"/>
      <c r="J149" s="19">
        <f>IF(H$12=0,0,H149/H$12)</f>
        <v>0.90975005287897337</v>
      </c>
      <c r="K149" s="16"/>
      <c r="L149" s="21">
        <f>+D149-H149</f>
        <v>-193072.83097692311</v>
      </c>
      <c r="M149" s="16"/>
      <c r="N149" s="19">
        <f>IF(H149=0,0,L149/H149)</f>
        <v>-0.86478940257750836</v>
      </c>
      <c r="O149" s="26"/>
      <c r="P149" s="21">
        <f>+P76-P78+P144</f>
        <v>281484.9800000001</v>
      </c>
      <c r="Q149" s="13"/>
      <c r="R149" s="19">
        <f>IF(P$12=0,0,P149/P$12)</f>
        <v>0.3178453932418015</v>
      </c>
      <c r="S149" s="13"/>
      <c r="T149" s="21">
        <f>+T76-T78+T144</f>
        <v>502702.28605500003</v>
      </c>
      <c r="U149" s="13"/>
      <c r="V149" s="19">
        <f>IF(T$12=0,0,T149/T$12)</f>
        <v>0.3103855419497088</v>
      </c>
      <c r="W149" s="16"/>
      <c r="X149" s="21">
        <f>+P149-T149</f>
        <v>-221217.30605499994</v>
      </c>
      <c r="Y149" s="16"/>
      <c r="Z149" s="19">
        <f>IF(T149=0,0,X149/T149)</f>
        <v>-0.44005629612513203</v>
      </c>
    </row>
    <row r="150" spans="1:26" x14ac:dyDescent="0.25">
      <c r="A150" s="9"/>
      <c r="B150" s="10"/>
      <c r="C150" s="9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x14ac:dyDescent="0.25">
      <c r="A151" s="52"/>
      <c r="B151" s="10" t="s">
        <v>14</v>
      </c>
      <c r="C151" s="10"/>
      <c r="D151" s="4">
        <v>56796.39</v>
      </c>
      <c r="E151" s="4"/>
      <c r="F151" s="12">
        <f>IF(D$12=0,0,D151/D$12)</f>
        <v>0.3231645717196982</v>
      </c>
      <c r="G151" s="4"/>
      <c r="H151" s="4">
        <v>62136.999999999993</v>
      </c>
      <c r="I151" s="4"/>
      <c r="J151" s="12">
        <f>IF(H$12=0,0,H151/H$12)</f>
        <v>0.25319875472682224</v>
      </c>
      <c r="K151" s="4"/>
      <c r="L151" s="4">
        <f>+D151-H151</f>
        <v>-5340.6099999999933</v>
      </c>
      <c r="M151" s="4"/>
      <c r="N151" s="12">
        <f>IF(H151=0,0,L151/H151)</f>
        <v>-8.5948951510372143E-2</v>
      </c>
      <c r="O151" s="10"/>
      <c r="P151" s="4">
        <v>169592.01</v>
      </c>
      <c r="Q151" s="4"/>
      <c r="R151" s="12">
        <f>IF(P$12=0,0,P151/P$12)</f>
        <v>0.19149881144321632</v>
      </c>
      <c r="S151" s="4"/>
      <c r="T151" s="4">
        <v>307225</v>
      </c>
      <c r="U151" s="4"/>
      <c r="V151" s="12">
        <f>IF(T$12=0,0,T151/T$12)</f>
        <v>0.18969119650087737</v>
      </c>
      <c r="W151" s="4"/>
      <c r="X151" s="4">
        <f>+P151-T151</f>
        <v>-137632.99</v>
      </c>
      <c r="Y151" s="4"/>
      <c r="Z151" s="12">
        <f>IF(T151=0,0,X151/T151)</f>
        <v>-0.44798759866547316</v>
      </c>
    </row>
    <row r="152" spans="1:26" x14ac:dyDescent="0.25">
      <c r="A152" s="9"/>
      <c r="B152" s="10"/>
      <c r="C152" s="10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O152" s="10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3" customFormat="1" ht="15.75" thickBot="1" x14ac:dyDescent="0.3">
      <c r="A153" s="10"/>
      <c r="B153" s="25" t="s">
        <v>4</v>
      </c>
      <c r="C153" s="25"/>
      <c r="D153" s="34">
        <f>+D149-D151</f>
        <v>-26609.280000000024</v>
      </c>
      <c r="E153" s="13"/>
      <c r="F153" s="31">
        <f>IF(D$12=0,0,D153/D$12)</f>
        <v>-0.15140357644155797</v>
      </c>
      <c r="G153" s="13"/>
      <c r="H153" s="34">
        <f>+H149-H151</f>
        <v>161122.9409769231</v>
      </c>
      <c r="I153" s="13"/>
      <c r="J153" s="31">
        <f>IF(H$12=0,0,H153/H$12)</f>
        <v>0.65655129815215107</v>
      </c>
      <c r="K153" s="16"/>
      <c r="L153" s="34">
        <f>D153-H153</f>
        <v>-187732.22097692313</v>
      </c>
      <c r="M153" s="16"/>
      <c r="N153" s="31">
        <f>IF(H153=0,0,L153/H153)</f>
        <v>-1.1651489219267115</v>
      </c>
      <c r="O153" s="26"/>
      <c r="P153" s="34">
        <f>+P149-P151</f>
        <v>111892.97000000009</v>
      </c>
      <c r="Q153" s="13"/>
      <c r="R153" s="31">
        <f>IF(P$12=0,0,P153/P$12)</f>
        <v>0.12634658179858518</v>
      </c>
      <c r="S153" s="13"/>
      <c r="T153" s="34">
        <f>+T149-T151</f>
        <v>195477.28605500003</v>
      </c>
      <c r="U153" s="13"/>
      <c r="V153" s="31">
        <f>IF(T$12=0,0,T153/T$12)</f>
        <v>0.1206943454488314</v>
      </c>
      <c r="W153" s="16"/>
      <c r="X153" s="34">
        <f>P153-T153</f>
        <v>-83584.316054999945</v>
      </c>
      <c r="Y153" s="16"/>
      <c r="Z153" s="31">
        <f>IF(T153=0,0,X153/T153)</f>
        <v>-0.42759093775980922</v>
      </c>
    </row>
    <row r="154" spans="1:26" ht="15.75" thickTop="1" x14ac:dyDescent="0.25">
      <c r="A154" s="9"/>
      <c r="B154" s="9"/>
      <c r="C154" s="9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x14ac:dyDescent="0.25">
      <c r="A155" s="9"/>
      <c r="B155" s="9"/>
      <c r="C155" s="9"/>
      <c r="D155" s="3"/>
      <c r="E155" s="3"/>
      <c r="F155" s="8"/>
      <c r="G155" s="3"/>
      <c r="H155" s="3"/>
      <c r="I155" s="3"/>
      <c r="J155" s="8"/>
      <c r="K155" s="3"/>
      <c r="L155" s="3"/>
      <c r="M155" s="3"/>
      <c r="N155" s="8"/>
      <c r="P155" s="3"/>
      <c r="Q155" s="3"/>
      <c r="R155" s="8"/>
      <c r="S155" s="3"/>
      <c r="T155" s="3"/>
      <c r="U155" s="3"/>
      <c r="V155" s="8"/>
      <c r="W155" s="3"/>
      <c r="X155" s="3"/>
      <c r="Y155" s="3"/>
      <c r="Z155" s="8"/>
    </row>
    <row r="156" spans="1:26" s="23" customFormat="1" ht="15.75" thickBot="1" x14ac:dyDescent="0.3">
      <c r="A156" s="10"/>
      <c r="B156" s="25" t="s">
        <v>5</v>
      </c>
      <c r="C156" s="25"/>
      <c r="D156" s="33">
        <f>SUM(D153:D155)</f>
        <v>-26609.280000000024</v>
      </c>
      <c r="E156" s="13"/>
      <c r="F156" s="32">
        <f>IF(D$12=0,0,D156/D$12)</f>
        <v>-0.15140357644155797</v>
      </c>
      <c r="G156" s="13"/>
      <c r="H156" s="33">
        <f>SUM(H153:H155)</f>
        <v>161122.9409769231</v>
      </c>
      <c r="I156" s="13"/>
      <c r="J156" s="32">
        <f>IF(H$12=0,0,H156/H$12)</f>
        <v>0.65655129815215107</v>
      </c>
      <c r="K156" s="16"/>
      <c r="L156" s="33">
        <f>+D156-H156</f>
        <v>-187732.22097692313</v>
      </c>
      <c r="M156" s="16"/>
      <c r="N156" s="32">
        <f>IF(H156=0,0,L156/H156)</f>
        <v>-1.1651489219267115</v>
      </c>
      <c r="O156" s="26"/>
      <c r="P156" s="33">
        <f>SUM(P153:P155)</f>
        <v>111892.97000000009</v>
      </c>
      <c r="Q156" s="13"/>
      <c r="R156" s="32">
        <f>IF(P$12=0,0,P156/P$12)</f>
        <v>0.12634658179858518</v>
      </c>
      <c r="S156" s="13"/>
      <c r="T156" s="33">
        <f>SUM(T153:T155)</f>
        <v>195477.28605500003</v>
      </c>
      <c r="U156" s="13"/>
      <c r="V156" s="32">
        <f>IF(T$12=0,0,T156/T$12)</f>
        <v>0.1206943454488314</v>
      </c>
      <c r="W156" s="16"/>
      <c r="X156" s="33">
        <f>+P156-T156</f>
        <v>-83584.316054999945</v>
      </c>
      <c r="Y156" s="16"/>
      <c r="Z156" s="32">
        <f>IF(T156=0,0,X156/T156)</f>
        <v>-0.42759093775980922</v>
      </c>
    </row>
    <row r="157" spans="1:26" ht="15.75" thickTop="1" x14ac:dyDescent="0.25">
      <c r="A157" s="9"/>
      <c r="C157" s="9"/>
      <c r="D157" s="18"/>
      <c r="E157" s="18"/>
      <c r="G157" s="18"/>
      <c r="H157" s="18"/>
      <c r="I157" s="18"/>
      <c r="J157" s="43"/>
      <c r="K157" s="18"/>
      <c r="L157" s="18"/>
      <c r="M157" s="18"/>
      <c r="P157" s="18"/>
      <c r="Q157" s="18"/>
      <c r="R157" s="43"/>
      <c r="S157" s="18"/>
      <c r="T157" s="18"/>
      <c r="U157" s="18"/>
      <c r="V157" s="43"/>
      <c r="W157" s="18"/>
      <c r="X157" s="18"/>
    </row>
    <row r="158" spans="1:26" x14ac:dyDescent="0.25">
      <c r="A158" s="9"/>
      <c r="B158" s="63">
        <v>44209.518520717589</v>
      </c>
      <c r="D158" s="18"/>
      <c r="E158" s="18"/>
      <c r="G158" s="18"/>
      <c r="H158" s="18"/>
      <c r="I158" s="18"/>
      <c r="J158" s="43"/>
      <c r="K158" s="18"/>
      <c r="L158" s="18"/>
      <c r="M158" s="18"/>
      <c r="P158" s="18"/>
      <c r="Q158" s="18"/>
      <c r="R158" s="43"/>
      <c r="S158" s="18"/>
      <c r="T158" s="18"/>
      <c r="U158" s="18"/>
      <c r="V158" s="43"/>
      <c r="W158" s="18"/>
      <c r="X158" s="18"/>
    </row>
    <row r="159" spans="1:26" x14ac:dyDescent="0.25">
      <c r="A159" s="9"/>
      <c r="B159" s="60" t="s">
        <v>314</v>
      </c>
      <c r="D159" s="18"/>
      <c r="E159" s="18"/>
      <c r="G159" s="18"/>
      <c r="H159" s="18"/>
      <c r="I159" s="18"/>
      <c r="J159" s="43"/>
      <c r="K159" s="18"/>
      <c r="L159" s="18"/>
      <c r="M159" s="18"/>
      <c r="P159" s="18"/>
      <c r="Q159" s="18"/>
      <c r="R159" s="43"/>
      <c r="S159" s="18"/>
      <c r="T159" s="18"/>
      <c r="U159" s="18"/>
      <c r="V159" s="43"/>
      <c r="W159" s="18"/>
      <c r="X159" s="18"/>
    </row>
    <row r="160" spans="1:26" x14ac:dyDescent="0.25">
      <c r="A160" s="9"/>
      <c r="B160" s="58"/>
      <c r="D160" s="18"/>
      <c r="E160" s="18"/>
      <c r="G160" s="18"/>
      <c r="H160" s="18"/>
      <c r="I160" s="18"/>
      <c r="J160" s="43"/>
      <c r="K160" s="18"/>
      <c r="L160" s="18"/>
      <c r="M160" s="18"/>
      <c r="P160" s="18"/>
      <c r="Q160" s="18"/>
      <c r="R160" s="43"/>
      <c r="S160" s="18"/>
      <c r="T160" s="18"/>
      <c r="U160" s="18"/>
      <c r="V160" s="43"/>
      <c r="W160" s="18"/>
      <c r="X160" s="18"/>
    </row>
    <row r="161" spans="4:24" x14ac:dyDescent="0.25">
      <c r="D161" s="18"/>
      <c r="E161" s="18"/>
      <c r="G161" s="18"/>
      <c r="H161" s="18"/>
      <c r="I161" s="18"/>
      <c r="J161" s="43"/>
      <c r="K161" s="18"/>
      <c r="L161" s="18"/>
      <c r="M161" s="18"/>
      <c r="P161" s="18"/>
      <c r="Q161" s="18"/>
      <c r="R161" s="43"/>
      <c r="S161" s="18"/>
      <c r="T161" s="18"/>
      <c r="U161" s="18"/>
      <c r="V161" s="43"/>
      <c r="W161" s="18"/>
      <c r="X161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","326", " - ", "2nd Street Store")</f>
        <v>Department 326 - 2nd Street Store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38901.969999999987</v>
      </c>
      <c r="E12" s="4"/>
      <c r="F12" s="12"/>
      <c r="G12" s="4"/>
      <c r="H12" s="4">
        <f>SUM(OSRRefH13x_0)</f>
        <v>49453</v>
      </c>
      <c r="I12" s="4"/>
      <c r="J12" s="12"/>
      <c r="K12" s="4"/>
      <c r="L12" s="4">
        <f t="shared" ref="L12:L33" si="0">+D12-H12</f>
        <v>-10551.030000000013</v>
      </c>
      <c r="M12" s="4"/>
      <c r="N12" s="12">
        <f t="shared" ref="N12:N33" si="1">IF(H12=0,0,L12/H12)</f>
        <v>-0.21335470042262378</v>
      </c>
      <c r="O12" s="10"/>
      <c r="P12" s="4">
        <f>SUM(OSRRefP13x_0)</f>
        <v>144917.09</v>
      </c>
      <c r="Q12" s="4"/>
      <c r="R12" s="12"/>
      <c r="S12" s="4"/>
      <c r="T12" s="4">
        <f>SUM(OSRRefT13x_0)</f>
        <v>270145</v>
      </c>
      <c r="U12" s="4"/>
      <c r="V12" s="12"/>
      <c r="W12" s="4"/>
      <c r="X12" s="4">
        <f t="shared" ref="X12:X33" si="2">+P12-T12</f>
        <v>-125227.91</v>
      </c>
      <c r="Y12" s="4"/>
      <c r="Z12" s="12">
        <f t="shared" ref="Z12:Z33" si="3">IF(T12=0,0,X12/T12)</f>
        <v>-0.46355812619148978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-499.35</f>
        <v>-499.35</v>
      </c>
      <c r="E13" s="2"/>
      <c r="F13" s="22"/>
      <c r="G13" s="2"/>
      <c r="H13" s="2">
        <v>49453</v>
      </c>
      <c r="I13" s="2"/>
      <c r="J13" s="22"/>
      <c r="K13" s="2"/>
      <c r="L13" s="2">
        <f t="shared" si="0"/>
        <v>-49952.35</v>
      </c>
      <c r="M13" s="2"/>
      <c r="N13" s="22">
        <f t="shared" si="1"/>
        <v>-1.0100974662811153</v>
      </c>
      <c r="O13" s="11"/>
      <c r="P13" s="2">
        <f>-3343.71</f>
        <v>-3343.71</v>
      </c>
      <c r="Q13" s="2"/>
      <c r="R13" s="22"/>
      <c r="S13" s="2"/>
      <c r="T13" s="2">
        <v>270145</v>
      </c>
      <c r="U13" s="2"/>
      <c r="V13" s="22"/>
      <c r="W13" s="2"/>
      <c r="X13" s="2">
        <f t="shared" si="2"/>
        <v>-273488.71000000002</v>
      </c>
      <c r="Y13" s="2"/>
      <c r="Z13" s="22">
        <f t="shared" si="3"/>
        <v>-1.0123774639545431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--75.18</f>
        <v>75.180000000000007</v>
      </c>
      <c r="E14" s="2"/>
      <c r="F14" s="22"/>
      <c r="G14" s="2"/>
      <c r="H14" s="2"/>
      <c r="I14" s="2"/>
      <c r="J14" s="22"/>
      <c r="K14" s="2"/>
      <c r="L14" s="2">
        <f t="shared" si="0"/>
        <v>75.180000000000007</v>
      </c>
      <c r="M14" s="2"/>
      <c r="N14" s="22">
        <f t="shared" si="1"/>
        <v>0</v>
      </c>
      <c r="O14" s="11"/>
      <c r="P14" s="2">
        <f>--132.88</f>
        <v>132.88</v>
      </c>
      <c r="Q14" s="2"/>
      <c r="R14" s="22"/>
      <c r="S14" s="2"/>
      <c r="T14" s="2"/>
      <c r="U14" s="2"/>
      <c r="V14" s="22"/>
      <c r="W14" s="2"/>
      <c r="X14" s="2">
        <f t="shared" si="2"/>
        <v>132.88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--180.43</f>
        <v>180.43</v>
      </c>
      <c r="E15" s="2"/>
      <c r="F15" s="22"/>
      <c r="G15" s="2"/>
      <c r="H15" s="2"/>
      <c r="I15" s="2"/>
      <c r="J15" s="22"/>
      <c r="K15" s="2"/>
      <c r="L15" s="2">
        <f t="shared" si="0"/>
        <v>180.43</v>
      </c>
      <c r="M15" s="2"/>
      <c r="N15" s="22">
        <f t="shared" si="1"/>
        <v>0</v>
      </c>
      <c r="O15" s="11"/>
      <c r="P15" s="2">
        <f>--230.67</f>
        <v>230.67</v>
      </c>
      <c r="Q15" s="2"/>
      <c r="R15" s="22"/>
      <c r="S15" s="2"/>
      <c r="T15" s="2"/>
      <c r="U15" s="2"/>
      <c r="V15" s="22"/>
      <c r="W15" s="2"/>
      <c r="X15" s="2">
        <f t="shared" si="2"/>
        <v>230.67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>--26.24</f>
        <v>26.24</v>
      </c>
      <c r="E16" s="2"/>
      <c r="F16" s="22"/>
      <c r="G16" s="2"/>
      <c r="H16" s="2"/>
      <c r="I16" s="2"/>
      <c r="J16" s="22"/>
      <c r="K16" s="2"/>
      <c r="L16" s="2">
        <f t="shared" si="0"/>
        <v>26.24</v>
      </c>
      <c r="M16" s="2"/>
      <c r="N16" s="22">
        <f t="shared" si="1"/>
        <v>0</v>
      </c>
      <c r="O16" s="11"/>
      <c r="P16" s="2">
        <f>--26.24</f>
        <v>26.24</v>
      </c>
      <c r="Q16" s="2"/>
      <c r="R16" s="22"/>
      <c r="S16" s="2"/>
      <c r="T16" s="2"/>
      <c r="U16" s="2"/>
      <c r="V16" s="22"/>
      <c r="W16" s="2"/>
      <c r="X16" s="2">
        <f t="shared" si="2"/>
        <v>26.24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"4040", " - ", "TAXABLE SALES-LOGO CLOTHING")</f>
        <v xml:space="preserve">          4040 - TAXABLE SALES-LOGO CLOTHING</v>
      </c>
      <c r="C17" s="11"/>
      <c r="D17" s="2">
        <f>--30322.95</f>
        <v>30322.95</v>
      </c>
      <c r="E17" s="2"/>
      <c r="F17" s="22"/>
      <c r="G17" s="2"/>
      <c r="H17" s="2"/>
      <c r="I17" s="2"/>
      <c r="J17" s="22"/>
      <c r="K17" s="2"/>
      <c r="L17" s="2">
        <f t="shared" si="0"/>
        <v>30322.95</v>
      </c>
      <c r="M17" s="2"/>
      <c r="N17" s="22">
        <f t="shared" si="1"/>
        <v>0</v>
      </c>
      <c r="O17" s="11"/>
      <c r="P17" s="2">
        <f>--118863.94</f>
        <v>118863.94</v>
      </c>
      <c r="Q17" s="2"/>
      <c r="R17" s="22"/>
      <c r="S17" s="2"/>
      <c r="T17" s="2"/>
      <c r="U17" s="2"/>
      <c r="V17" s="22"/>
      <c r="W17" s="2"/>
      <c r="X17" s="2">
        <f t="shared" si="2"/>
        <v>118863.94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"4041", " - ", "TAXABLE SALES-LOGO GIFTS")</f>
        <v xml:space="preserve">          4041 - TAXABLE SALES-LOGO GIFTS</v>
      </c>
      <c r="C18" s="11"/>
      <c r="D18" s="2">
        <f>--5245.23</f>
        <v>5245.23</v>
      </c>
      <c r="E18" s="2"/>
      <c r="F18" s="22"/>
      <c r="G18" s="2"/>
      <c r="H18" s="2"/>
      <c r="I18" s="2"/>
      <c r="J18" s="22"/>
      <c r="K18" s="2"/>
      <c r="L18" s="2">
        <f t="shared" si="0"/>
        <v>5245.23</v>
      </c>
      <c r="M18" s="2"/>
      <c r="N18" s="22">
        <f t="shared" si="1"/>
        <v>0</v>
      </c>
      <c r="O18" s="11"/>
      <c r="P18" s="2">
        <f>--18947.42</f>
        <v>18947.419999999998</v>
      </c>
      <c r="Q18" s="2"/>
      <c r="R18" s="22"/>
      <c r="S18" s="2"/>
      <c r="T18" s="2"/>
      <c r="U18" s="2"/>
      <c r="V18" s="22"/>
      <c r="W18" s="2"/>
      <c r="X18" s="2">
        <f t="shared" si="2"/>
        <v>18947.419999999998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"4042", " - ", "TAXABLE SALES-EVERYDAY GIFTS")</f>
        <v xml:space="preserve">          4042 - TAXABLE SALES-EVERYDAY GIFTS</v>
      </c>
      <c r="C19" s="11"/>
      <c r="D19" s="2">
        <f>--1146.09</f>
        <v>1146.0899999999999</v>
      </c>
      <c r="E19" s="2"/>
      <c r="F19" s="22"/>
      <c r="G19" s="2"/>
      <c r="H19" s="2"/>
      <c r="I19" s="2"/>
      <c r="J19" s="22"/>
      <c r="K19" s="2"/>
      <c r="L19" s="2">
        <f t="shared" si="0"/>
        <v>1146.0899999999999</v>
      </c>
      <c r="M19" s="2"/>
      <c r="N19" s="22">
        <f t="shared" si="1"/>
        <v>0</v>
      </c>
      <c r="O19" s="11"/>
      <c r="P19" s="2">
        <f>--6153.94</f>
        <v>6153.94</v>
      </c>
      <c r="Q19" s="2"/>
      <c r="R19" s="22"/>
      <c r="S19" s="2"/>
      <c r="T19" s="2"/>
      <c r="U19" s="2"/>
      <c r="V19" s="22"/>
      <c r="W19" s="2"/>
      <c r="X19" s="2">
        <f t="shared" si="2"/>
        <v>6153.94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"4043", " - ", "TAXABLE SALES-CARDS")</f>
        <v xml:space="preserve">          4043 - TAXABLE SALES-CARDS</v>
      </c>
      <c r="C20" s="11"/>
      <c r="D20" s="2">
        <f>--3369.25</f>
        <v>3369.25</v>
      </c>
      <c r="E20" s="2"/>
      <c r="F20" s="22"/>
      <c r="G20" s="2"/>
      <c r="H20" s="2"/>
      <c r="I20" s="2"/>
      <c r="J20" s="22"/>
      <c r="K20" s="2"/>
      <c r="L20" s="2">
        <f t="shared" si="0"/>
        <v>3369.25</v>
      </c>
      <c r="M20" s="2"/>
      <c r="N20" s="22">
        <f t="shared" si="1"/>
        <v>0</v>
      </c>
      <c r="O20" s="11"/>
      <c r="P20" s="2">
        <f>--6240.23</f>
        <v>6240.23</v>
      </c>
      <c r="Q20" s="2"/>
      <c r="R20" s="22"/>
      <c r="S20" s="2"/>
      <c r="T20" s="2"/>
      <c r="U20" s="2"/>
      <c r="V20" s="22"/>
      <c r="W20" s="2"/>
      <c r="X20" s="2">
        <f t="shared" si="2"/>
        <v>6240.23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"4044", " - ", "TAXABLE SALES-ACCESSORIES")</f>
        <v xml:space="preserve">          4044 - TAXABLE SALES-ACCESSORIES</v>
      </c>
      <c r="C21" s="11"/>
      <c r="D21" s="2">
        <f>--612.52</f>
        <v>612.52</v>
      </c>
      <c r="E21" s="2"/>
      <c r="F21" s="22"/>
      <c r="G21" s="2"/>
      <c r="H21" s="2"/>
      <c r="I21" s="2"/>
      <c r="J21" s="22"/>
      <c r="K21" s="2"/>
      <c r="L21" s="2">
        <f t="shared" si="0"/>
        <v>612.52</v>
      </c>
      <c r="M21" s="2"/>
      <c r="N21" s="22">
        <f t="shared" si="1"/>
        <v>0</v>
      </c>
      <c r="O21" s="11"/>
      <c r="P21" s="2">
        <f>--1840.86</f>
        <v>1840.86</v>
      </c>
      <c r="Q21" s="2"/>
      <c r="R21" s="22"/>
      <c r="S21" s="2"/>
      <c r="T21" s="2"/>
      <c r="U21" s="2"/>
      <c r="V21" s="22"/>
      <c r="W21" s="2"/>
      <c r="X21" s="2">
        <f t="shared" si="2"/>
        <v>1840.86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"4045", " - ", "TAXABLE SALES-SPECIAL ORDERS")</f>
        <v xml:space="preserve">          4045 - TAXABLE SALES-SPECIAL ORDERS</v>
      </c>
      <c r="C22" s="11"/>
      <c r="D22" s="2">
        <f>--39.9</f>
        <v>39.9</v>
      </c>
      <c r="E22" s="2"/>
      <c r="F22" s="22"/>
      <c r="G22" s="2"/>
      <c r="H22" s="2"/>
      <c r="I22" s="2"/>
      <c r="J22" s="22"/>
      <c r="K22" s="2"/>
      <c r="L22" s="2">
        <f t="shared" si="0"/>
        <v>39.9</v>
      </c>
      <c r="M22" s="2"/>
      <c r="N22" s="22">
        <f t="shared" si="1"/>
        <v>0</v>
      </c>
      <c r="O22" s="11"/>
      <c r="P22" s="2">
        <f>--326.37</f>
        <v>326.37</v>
      </c>
      <c r="Q22" s="2"/>
      <c r="R22" s="22"/>
      <c r="S22" s="2"/>
      <c r="T22" s="2"/>
      <c r="U22" s="2"/>
      <c r="V22" s="22"/>
      <c r="W22" s="2"/>
      <c r="X22" s="2">
        <f t="shared" si="2"/>
        <v>326.37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"4131", " - ", "NON-TAXABLE SALES-FOOD")</f>
        <v xml:space="preserve">          4131 - NON-TAXABLE SALES-FOOD</v>
      </c>
      <c r="C23" s="11"/>
      <c r="D23" s="2">
        <f>--1.5</f>
        <v>1.5</v>
      </c>
      <c r="E23" s="2"/>
      <c r="F23" s="22"/>
      <c r="G23" s="2"/>
      <c r="H23" s="2"/>
      <c r="I23" s="2"/>
      <c r="J23" s="22"/>
      <c r="K23" s="2"/>
      <c r="L23" s="2">
        <f t="shared" si="0"/>
        <v>1.5</v>
      </c>
      <c r="M23" s="2"/>
      <c r="N23" s="22">
        <f t="shared" si="1"/>
        <v>0</v>
      </c>
      <c r="O23" s="11"/>
      <c r="P23" s="2">
        <f>--37.5</f>
        <v>37.5</v>
      </c>
      <c r="Q23" s="2"/>
      <c r="R23" s="22"/>
      <c r="S23" s="2"/>
      <c r="T23" s="2"/>
      <c r="U23" s="2"/>
      <c r="V23" s="22"/>
      <c r="W23" s="2"/>
      <c r="X23" s="2">
        <f t="shared" si="2"/>
        <v>37.5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"4137", " - ", "NON-TAXABLE SALES-WATER")</f>
        <v xml:space="preserve">          4137 - NON-TAXABLE SALES-WATER</v>
      </c>
      <c r="C24" s="11"/>
      <c r="D24" s="2">
        <f t="shared" ref="D24:D27" si="4">0</f>
        <v>0</v>
      </c>
      <c r="E24" s="2"/>
      <c r="F24" s="22"/>
      <c r="G24" s="2"/>
      <c r="H24" s="2"/>
      <c r="I24" s="2"/>
      <c r="J24" s="22"/>
      <c r="K24" s="2"/>
      <c r="L24" s="2">
        <f t="shared" si="0"/>
        <v>0</v>
      </c>
      <c r="M24" s="2"/>
      <c r="N24" s="22">
        <f t="shared" si="1"/>
        <v>0</v>
      </c>
      <c r="O24" s="11"/>
      <c r="P24" s="2">
        <f>--9</f>
        <v>9</v>
      </c>
      <c r="Q24" s="2"/>
      <c r="R24" s="22"/>
      <c r="S24" s="2"/>
      <c r="T24" s="2"/>
      <c r="U24" s="2"/>
      <c r="V24" s="22"/>
      <c r="W24" s="2"/>
      <c r="X24" s="2">
        <f t="shared" si="2"/>
        <v>9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"4140", " - ", "NON-TAXABLE SALES-LOGO CLOTHIN")</f>
        <v xml:space="preserve">          4140 - NON-TAXABLE SALES-LOGO CLOTHIN</v>
      </c>
      <c r="C25" s="11"/>
      <c r="D25" s="2">
        <f t="shared" si="4"/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--165.78</f>
        <v>165.78</v>
      </c>
      <c r="Q25" s="2"/>
      <c r="R25" s="22"/>
      <c r="S25" s="2"/>
      <c r="T25" s="2"/>
      <c r="U25" s="2"/>
      <c r="V25" s="22"/>
      <c r="W25" s="2"/>
      <c r="X25" s="2">
        <f t="shared" si="2"/>
        <v>165.78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"4145", " - ", "NON-TAXABLE SALES-SPECIAL ORDE")</f>
        <v xml:space="preserve">          4145 - NON-TAXABLE SALES-SPECIAL ORDE</v>
      </c>
      <c r="C26" s="11"/>
      <c r="D26" s="2">
        <f t="shared" si="4"/>
        <v>0</v>
      </c>
      <c r="E26" s="2"/>
      <c r="F26" s="22"/>
      <c r="G26" s="2"/>
      <c r="H26" s="2"/>
      <c r="I26" s="2"/>
      <c r="J26" s="22"/>
      <c r="K26" s="2"/>
      <c r="L26" s="2">
        <f t="shared" si="0"/>
        <v>0</v>
      </c>
      <c r="M26" s="2"/>
      <c r="N26" s="22">
        <f t="shared" si="1"/>
        <v>0</v>
      </c>
      <c r="O26" s="11"/>
      <c r="P26" s="2">
        <f>--7</f>
        <v>7</v>
      </c>
      <c r="Q26" s="2"/>
      <c r="R26" s="22"/>
      <c r="S26" s="2"/>
      <c r="T26" s="2"/>
      <c r="U26" s="2"/>
      <c r="V26" s="22"/>
      <c r="W26" s="2"/>
      <c r="X26" s="2">
        <f t="shared" si="2"/>
        <v>7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"4226", " - ", "SALES RETURN TAXABLE-WRITING I")</f>
        <v xml:space="preserve">          4226 - SALES RETURN TAXABLE-WRITING I</v>
      </c>
      <c r="C27" s="11"/>
      <c r="D27" s="2">
        <f t="shared" si="4"/>
        <v>0</v>
      </c>
      <c r="E27" s="2"/>
      <c r="F27" s="22"/>
      <c r="G27" s="2"/>
      <c r="H27" s="2"/>
      <c r="I27" s="2"/>
      <c r="J27" s="22"/>
      <c r="K27" s="2"/>
      <c r="L27" s="2">
        <f t="shared" si="0"/>
        <v>0</v>
      </c>
      <c r="M27" s="2"/>
      <c r="N27" s="22">
        <f t="shared" si="1"/>
        <v>0</v>
      </c>
      <c r="O27" s="11"/>
      <c r="P27" s="2">
        <f>-27.85</f>
        <v>-27.85</v>
      </c>
      <c r="Q27" s="2"/>
      <c r="R27" s="22"/>
      <c r="S27" s="2"/>
      <c r="T27" s="2"/>
      <c r="U27" s="2"/>
      <c r="V27" s="22"/>
      <c r="W27" s="2"/>
      <c r="X27" s="2">
        <f t="shared" si="2"/>
        <v>-27.85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"4227", " - ", "SALES RETURN TAXABLE-SCHOOL SU")</f>
        <v xml:space="preserve">          4227 - SALES RETURN TAXABLE-SCHOOL SU</v>
      </c>
      <c r="C28" s="11"/>
      <c r="D28" s="2">
        <f>-9.22</f>
        <v>-9.2200000000000006</v>
      </c>
      <c r="E28" s="2"/>
      <c r="F28" s="22"/>
      <c r="G28" s="2"/>
      <c r="H28" s="2"/>
      <c r="I28" s="2"/>
      <c r="J28" s="22"/>
      <c r="K28" s="2"/>
      <c r="L28" s="2">
        <f t="shared" si="0"/>
        <v>-9.2200000000000006</v>
      </c>
      <c r="M28" s="2"/>
      <c r="N28" s="22">
        <f t="shared" si="1"/>
        <v>0</v>
      </c>
      <c r="O28" s="11"/>
      <c r="P28" s="2">
        <f>-39.22</f>
        <v>-39.22</v>
      </c>
      <c r="Q28" s="2"/>
      <c r="R28" s="22"/>
      <c r="S28" s="2"/>
      <c r="T28" s="2"/>
      <c r="U28" s="2"/>
      <c r="V28" s="22"/>
      <c r="W28" s="2"/>
      <c r="X28" s="2">
        <f t="shared" si="2"/>
        <v>-39.22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"4240", " - ", "SALES RETURN TAXABLE-LOGO CLOT")</f>
        <v xml:space="preserve">          4240 - SALES RETURN TAXABLE-LOGO CLOT</v>
      </c>
      <c r="C29" s="11"/>
      <c r="D29" s="2">
        <f>-1318.44</f>
        <v>-1318.44</v>
      </c>
      <c r="E29" s="2"/>
      <c r="F29" s="22"/>
      <c r="G29" s="2"/>
      <c r="H29" s="2"/>
      <c r="I29" s="2"/>
      <c r="J29" s="22"/>
      <c r="K29" s="2"/>
      <c r="L29" s="2">
        <f t="shared" si="0"/>
        <v>-1318.44</v>
      </c>
      <c r="M29" s="2"/>
      <c r="N29" s="22">
        <f t="shared" si="1"/>
        <v>0</v>
      </c>
      <c r="O29" s="11"/>
      <c r="P29" s="2">
        <f>-4091.47</f>
        <v>-4091.47</v>
      </c>
      <c r="Q29" s="2"/>
      <c r="R29" s="22"/>
      <c r="S29" s="2"/>
      <c r="T29" s="2"/>
      <c r="U29" s="2"/>
      <c r="V29" s="22"/>
      <c r="W29" s="2"/>
      <c r="X29" s="2">
        <f t="shared" si="2"/>
        <v>-4091.47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"4241", " - ", "SALES RETURN TAXABLE-LOGO GIFT")</f>
        <v xml:space="preserve">          4241 - SALES RETURN TAXABLE-LOGO GIFT</v>
      </c>
      <c r="C30" s="11"/>
      <c r="D30" s="2">
        <f>-124.01</f>
        <v>-124.01</v>
      </c>
      <c r="E30" s="2"/>
      <c r="F30" s="22"/>
      <c r="G30" s="2"/>
      <c r="H30" s="2"/>
      <c r="I30" s="2"/>
      <c r="J30" s="22"/>
      <c r="K30" s="2"/>
      <c r="L30" s="2">
        <f t="shared" si="0"/>
        <v>-124.01</v>
      </c>
      <c r="M30" s="2"/>
      <c r="N30" s="22">
        <f t="shared" si="1"/>
        <v>0</v>
      </c>
      <c r="O30" s="11"/>
      <c r="P30" s="2">
        <f>-274.41</f>
        <v>-274.41000000000003</v>
      </c>
      <c r="Q30" s="2"/>
      <c r="R30" s="22"/>
      <c r="S30" s="2"/>
      <c r="T30" s="2"/>
      <c r="U30" s="2"/>
      <c r="V30" s="22"/>
      <c r="W30" s="2"/>
      <c r="X30" s="2">
        <f t="shared" si="2"/>
        <v>-274.41000000000003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"4242", " - ", "SALES RETURN TAXABLE-EVERYDAY")</f>
        <v xml:space="preserve">          4242 - SALES RETURN TAXABLE-EVERYDAY</v>
      </c>
      <c r="C31" s="11"/>
      <c r="D31" s="2">
        <f>-136.37</f>
        <v>-136.37</v>
      </c>
      <c r="E31" s="2"/>
      <c r="F31" s="22"/>
      <c r="G31" s="2"/>
      <c r="H31" s="2"/>
      <c r="I31" s="2"/>
      <c r="J31" s="22"/>
      <c r="K31" s="2"/>
      <c r="L31" s="2">
        <f t="shared" si="0"/>
        <v>-136.37</v>
      </c>
      <c r="M31" s="2"/>
      <c r="N31" s="22">
        <f t="shared" si="1"/>
        <v>0</v>
      </c>
      <c r="O31" s="11"/>
      <c r="P31" s="2">
        <f>-251.15</f>
        <v>-251.15</v>
      </c>
      <c r="Q31" s="2"/>
      <c r="R31" s="22"/>
      <c r="S31" s="2"/>
      <c r="T31" s="2"/>
      <c r="U31" s="2"/>
      <c r="V31" s="22"/>
      <c r="W31" s="2"/>
      <c r="X31" s="2">
        <f t="shared" si="2"/>
        <v>-251.15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"4244", " - ", "SALES RETURN TAXABLE-ACCESSORI")</f>
        <v xml:space="preserve">          4244 - SALES RETURN TAXABLE-ACCESSORI</v>
      </c>
      <c r="C32" s="11"/>
      <c r="D32" s="2">
        <f>-29.93</f>
        <v>-29.93</v>
      </c>
      <c r="E32" s="2"/>
      <c r="F32" s="22"/>
      <c r="G32" s="2"/>
      <c r="H32" s="2"/>
      <c r="I32" s="2"/>
      <c r="J32" s="22"/>
      <c r="K32" s="2"/>
      <c r="L32" s="2">
        <f t="shared" si="0"/>
        <v>-29.93</v>
      </c>
      <c r="M32" s="2"/>
      <c r="N32" s="22">
        <f t="shared" si="1"/>
        <v>0</v>
      </c>
      <c r="O32" s="11"/>
      <c r="P32" s="2">
        <f>-29.93</f>
        <v>-29.93</v>
      </c>
      <c r="Q32" s="2"/>
      <c r="R32" s="22"/>
      <c r="S32" s="2"/>
      <c r="T32" s="2"/>
      <c r="U32" s="2"/>
      <c r="V32" s="22"/>
      <c r="W32" s="2"/>
      <c r="X32" s="2">
        <f t="shared" si="2"/>
        <v>-29.93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"4245", " - ", "SALES RETURN TAXABLE-SPECIAL O")</f>
        <v xml:space="preserve">          4245 - SALES RETURN TAXABLE-SPECIAL O</v>
      </c>
      <c r="C33" s="11"/>
      <c r="D33" s="2">
        <f>0</f>
        <v>0</v>
      </c>
      <c r="E33" s="2"/>
      <c r="F33" s="22"/>
      <c r="G33" s="2"/>
      <c r="H33" s="2"/>
      <c r="I33" s="2"/>
      <c r="J33" s="22"/>
      <c r="K33" s="2"/>
      <c r="L33" s="2">
        <f t="shared" si="0"/>
        <v>0</v>
      </c>
      <c r="M33" s="2"/>
      <c r="N33" s="22">
        <f t="shared" si="1"/>
        <v>0</v>
      </c>
      <c r="O33" s="11"/>
      <c r="P33" s="2">
        <f>-7</f>
        <v>-7</v>
      </c>
      <c r="Q33" s="2"/>
      <c r="R33" s="22"/>
      <c r="S33" s="2"/>
      <c r="T33" s="2"/>
      <c r="U33" s="2"/>
      <c r="V33" s="22"/>
      <c r="W33" s="2"/>
      <c r="X33" s="2">
        <f t="shared" si="2"/>
        <v>-7</v>
      </c>
      <c r="Y33" s="2"/>
      <c r="Z33" s="22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6" t="s">
        <v>8</v>
      </c>
      <c r="C35" s="10"/>
      <c r="D35" s="4">
        <f>SUM(OSRRefD16x_0)</f>
        <v>19926</v>
      </c>
      <c r="E35" s="4"/>
      <c r="F35" s="12">
        <f t="shared" ref="F35:F40" si="5">IF(D$12=0,0,D35/D$12)</f>
        <v>0.51221056414366695</v>
      </c>
      <c r="G35" s="4"/>
      <c r="H35" s="4">
        <f>SUM(OSRRefH16x_0)</f>
        <v>21265</v>
      </c>
      <c r="I35" s="4"/>
      <c r="J35" s="12">
        <f t="shared" ref="J35:J40" si="6">IF(H$12=0,0,H35/H$12)</f>
        <v>0.43000424645623114</v>
      </c>
      <c r="K35" s="4"/>
      <c r="L35" s="4">
        <f t="shared" ref="L35:L40" si="7">+D35-H35</f>
        <v>-1339</v>
      </c>
      <c r="M35" s="4"/>
      <c r="N35" s="12">
        <f t="shared" ref="N35:N40" si="8">IF(H35=0,0,L35/H35)</f>
        <v>-6.2967317187867383E-2</v>
      </c>
      <c r="O35" s="10"/>
      <c r="P35" s="4">
        <f>SUM(OSRRefP16x_0)</f>
        <v>63540</v>
      </c>
      <c r="Q35" s="4"/>
      <c r="R35" s="12">
        <f t="shared" ref="R35:R40" si="9">IF(P$12=0,0,P35/P$12)</f>
        <v>0.43845760358560887</v>
      </c>
      <c r="S35" s="4"/>
      <c r="T35" s="4">
        <f>SUM(OSRRefT16x_0)</f>
        <v>116162</v>
      </c>
      <c r="U35" s="4"/>
      <c r="V35" s="12">
        <f t="shared" ref="V35:V40" si="10">IF(T$12=0,0,T35/T$12)</f>
        <v>0.42999870439948917</v>
      </c>
      <c r="W35" s="4"/>
      <c r="X35" s="4">
        <f t="shared" ref="X35:X40" si="11">+P35-T35</f>
        <v>-52622</v>
      </c>
      <c r="Y35" s="4"/>
      <c r="Z35" s="12">
        <f t="shared" ref="Z35:Z40" si="12">IF(T35=0,0,X35/T35)</f>
        <v>-0.4530052857216646</v>
      </c>
    </row>
    <row r="36" spans="1:26" s="24" customFormat="1" hidden="1" outlineLevel="1" x14ac:dyDescent="0.25">
      <c r="A36" s="51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22">
        <f t="shared" si="5"/>
        <v>0</v>
      </c>
      <c r="G36" s="2"/>
      <c r="H36" s="2">
        <v>21265</v>
      </c>
      <c r="I36" s="2"/>
      <c r="J36" s="22">
        <f t="shared" si="6"/>
        <v>0.43000424645623114</v>
      </c>
      <c r="K36" s="2"/>
      <c r="L36" s="2">
        <f t="shared" si="7"/>
        <v>-21265</v>
      </c>
      <c r="M36" s="2"/>
      <c r="N36" s="22">
        <f t="shared" si="8"/>
        <v>-1</v>
      </c>
      <c r="O36" s="11"/>
      <c r="P36" s="2"/>
      <c r="Q36" s="2"/>
      <c r="R36" s="22">
        <f t="shared" si="9"/>
        <v>0</v>
      </c>
      <c r="S36" s="2"/>
      <c r="T36" s="2">
        <v>116162</v>
      </c>
      <c r="U36" s="2"/>
      <c r="V36" s="22">
        <f t="shared" si="10"/>
        <v>0.42999870439948917</v>
      </c>
      <c r="W36" s="2"/>
      <c r="X36" s="2">
        <f t="shared" si="11"/>
        <v>-116162</v>
      </c>
      <c r="Y36" s="2"/>
      <c r="Z36" s="22">
        <f t="shared" si="12"/>
        <v>-1</v>
      </c>
    </row>
    <row r="37" spans="1:26" s="24" customFormat="1" hidden="1" outlineLevel="1" x14ac:dyDescent="0.25">
      <c r="A37" s="51"/>
      <c r="B37" s="11" t="str">
        <f>CONCATENATE("          ", "5041", " - ", "PURCHASES @ COST-LOGO GIFTS")</f>
        <v xml:space="preserve">          5041 - PURCHASES @ COST-LOGO GIFTS</v>
      </c>
      <c r="C37" s="11"/>
      <c r="D37" s="2"/>
      <c r="E37" s="2"/>
      <c r="F37" s="22">
        <f t="shared" si="5"/>
        <v>0</v>
      </c>
      <c r="G37" s="2"/>
      <c r="H37" s="2"/>
      <c r="I37" s="2"/>
      <c r="J37" s="22">
        <f t="shared" si="6"/>
        <v>0</v>
      </c>
      <c r="K37" s="2"/>
      <c r="L37" s="2">
        <f t="shared" si="7"/>
        <v>0</v>
      </c>
      <c r="M37" s="2"/>
      <c r="N37" s="22">
        <f t="shared" si="8"/>
        <v>0</v>
      </c>
      <c r="O37" s="11"/>
      <c r="P37" s="2">
        <v>207.6</v>
      </c>
      <c r="Q37" s="2"/>
      <c r="R37" s="22">
        <f t="shared" si="9"/>
        <v>1.4325432562853698E-3</v>
      </c>
      <c r="S37" s="2"/>
      <c r="T37" s="2"/>
      <c r="U37" s="2"/>
      <c r="V37" s="22">
        <f t="shared" si="10"/>
        <v>0</v>
      </c>
      <c r="W37" s="2"/>
      <c r="X37" s="2">
        <f t="shared" si="11"/>
        <v>207.6</v>
      </c>
      <c r="Y37" s="2"/>
      <c r="Z37" s="22">
        <f t="shared" si="12"/>
        <v>0</v>
      </c>
    </row>
    <row r="38" spans="1:26" s="24" customFormat="1" hidden="1" outlineLevel="1" x14ac:dyDescent="0.25">
      <c r="A38" s="51"/>
      <c r="B38" s="11" t="str">
        <f>CONCATENATE("          ", "5042", " - ", "PURCHASES @ COST-EVERYDAY GIFT")</f>
        <v xml:space="preserve">          5042 - PURCHASES @ COST-EVERYDAY GIFT</v>
      </c>
      <c r="C38" s="11"/>
      <c r="D38" s="2"/>
      <c r="E38" s="2"/>
      <c r="F38" s="22">
        <f t="shared" si="5"/>
        <v>0</v>
      </c>
      <c r="G38" s="2"/>
      <c r="H38" s="2"/>
      <c r="I38" s="2"/>
      <c r="J38" s="22">
        <f t="shared" si="6"/>
        <v>0</v>
      </c>
      <c r="K38" s="2"/>
      <c r="L38" s="2">
        <f t="shared" si="7"/>
        <v>0</v>
      </c>
      <c r="M38" s="2"/>
      <c r="N38" s="22">
        <f t="shared" si="8"/>
        <v>0</v>
      </c>
      <c r="O38" s="11"/>
      <c r="P38" s="2">
        <v>7946.04</v>
      </c>
      <c r="Q38" s="2"/>
      <c r="R38" s="22">
        <f t="shared" si="9"/>
        <v>5.4831628208929672E-2</v>
      </c>
      <c r="S38" s="2"/>
      <c r="T38" s="2"/>
      <c r="U38" s="2"/>
      <c r="V38" s="22">
        <f t="shared" si="10"/>
        <v>0</v>
      </c>
      <c r="W38" s="2"/>
      <c r="X38" s="2">
        <f t="shared" si="11"/>
        <v>7946.04</v>
      </c>
      <c r="Y38" s="2"/>
      <c r="Z38" s="22">
        <f t="shared" si="12"/>
        <v>0</v>
      </c>
    </row>
    <row r="39" spans="1:26" s="24" customFormat="1" hidden="1" outlineLevel="1" x14ac:dyDescent="0.25">
      <c r="A39" s="51"/>
      <c r="B39" s="11" t="str">
        <f>CONCATENATE("          ", "5200", " - ", "PURCHASES OFFSET")</f>
        <v xml:space="preserve">          5200 - PURCHASES OFFSET</v>
      </c>
      <c r="C39" s="11"/>
      <c r="D39" s="2"/>
      <c r="E39" s="2"/>
      <c r="F39" s="22">
        <f t="shared" si="5"/>
        <v>0</v>
      </c>
      <c r="G39" s="2"/>
      <c r="H39" s="2"/>
      <c r="I39" s="2"/>
      <c r="J39" s="22">
        <f t="shared" si="6"/>
        <v>0</v>
      </c>
      <c r="K39" s="2"/>
      <c r="L39" s="2">
        <f t="shared" si="7"/>
        <v>0</v>
      </c>
      <c r="M39" s="2"/>
      <c r="N39" s="22">
        <f t="shared" si="8"/>
        <v>0</v>
      </c>
      <c r="O39" s="11"/>
      <c r="P39" s="2">
        <v>-8153.64</v>
      </c>
      <c r="Q39" s="2"/>
      <c r="R39" s="22">
        <f t="shared" si="9"/>
        <v>-5.6264171465215042E-2</v>
      </c>
      <c r="S39" s="2"/>
      <c r="T39" s="2"/>
      <c r="U39" s="2"/>
      <c r="V39" s="22">
        <f t="shared" si="10"/>
        <v>0</v>
      </c>
      <c r="W39" s="2"/>
      <c r="X39" s="2">
        <f t="shared" si="11"/>
        <v>-8153.64</v>
      </c>
      <c r="Y39" s="2"/>
      <c r="Z39" s="22">
        <f t="shared" si="12"/>
        <v>0</v>
      </c>
    </row>
    <row r="40" spans="1:26" s="24" customFormat="1" hidden="1" outlineLevel="1" x14ac:dyDescent="0.25">
      <c r="A40" s="51"/>
      <c r="B40" s="11" t="str">
        <f>CONCATENATE("          ", "5300", " - ", "COG$ OFFSET")</f>
        <v xml:space="preserve">          5300 - COG$ OFFSET</v>
      </c>
      <c r="C40" s="11"/>
      <c r="D40" s="2">
        <v>19926</v>
      </c>
      <c r="E40" s="2"/>
      <c r="F40" s="22">
        <f t="shared" si="5"/>
        <v>0.51221056414366695</v>
      </c>
      <c r="G40" s="2"/>
      <c r="H40" s="2"/>
      <c r="I40" s="2"/>
      <c r="J40" s="22">
        <f t="shared" si="6"/>
        <v>0</v>
      </c>
      <c r="K40" s="2"/>
      <c r="L40" s="2">
        <f t="shared" si="7"/>
        <v>19926</v>
      </c>
      <c r="M40" s="2"/>
      <c r="N40" s="22">
        <f t="shared" si="8"/>
        <v>0</v>
      </c>
      <c r="O40" s="11"/>
      <c r="P40" s="2">
        <v>63540</v>
      </c>
      <c r="Q40" s="2"/>
      <c r="R40" s="22">
        <f t="shared" si="9"/>
        <v>0.43845760358560887</v>
      </c>
      <c r="S40" s="2"/>
      <c r="T40" s="2"/>
      <c r="U40" s="2"/>
      <c r="V40" s="22">
        <f t="shared" si="10"/>
        <v>0</v>
      </c>
      <c r="W40" s="2"/>
      <c r="X40" s="2">
        <f t="shared" si="11"/>
        <v>63540</v>
      </c>
      <c r="Y40" s="2"/>
      <c r="Z40" s="22">
        <f t="shared" si="12"/>
        <v>0</v>
      </c>
    </row>
    <row r="41" spans="1:26" x14ac:dyDescent="0.25">
      <c r="A41" s="9"/>
      <c r="B41" s="10"/>
      <c r="C41" s="10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O41" s="10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x14ac:dyDescent="0.25">
      <c r="A42" s="10"/>
      <c r="B42" s="25" t="s">
        <v>6</v>
      </c>
      <c r="C42" s="25"/>
      <c r="D42" s="21">
        <f>D12-D35</f>
        <v>18975.969999999987</v>
      </c>
      <c r="E42" s="13"/>
      <c r="F42" s="19">
        <f>IF(D$12=0,0,D42/D$12)</f>
        <v>0.48778943585633305</v>
      </c>
      <c r="G42" s="13"/>
      <c r="H42" s="21">
        <f>H12-H35</f>
        <v>28188</v>
      </c>
      <c r="I42" s="13"/>
      <c r="J42" s="19">
        <f>IF(H$12=0,0,H42/H$12)</f>
        <v>0.56999575354376886</v>
      </c>
      <c r="K42" s="16"/>
      <c r="L42" s="21">
        <f>+D42-H42</f>
        <v>-9212.0300000000134</v>
      </c>
      <c r="M42" s="16"/>
      <c r="N42" s="19">
        <f>IF(H42=0,0,L42/H42)</f>
        <v>-0.32680679721867512</v>
      </c>
      <c r="O42" s="26"/>
      <c r="P42" s="21">
        <f>P12-P35</f>
        <v>81377.09</v>
      </c>
      <c r="Q42" s="13"/>
      <c r="R42" s="19">
        <f>IF(P$12=0,0,P42/P$12)</f>
        <v>0.56154239641439119</v>
      </c>
      <c r="S42" s="13"/>
      <c r="T42" s="21">
        <f>T12-T35</f>
        <v>153983</v>
      </c>
      <c r="U42" s="13"/>
      <c r="V42" s="19">
        <f>IF(T$12=0,0,T42/T$12)</f>
        <v>0.57000129560051083</v>
      </c>
      <c r="W42" s="16"/>
      <c r="X42" s="21">
        <f>+P42-T42</f>
        <v>-72605.91</v>
      </c>
      <c r="Y42" s="16"/>
      <c r="Z42" s="19">
        <f>IF(T42=0,0,X42/T42)</f>
        <v>-0.47151899885052251</v>
      </c>
    </row>
    <row r="43" spans="1:26" x14ac:dyDescent="0.25">
      <c r="A43" s="9"/>
      <c r="B43" s="10"/>
      <c r="C43" s="9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6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25">
      <c r="A44" s="10"/>
      <c r="B44" s="26" t="s">
        <v>9</v>
      </c>
      <c r="C44" s="10"/>
      <c r="D44" s="20">
        <f>SUM(OSRRefD22x_0)</f>
        <v>23595.63</v>
      </c>
      <c r="E44" s="20"/>
      <c r="F44" s="30">
        <f t="shared" ref="F44:F54" si="13">IF(D$12=0,0,D44/D$12)</f>
        <v>0.60654074845052852</v>
      </c>
      <c r="G44" s="20"/>
      <c r="H44" s="20">
        <f>SUM(OSRRefH22x_0)</f>
        <v>25946.595253846153</v>
      </c>
      <c r="I44" s="20"/>
      <c r="J44" s="30">
        <f t="shared" ref="J44:J54" si="14">IF(H$12=0,0,H44/H$12)</f>
        <v>0.52467181473007007</v>
      </c>
      <c r="K44" s="4"/>
      <c r="L44" s="20">
        <f t="shared" ref="L44:L54" si="15">+D44-H44</f>
        <v>-2350.9652538461523</v>
      </c>
      <c r="M44" s="4"/>
      <c r="N44" s="30">
        <f t="shared" ref="N44:N54" si="16">IF(H44=0,0,L44/H44)</f>
        <v>-9.0607851660138752E-2</v>
      </c>
      <c r="O44" s="10"/>
      <c r="P44" s="20">
        <f>SUM(OSRRefP22x_0)</f>
        <v>130021.42000000001</v>
      </c>
      <c r="Q44" s="20"/>
      <c r="R44" s="30">
        <f t="shared" ref="R44:R54" si="17">IF(P$12=0,0,P44/P$12)</f>
        <v>0.89721246817749389</v>
      </c>
      <c r="S44" s="20"/>
      <c r="T44" s="20">
        <f>SUM(OSRRefT22x_0)</f>
        <v>153351.32629999999</v>
      </c>
      <c r="U44" s="20"/>
      <c r="V44" s="30">
        <f t="shared" ref="V44:V54" si="18">IF(T$12=0,0,T44/T$12)</f>
        <v>0.56766301911936179</v>
      </c>
      <c r="W44" s="4"/>
      <c r="X44" s="20">
        <f t="shared" ref="X44:X54" si="19">+P44-T44</f>
        <v>-23329.906299999973</v>
      </c>
      <c r="Y44" s="4"/>
      <c r="Z44" s="30">
        <f t="shared" ref="Z44:Z54" si="20">IF(T44=0,0,X44/T44)</f>
        <v>-0.15213371062966788</v>
      </c>
    </row>
    <row r="45" spans="1:26" s="28" customFormat="1" outlineLevel="1" collapsed="1" x14ac:dyDescent="0.25">
      <c r="A45" s="27"/>
      <c r="B45" s="14" t="str">
        <f>CONCATENATE("     ","*Benefits                                         ")</f>
        <v xml:space="preserve">     *Benefits                                         </v>
      </c>
      <c r="C45" s="14"/>
      <c r="D45" s="1">
        <f>SUM(OSRRefD22_0x_0)</f>
        <v>5077.6499999999996</v>
      </c>
      <c r="E45" s="1"/>
      <c r="F45" s="5">
        <f t="shared" si="13"/>
        <v>0.13052423823266537</v>
      </c>
      <c r="G45" s="1"/>
      <c r="H45" s="1">
        <f>SUM(OSRRefH22_0x_0)</f>
        <v>2132.5183307692323</v>
      </c>
      <c r="I45" s="1"/>
      <c r="J45" s="5">
        <f t="shared" si="14"/>
        <v>4.3122122637033793E-2</v>
      </c>
      <c r="K45" s="1"/>
      <c r="L45" s="1">
        <f t="shared" si="15"/>
        <v>2945.1316692307673</v>
      </c>
      <c r="M45" s="1"/>
      <c r="N45" s="5">
        <f t="shared" si="16"/>
        <v>1.3810580789560729</v>
      </c>
      <c r="O45" s="14"/>
      <c r="P45" s="1">
        <f>SUM(OSRRefP22_0x_0)</f>
        <v>31127.069999999996</v>
      </c>
      <c r="Q45" s="1"/>
      <c r="R45" s="5">
        <f t="shared" si="17"/>
        <v>0.21479226501166976</v>
      </c>
      <c r="S45" s="1"/>
      <c r="T45" s="1">
        <f>SUM(OSRRefT22_0x_0)</f>
        <v>14170.826300000006</v>
      </c>
      <c r="U45" s="1"/>
      <c r="V45" s="5">
        <f t="shared" si="18"/>
        <v>5.2456370837883383E-2</v>
      </c>
      <c r="W45" s="1"/>
      <c r="X45" s="1">
        <f t="shared" si="19"/>
        <v>16956.243699999992</v>
      </c>
      <c r="Y45" s="1"/>
      <c r="Z45" s="5">
        <f t="shared" si="20"/>
        <v>1.1965599846495885</v>
      </c>
    </row>
    <row r="46" spans="1:26" s="24" customFormat="1" hidden="1" outlineLevel="2" x14ac:dyDescent="0.25">
      <c r="A46" s="29"/>
      <c r="B46" s="11" t="str">
        <f>CONCATENATE("          ", "6111", " - ", "F.I.C.A.")</f>
        <v xml:space="preserve">          6111 - F.I.C.A.</v>
      </c>
      <c r="C46" s="11"/>
      <c r="D46" s="7">
        <v>594.54</v>
      </c>
      <c r="E46" s="2"/>
      <c r="F46" s="6">
        <f t="shared" si="13"/>
        <v>1.5283030653717541E-2</v>
      </c>
      <c r="G46" s="2"/>
      <c r="H46" s="7">
        <v>280.276407692308</v>
      </c>
      <c r="I46" s="2"/>
      <c r="J46" s="6">
        <f t="shared" si="14"/>
        <v>5.6675309423555292E-3</v>
      </c>
      <c r="K46" s="2"/>
      <c r="L46" s="7">
        <f t="shared" si="15"/>
        <v>314.26359230769197</v>
      </c>
      <c r="M46" s="2"/>
      <c r="N46" s="6">
        <f t="shared" si="16"/>
        <v>1.1212630948684617</v>
      </c>
      <c r="O46" s="11"/>
      <c r="P46" s="7">
        <v>4446.04</v>
      </c>
      <c r="Q46" s="2"/>
      <c r="R46" s="6">
        <f t="shared" si="17"/>
        <v>3.0679887375602146E-2</v>
      </c>
      <c r="S46" s="2"/>
      <c r="T46" s="7">
        <v>2713.7538000000022</v>
      </c>
      <c r="U46" s="2"/>
      <c r="V46" s="6">
        <f t="shared" si="18"/>
        <v>1.004554517018639E-2</v>
      </c>
      <c r="W46" s="2"/>
      <c r="X46" s="7">
        <f t="shared" si="19"/>
        <v>1732.2861999999977</v>
      </c>
      <c r="Y46" s="2"/>
      <c r="Z46" s="6">
        <f t="shared" si="20"/>
        <v>0.63833579892177261</v>
      </c>
    </row>
    <row r="47" spans="1:26" s="24" customFormat="1" hidden="1" outlineLevel="2" x14ac:dyDescent="0.25">
      <c r="A47" s="29"/>
      <c r="B47" s="11" t="str">
        <f>CONCATENATE("          ", "6112", " - ", "COMPENSATION INSURANCE")</f>
        <v xml:space="preserve">          6112 - COMPENSATION INSURANCE</v>
      </c>
      <c r="C47" s="11"/>
      <c r="D47" s="7">
        <v>354.54</v>
      </c>
      <c r="E47" s="2"/>
      <c r="F47" s="6">
        <f t="shared" si="13"/>
        <v>9.113677276497827E-3</v>
      </c>
      <c r="G47" s="2"/>
      <c r="H47" s="7">
        <v>163.58269230769201</v>
      </c>
      <c r="I47" s="2"/>
      <c r="J47" s="6">
        <f t="shared" si="14"/>
        <v>3.3078416336257055E-3</v>
      </c>
      <c r="K47" s="2"/>
      <c r="L47" s="7">
        <f t="shared" si="15"/>
        <v>190.95730769230801</v>
      </c>
      <c r="M47" s="2"/>
      <c r="N47" s="6">
        <f t="shared" si="16"/>
        <v>1.1673442037078441</v>
      </c>
      <c r="O47" s="11"/>
      <c r="P47" s="7">
        <v>1782.67</v>
      </c>
      <c r="Q47" s="2"/>
      <c r="R47" s="6">
        <f t="shared" si="17"/>
        <v>1.2301309666099424E-2</v>
      </c>
      <c r="S47" s="2"/>
      <c r="T47" s="7">
        <v>1063.2874999999979</v>
      </c>
      <c r="U47" s="2"/>
      <c r="V47" s="6">
        <f t="shared" si="18"/>
        <v>3.9359880804752927E-3</v>
      </c>
      <c r="W47" s="2"/>
      <c r="X47" s="7">
        <f t="shared" si="19"/>
        <v>719.38250000000221</v>
      </c>
      <c r="Y47" s="2"/>
      <c r="Z47" s="6">
        <f t="shared" si="20"/>
        <v>0.67656442871754219</v>
      </c>
    </row>
    <row r="48" spans="1:26" s="24" customFormat="1" hidden="1" outlineLevel="2" x14ac:dyDescent="0.25">
      <c r="A48" s="29"/>
      <c r="B48" s="11" t="str">
        <f>CONCATENATE("          ", "6113", " - ", "GROUP INSURANCE")</f>
        <v xml:space="preserve">          6113 - GROUP INSURANCE</v>
      </c>
      <c r="C48" s="11"/>
      <c r="D48" s="7">
        <v>2714.98</v>
      </c>
      <c r="E48" s="2"/>
      <c r="F48" s="6">
        <f t="shared" si="13"/>
        <v>6.9790295967016608E-2</v>
      </c>
      <c r="G48" s="2"/>
      <c r="H48" s="7">
        <v>990</v>
      </c>
      <c r="I48" s="2"/>
      <c r="J48" s="6">
        <f t="shared" si="14"/>
        <v>2.0019007946939518E-2</v>
      </c>
      <c r="K48" s="2"/>
      <c r="L48" s="7">
        <f t="shared" si="15"/>
        <v>1724.98</v>
      </c>
      <c r="M48" s="2"/>
      <c r="N48" s="6">
        <f t="shared" si="16"/>
        <v>1.7424040404040404</v>
      </c>
      <c r="O48" s="11"/>
      <c r="P48" s="7">
        <v>15587.369999999999</v>
      </c>
      <c r="Q48" s="2"/>
      <c r="R48" s="6">
        <f t="shared" si="17"/>
        <v>0.10756060586090985</v>
      </c>
      <c r="S48" s="2"/>
      <c r="T48" s="7">
        <v>5940</v>
      </c>
      <c r="U48" s="2"/>
      <c r="V48" s="6">
        <f t="shared" si="18"/>
        <v>2.1988191526772657E-2</v>
      </c>
      <c r="W48" s="2"/>
      <c r="X48" s="7">
        <f t="shared" si="19"/>
        <v>9647.369999999999</v>
      </c>
      <c r="Y48" s="2"/>
      <c r="Z48" s="6">
        <f t="shared" si="20"/>
        <v>1.6241363636363635</v>
      </c>
    </row>
    <row r="49" spans="1:26" s="24" customFormat="1" hidden="1" outlineLevel="2" x14ac:dyDescent="0.25">
      <c r="A49" s="29"/>
      <c r="B49" s="11" t="str">
        <f>CONCATENATE("          ", "6114", " - ", "STATE UNEMPLOYMENT INSURANCE")</f>
        <v xml:space="preserve">          6114 - STATE UNEMPLOYMENT INSURANCE</v>
      </c>
      <c r="C49" s="11"/>
      <c r="D49" s="7"/>
      <c r="E49" s="2"/>
      <c r="F49" s="6">
        <f t="shared" si="13"/>
        <v>0</v>
      </c>
      <c r="G49" s="2"/>
      <c r="H49" s="7">
        <v>22.99</v>
      </c>
      <c r="I49" s="2"/>
      <c r="J49" s="6">
        <f t="shared" si="14"/>
        <v>4.6488585121226214E-4</v>
      </c>
      <c r="K49" s="2"/>
      <c r="L49" s="7">
        <f t="shared" si="15"/>
        <v>-22.99</v>
      </c>
      <c r="M49" s="2"/>
      <c r="N49" s="6">
        <f t="shared" si="16"/>
        <v>-1</v>
      </c>
      <c r="O49" s="11"/>
      <c r="P49" s="7">
        <v>174.37</v>
      </c>
      <c r="Q49" s="2"/>
      <c r="R49" s="6">
        <f t="shared" si="17"/>
        <v>1.2032397283163773E-3</v>
      </c>
      <c r="S49" s="2"/>
      <c r="T49" s="7">
        <v>149.435</v>
      </c>
      <c r="U49" s="2"/>
      <c r="V49" s="6">
        <f t="shared" si="18"/>
        <v>5.5316589239112334E-4</v>
      </c>
      <c r="W49" s="2"/>
      <c r="X49" s="7">
        <f t="shared" si="19"/>
        <v>24.935000000000002</v>
      </c>
      <c r="Y49" s="2"/>
      <c r="Z49" s="6">
        <f t="shared" si="20"/>
        <v>0.16686184628768361</v>
      </c>
    </row>
    <row r="50" spans="1:26" s="24" customFormat="1" hidden="1" outlineLevel="2" x14ac:dyDescent="0.25">
      <c r="A50" s="29"/>
      <c r="B50" s="11" t="str">
        <f>CONCATENATE("          ", "6115", " - ", "P.E.R.S.")</f>
        <v xml:space="preserve">          6115 - P.E.R.S.</v>
      </c>
      <c r="C50" s="11"/>
      <c r="D50" s="7">
        <v>362.12</v>
      </c>
      <c r="E50" s="2"/>
      <c r="F50" s="6">
        <f t="shared" si="13"/>
        <v>9.3085260206616817E-3</v>
      </c>
      <c r="G50" s="2"/>
      <c r="H50" s="7">
        <v>201.43846153846201</v>
      </c>
      <c r="I50" s="2"/>
      <c r="J50" s="6">
        <f t="shared" si="14"/>
        <v>4.0733314771290319E-3</v>
      </c>
      <c r="K50" s="2"/>
      <c r="L50" s="7">
        <f t="shared" si="15"/>
        <v>160.681538461538</v>
      </c>
      <c r="M50" s="2"/>
      <c r="N50" s="6">
        <f t="shared" si="16"/>
        <v>0.79767059991598466</v>
      </c>
      <c r="O50" s="11"/>
      <c r="P50" s="7">
        <v>2245.14</v>
      </c>
      <c r="Q50" s="2"/>
      <c r="R50" s="6">
        <f t="shared" si="17"/>
        <v>1.5492582689867702E-2</v>
      </c>
      <c r="S50" s="2"/>
      <c r="T50" s="7">
        <v>1309.350000000002</v>
      </c>
      <c r="U50" s="2"/>
      <c r="V50" s="6">
        <f t="shared" si="18"/>
        <v>4.8468415110403743E-3</v>
      </c>
      <c r="W50" s="2"/>
      <c r="X50" s="7">
        <f t="shared" si="19"/>
        <v>935.78999999999792</v>
      </c>
      <c r="Y50" s="2"/>
      <c r="Z50" s="6">
        <f t="shared" si="20"/>
        <v>0.71469813266124149</v>
      </c>
    </row>
    <row r="51" spans="1:26" s="24" customFormat="1" hidden="1" outlineLevel="2" x14ac:dyDescent="0.25">
      <c r="A51" s="29"/>
      <c r="B51" s="11" t="str">
        <f>CONCATENATE("          ", "6116", " - ", "EDUCATIONAL BENEFITS")</f>
        <v xml:space="preserve">          6116 - EDUCATIONAL BENEFITS</v>
      </c>
      <c r="C51" s="11"/>
      <c r="D51" s="7"/>
      <c r="E51" s="2"/>
      <c r="F51" s="6">
        <f t="shared" si="13"/>
        <v>0</v>
      </c>
      <c r="G51" s="2"/>
      <c r="H51" s="7">
        <v>0</v>
      </c>
      <c r="I51" s="2"/>
      <c r="J51" s="6">
        <f t="shared" si="14"/>
        <v>0</v>
      </c>
      <c r="K51" s="2"/>
      <c r="L51" s="7">
        <f t="shared" si="15"/>
        <v>0</v>
      </c>
      <c r="M51" s="2"/>
      <c r="N51" s="6">
        <f t="shared" si="16"/>
        <v>0</v>
      </c>
      <c r="O51" s="11"/>
      <c r="P51" s="7"/>
      <c r="Q51" s="2"/>
      <c r="R51" s="6">
        <f t="shared" si="17"/>
        <v>0</v>
      </c>
      <c r="S51" s="2"/>
      <c r="T51" s="7">
        <v>0</v>
      </c>
      <c r="U51" s="2"/>
      <c r="V51" s="6">
        <f t="shared" si="18"/>
        <v>0</v>
      </c>
      <c r="W51" s="2"/>
      <c r="X51" s="7">
        <f t="shared" si="19"/>
        <v>0</v>
      </c>
      <c r="Y51" s="2"/>
      <c r="Z51" s="6">
        <f t="shared" si="20"/>
        <v>0</v>
      </c>
    </row>
    <row r="52" spans="1:26" s="24" customFormat="1" hidden="1" outlineLevel="2" x14ac:dyDescent="0.25">
      <c r="A52" s="29"/>
      <c r="B52" s="11" t="str">
        <f>CONCATENATE("          ", "6118", " - ", "VACATION")</f>
        <v xml:space="preserve">          6118 - VACATION</v>
      </c>
      <c r="C52" s="11"/>
      <c r="D52" s="7">
        <v>498.76</v>
      </c>
      <c r="E52" s="2"/>
      <c r="F52" s="6">
        <f t="shared" si="13"/>
        <v>1.2820944543425439E-2</v>
      </c>
      <c r="G52" s="2"/>
      <c r="H52" s="7">
        <v>117.11538461538501</v>
      </c>
      <c r="I52" s="2"/>
      <c r="J52" s="6">
        <f t="shared" si="14"/>
        <v>2.3682159750750211E-3</v>
      </c>
      <c r="K52" s="2"/>
      <c r="L52" s="7">
        <f t="shared" si="15"/>
        <v>381.64461538461501</v>
      </c>
      <c r="M52" s="2"/>
      <c r="N52" s="6">
        <f t="shared" si="16"/>
        <v>3.2587060755336474</v>
      </c>
      <c r="O52" s="11"/>
      <c r="P52" s="7">
        <v>3145.69</v>
      </c>
      <c r="Q52" s="2"/>
      <c r="R52" s="6">
        <f t="shared" si="17"/>
        <v>2.1706825606282877E-2</v>
      </c>
      <c r="S52" s="2"/>
      <c r="T52" s="7">
        <v>761.25000000000205</v>
      </c>
      <c r="U52" s="2"/>
      <c r="V52" s="6">
        <f t="shared" si="18"/>
        <v>2.8179311110699884E-3</v>
      </c>
      <c r="W52" s="2"/>
      <c r="X52" s="7">
        <f t="shared" si="19"/>
        <v>2384.4399999999978</v>
      </c>
      <c r="Y52" s="2"/>
      <c r="Z52" s="6">
        <f t="shared" si="20"/>
        <v>3.132269293924455</v>
      </c>
    </row>
    <row r="53" spans="1:26" s="24" customFormat="1" hidden="1" outlineLevel="2" x14ac:dyDescent="0.25">
      <c r="A53" s="29"/>
      <c r="B53" s="11" t="str">
        <f>CONCATENATE("          ", "6119", " - ", "SICK LEAVE")</f>
        <v xml:space="preserve">          6119 - SICK LEAVE</v>
      </c>
      <c r="C53" s="11"/>
      <c r="D53" s="7">
        <v>446.7</v>
      </c>
      <c r="E53" s="2"/>
      <c r="F53" s="6">
        <f t="shared" si="13"/>
        <v>1.1482708973350197E-2</v>
      </c>
      <c r="G53" s="2"/>
      <c r="H53" s="7">
        <v>182.11538461538501</v>
      </c>
      <c r="I53" s="2"/>
      <c r="J53" s="6">
        <f t="shared" si="14"/>
        <v>3.6825952847225653E-3</v>
      </c>
      <c r="K53" s="2"/>
      <c r="L53" s="7">
        <f t="shared" si="15"/>
        <v>264.58461538461495</v>
      </c>
      <c r="M53" s="2"/>
      <c r="N53" s="6">
        <f t="shared" si="16"/>
        <v>1.4528405491024232</v>
      </c>
      <c r="O53" s="11"/>
      <c r="P53" s="7">
        <v>2680.2</v>
      </c>
      <c r="Q53" s="2"/>
      <c r="R53" s="6">
        <f t="shared" si="17"/>
        <v>1.8494713080424122E-2</v>
      </c>
      <c r="S53" s="2"/>
      <c r="T53" s="7">
        <v>1183.750000000002</v>
      </c>
      <c r="U53" s="2"/>
      <c r="V53" s="6">
        <f t="shared" si="18"/>
        <v>4.3819060134372353E-3</v>
      </c>
      <c r="W53" s="2"/>
      <c r="X53" s="7">
        <f t="shared" si="19"/>
        <v>1496.4499999999978</v>
      </c>
      <c r="Y53" s="2"/>
      <c r="Z53" s="6">
        <f t="shared" si="20"/>
        <v>1.2641605068637762</v>
      </c>
    </row>
    <row r="54" spans="1:26" s="24" customFormat="1" hidden="1" outlineLevel="2" x14ac:dyDescent="0.25">
      <c r="A54" s="29"/>
      <c r="B54" s="11" t="str">
        <f>CONCATENATE("          ", "6156", " - ", "EMPLOYEE MEALS")</f>
        <v xml:space="preserve">          6156 - EMPLOYEE MEALS</v>
      </c>
      <c r="C54" s="11"/>
      <c r="D54" s="7">
        <v>106.01</v>
      </c>
      <c r="E54" s="2"/>
      <c r="F54" s="6">
        <f t="shared" si="13"/>
        <v>2.7250547979960921E-3</v>
      </c>
      <c r="G54" s="2"/>
      <c r="H54" s="7">
        <v>175</v>
      </c>
      <c r="I54" s="2"/>
      <c r="J54" s="6">
        <f t="shared" si="14"/>
        <v>3.5387135259741572E-3</v>
      </c>
      <c r="K54" s="2"/>
      <c r="L54" s="7">
        <f t="shared" si="15"/>
        <v>-68.989999999999995</v>
      </c>
      <c r="M54" s="2"/>
      <c r="N54" s="6">
        <f t="shared" si="16"/>
        <v>-0.39422857142857137</v>
      </c>
      <c r="O54" s="11"/>
      <c r="P54" s="7">
        <v>1065.5899999999999</v>
      </c>
      <c r="Q54" s="2"/>
      <c r="R54" s="6">
        <f t="shared" si="17"/>
        <v>7.3531010041672793E-3</v>
      </c>
      <c r="S54" s="2"/>
      <c r="T54" s="7">
        <v>1050</v>
      </c>
      <c r="U54" s="2"/>
      <c r="V54" s="6">
        <f t="shared" si="18"/>
        <v>3.8868015325103185E-3</v>
      </c>
      <c r="W54" s="2"/>
      <c r="X54" s="7">
        <f t="shared" si="19"/>
        <v>15.589999999999918</v>
      </c>
      <c r="Y54" s="2"/>
      <c r="Z54" s="6">
        <f t="shared" si="20"/>
        <v>1.4847619047618969E-2</v>
      </c>
    </row>
    <row r="55" spans="1:26" s="28" customFormat="1" outlineLevel="1" collapsed="1" x14ac:dyDescent="0.25">
      <c r="A55" s="27"/>
      <c r="B55" s="14" t="str">
        <f>CONCATENATE("     ","*Payroll                                          ")</f>
        <v xml:space="preserve">     *Payroll                                          </v>
      </c>
      <c r="C55" s="14"/>
      <c r="D55" s="1">
        <f>SUM(OSRRefD22_1x_0)</f>
        <v>8680.51</v>
      </c>
      <c r="E55" s="1"/>
      <c r="F55" s="5">
        <f t="shared" ref="F55:F65" si="21">IF(D$12=0,0,D55/D$12)</f>
        <v>0.22313805701870634</v>
      </c>
      <c r="G55" s="1"/>
      <c r="H55" s="1">
        <f>SUM(OSRRefH22_1x_0)</f>
        <v>8608.0769230769201</v>
      </c>
      <c r="I55" s="1"/>
      <c r="J55" s="5">
        <f t="shared" ref="J55:J65" si="22">IF(H$12=0,0,H55/H$12)</f>
        <v>0.17406581851610459</v>
      </c>
      <c r="K55" s="1"/>
      <c r="L55" s="1">
        <f t="shared" ref="L55:L65" si="23">+D55-H55</f>
        <v>72.43307692308008</v>
      </c>
      <c r="M55" s="1"/>
      <c r="N55" s="5">
        <f t="shared" ref="N55:N65" si="24">IF(H55=0,0,L55/H55)</f>
        <v>8.4145480541534465E-3</v>
      </c>
      <c r="O55" s="14"/>
      <c r="P55" s="1">
        <f>SUM(OSRRefP22_1x_0)</f>
        <v>47841</v>
      </c>
      <c r="Q55" s="1"/>
      <c r="R55" s="5">
        <f t="shared" ref="R55:R65" si="25">IF(P$12=0,0,P55/P$12)</f>
        <v>0.3301266952020635</v>
      </c>
      <c r="S55" s="1"/>
      <c r="T55" s="1">
        <f>SUM(OSRRefT22_1x_0)</f>
        <v>55952.499999999978</v>
      </c>
      <c r="U55" s="1"/>
      <c r="V55" s="5">
        <f t="shared" ref="V55:V65" si="26">IF(T$12=0,0,T55/T$12)</f>
        <v>0.20712025023598429</v>
      </c>
      <c r="W55" s="1"/>
      <c r="X55" s="1">
        <f t="shared" ref="X55:X65" si="27">+P55-T55</f>
        <v>-8111.4999999999782</v>
      </c>
      <c r="Y55" s="1"/>
      <c r="Z55" s="5">
        <f t="shared" ref="Z55:Z65" si="28">IF(T55=0,0,X55/T55)</f>
        <v>-0.1449711809123807</v>
      </c>
    </row>
    <row r="56" spans="1:26" s="24" customFormat="1" hidden="1" outlineLevel="2" x14ac:dyDescent="0.25">
      <c r="A56" s="29"/>
      <c r="B56" s="11" t="str">
        <f>CONCATENATE("          ", "6001", " - ", "ADMINISTRATIVE SALARIES")</f>
        <v xml:space="preserve">          6001 - ADMINISTRATIVE SALARIES</v>
      </c>
      <c r="C56" s="11"/>
      <c r="D56" s="7"/>
      <c r="E56" s="2"/>
      <c r="F56" s="6">
        <f t="shared" si="21"/>
        <v>0</v>
      </c>
      <c r="G56" s="2"/>
      <c r="H56" s="7">
        <v>0</v>
      </c>
      <c r="I56" s="2"/>
      <c r="J56" s="6">
        <f t="shared" si="22"/>
        <v>0</v>
      </c>
      <c r="K56" s="2"/>
      <c r="L56" s="7">
        <f t="shared" si="23"/>
        <v>0</v>
      </c>
      <c r="M56" s="2"/>
      <c r="N56" s="6">
        <f t="shared" si="24"/>
        <v>0</v>
      </c>
      <c r="O56" s="11"/>
      <c r="P56" s="7"/>
      <c r="Q56" s="2"/>
      <c r="R56" s="6">
        <f t="shared" si="25"/>
        <v>0</v>
      </c>
      <c r="S56" s="2"/>
      <c r="T56" s="7">
        <v>0</v>
      </c>
      <c r="U56" s="2"/>
      <c r="V56" s="6">
        <f t="shared" si="26"/>
        <v>0</v>
      </c>
      <c r="W56" s="2"/>
      <c r="X56" s="7">
        <f t="shared" si="27"/>
        <v>0</v>
      </c>
      <c r="Y56" s="2"/>
      <c r="Z56" s="6">
        <f t="shared" si="28"/>
        <v>0</v>
      </c>
    </row>
    <row r="57" spans="1:26" s="24" customFormat="1" hidden="1" outlineLevel="2" x14ac:dyDescent="0.25">
      <c r="A57" s="29"/>
      <c r="B57" s="11" t="str">
        <f>CONCATENATE("          ", "6002", " - ", "STAFF SALARIES")</f>
        <v xml:space="preserve">          6002 - STAFF SALARIES</v>
      </c>
      <c r="C57" s="11"/>
      <c r="D57" s="7">
        <v>4684.62</v>
      </c>
      <c r="E57" s="2"/>
      <c r="F57" s="6">
        <f t="shared" si="21"/>
        <v>0.12042115090829594</v>
      </c>
      <c r="G57" s="2"/>
      <c r="H57" s="7">
        <v>2108.0769230769201</v>
      </c>
      <c r="I57" s="2"/>
      <c r="J57" s="6">
        <f t="shared" si="22"/>
        <v>4.2627887551350177E-2</v>
      </c>
      <c r="K57" s="2"/>
      <c r="L57" s="7">
        <f t="shared" si="23"/>
        <v>2576.5430769230798</v>
      </c>
      <c r="M57" s="2"/>
      <c r="N57" s="6">
        <f t="shared" si="24"/>
        <v>1.2222244116037251</v>
      </c>
      <c r="O57" s="11"/>
      <c r="P57" s="7">
        <v>28107.72</v>
      </c>
      <c r="Q57" s="2"/>
      <c r="R57" s="6">
        <f t="shared" si="25"/>
        <v>0.19395724824449623</v>
      </c>
      <c r="S57" s="2"/>
      <c r="T57" s="7">
        <v>13702.49999999998</v>
      </c>
      <c r="U57" s="2"/>
      <c r="V57" s="6">
        <f t="shared" si="26"/>
        <v>5.0722759999259584E-2</v>
      </c>
      <c r="W57" s="2"/>
      <c r="X57" s="7">
        <f t="shared" si="27"/>
        <v>14405.220000000021</v>
      </c>
      <c r="Y57" s="2"/>
      <c r="Z57" s="6">
        <f t="shared" si="28"/>
        <v>1.0512840722495926</v>
      </c>
    </row>
    <row r="58" spans="1:26" s="24" customFormat="1" hidden="1" outlineLevel="2" x14ac:dyDescent="0.25">
      <c r="A58" s="29"/>
      <c r="B58" s="11" t="str">
        <f>CONCATENATE("          ", "6003", " - ", "STAFF HOURLY-9 MONTH")</f>
        <v xml:space="preserve">          6003 - STAFF HOURLY-9 MONTH</v>
      </c>
      <c r="C58" s="11"/>
      <c r="D58" s="7"/>
      <c r="E58" s="2"/>
      <c r="F58" s="6">
        <f t="shared" si="21"/>
        <v>0</v>
      </c>
      <c r="G58" s="2"/>
      <c r="H58" s="7">
        <v>0</v>
      </c>
      <c r="I58" s="2"/>
      <c r="J58" s="6">
        <f t="shared" si="22"/>
        <v>0</v>
      </c>
      <c r="K58" s="2"/>
      <c r="L58" s="7">
        <f t="shared" si="23"/>
        <v>0</v>
      </c>
      <c r="M58" s="2"/>
      <c r="N58" s="6">
        <f t="shared" si="24"/>
        <v>0</v>
      </c>
      <c r="O58" s="11"/>
      <c r="P58" s="7"/>
      <c r="Q58" s="2"/>
      <c r="R58" s="6">
        <f t="shared" si="25"/>
        <v>0</v>
      </c>
      <c r="S58" s="2"/>
      <c r="T58" s="7">
        <v>0</v>
      </c>
      <c r="U58" s="2"/>
      <c r="V58" s="6">
        <f t="shared" si="26"/>
        <v>0</v>
      </c>
      <c r="W58" s="2"/>
      <c r="X58" s="7">
        <f t="shared" si="27"/>
        <v>0</v>
      </c>
      <c r="Y58" s="2"/>
      <c r="Z58" s="6">
        <f t="shared" si="28"/>
        <v>0</v>
      </c>
    </row>
    <row r="59" spans="1:26" s="24" customFormat="1" hidden="1" outlineLevel="2" x14ac:dyDescent="0.25">
      <c r="A59" s="29"/>
      <c r="B59" s="11" t="str">
        <f>CONCATENATE("          ", "6004", " - ", "STAFF HOURLY")</f>
        <v xml:space="preserve">          6004 - STAFF HOURLY</v>
      </c>
      <c r="C59" s="11"/>
      <c r="D59" s="7">
        <v>740.77</v>
      </c>
      <c r="E59" s="2"/>
      <c r="F59" s="6">
        <f t="shared" si="21"/>
        <v>1.9041966255179371E-2</v>
      </c>
      <c r="G59" s="2"/>
      <c r="H59" s="7">
        <v>1320</v>
      </c>
      <c r="I59" s="2"/>
      <c r="J59" s="6">
        <f t="shared" si="22"/>
        <v>2.6692010595919358E-2</v>
      </c>
      <c r="K59" s="2"/>
      <c r="L59" s="7">
        <f t="shared" si="23"/>
        <v>-579.23</v>
      </c>
      <c r="M59" s="2"/>
      <c r="N59" s="6">
        <f t="shared" si="24"/>
        <v>-0.43881060606060607</v>
      </c>
      <c r="O59" s="11"/>
      <c r="P59" s="7">
        <v>3091.21</v>
      </c>
      <c r="Q59" s="2"/>
      <c r="R59" s="6">
        <f t="shared" si="25"/>
        <v>2.133088650896868E-2</v>
      </c>
      <c r="S59" s="2"/>
      <c r="T59" s="7">
        <v>8580</v>
      </c>
      <c r="U59" s="2"/>
      <c r="V59" s="6">
        <f t="shared" si="26"/>
        <v>3.1760721094227173E-2</v>
      </c>
      <c r="W59" s="2"/>
      <c r="X59" s="7">
        <f t="shared" si="27"/>
        <v>-5488.79</v>
      </c>
      <c r="Y59" s="2"/>
      <c r="Z59" s="6">
        <f t="shared" si="28"/>
        <v>-0.6397191142191142</v>
      </c>
    </row>
    <row r="60" spans="1:26" s="24" customFormat="1" hidden="1" outlineLevel="2" x14ac:dyDescent="0.25">
      <c r="A60" s="29"/>
      <c r="B60" s="11" t="str">
        <f>CONCATENATE("          ", "6005", " - ", "TEMPORARY WAGES-HOURLY")</f>
        <v xml:space="preserve">          6005 - TEMPORARY WAGES-HOURLY</v>
      </c>
      <c r="C60" s="11"/>
      <c r="D60" s="7">
        <v>1562.94</v>
      </c>
      <c r="E60" s="2"/>
      <c r="F60" s="6">
        <f t="shared" si="21"/>
        <v>4.0176371530799102E-2</v>
      </c>
      <c r="G60" s="2"/>
      <c r="H60" s="7">
        <v>0</v>
      </c>
      <c r="I60" s="2"/>
      <c r="J60" s="6">
        <f t="shared" si="22"/>
        <v>0</v>
      </c>
      <c r="K60" s="2"/>
      <c r="L60" s="7">
        <f t="shared" si="23"/>
        <v>1562.94</v>
      </c>
      <c r="M60" s="2"/>
      <c r="N60" s="6">
        <f t="shared" si="24"/>
        <v>0</v>
      </c>
      <c r="O60" s="11"/>
      <c r="P60" s="7">
        <v>7910.64</v>
      </c>
      <c r="Q60" s="2"/>
      <c r="R60" s="6">
        <f t="shared" si="25"/>
        <v>5.4587350601644019E-2</v>
      </c>
      <c r="S60" s="2"/>
      <c r="T60" s="7">
        <v>0</v>
      </c>
      <c r="U60" s="2"/>
      <c r="V60" s="6">
        <f t="shared" si="26"/>
        <v>0</v>
      </c>
      <c r="W60" s="2"/>
      <c r="X60" s="7">
        <f t="shared" si="27"/>
        <v>7910.64</v>
      </c>
      <c r="Y60" s="2"/>
      <c r="Z60" s="6">
        <f t="shared" si="28"/>
        <v>0</v>
      </c>
    </row>
    <row r="61" spans="1:26" s="24" customFormat="1" hidden="1" outlineLevel="2" x14ac:dyDescent="0.25">
      <c r="A61" s="29"/>
      <c r="B61" s="11" t="str">
        <f>CONCATENATE("          ", "6006", " - ", "TEMPORARY PART TIME")</f>
        <v xml:space="preserve">          6006 - TEMPORARY PART TIME</v>
      </c>
      <c r="C61" s="11"/>
      <c r="D61" s="7"/>
      <c r="E61" s="2"/>
      <c r="F61" s="6">
        <f t="shared" si="21"/>
        <v>0</v>
      </c>
      <c r="G61" s="2"/>
      <c r="H61" s="7">
        <v>0</v>
      </c>
      <c r="I61" s="2"/>
      <c r="J61" s="6">
        <f t="shared" si="22"/>
        <v>0</v>
      </c>
      <c r="K61" s="2"/>
      <c r="L61" s="7">
        <f t="shared" si="23"/>
        <v>0</v>
      </c>
      <c r="M61" s="2"/>
      <c r="N61" s="6">
        <f t="shared" si="24"/>
        <v>0</v>
      </c>
      <c r="O61" s="11"/>
      <c r="P61" s="7"/>
      <c r="Q61" s="2"/>
      <c r="R61" s="6">
        <f t="shared" si="25"/>
        <v>0</v>
      </c>
      <c r="S61" s="2"/>
      <c r="T61" s="7">
        <v>0</v>
      </c>
      <c r="U61" s="2"/>
      <c r="V61" s="6">
        <f t="shared" si="26"/>
        <v>0</v>
      </c>
      <c r="W61" s="2"/>
      <c r="X61" s="7">
        <f t="shared" si="27"/>
        <v>0</v>
      </c>
      <c r="Y61" s="2"/>
      <c r="Z61" s="6">
        <f t="shared" si="28"/>
        <v>0</v>
      </c>
    </row>
    <row r="62" spans="1:26" s="24" customFormat="1" hidden="1" outlineLevel="2" x14ac:dyDescent="0.25">
      <c r="A62" s="29"/>
      <c r="B62" s="11" t="str">
        <f>CONCATENATE("          ", "6007", " - ", "STUDENT HOURLY")</f>
        <v xml:space="preserve">          6007 - STUDENT HOURLY</v>
      </c>
      <c r="C62" s="11"/>
      <c r="D62" s="7">
        <v>1239.52</v>
      </c>
      <c r="E62" s="2"/>
      <c r="F62" s="6">
        <f t="shared" si="21"/>
        <v>3.1862653742214093E-2</v>
      </c>
      <c r="G62" s="2"/>
      <c r="H62" s="7">
        <v>0</v>
      </c>
      <c r="I62" s="2"/>
      <c r="J62" s="6">
        <f t="shared" si="22"/>
        <v>0</v>
      </c>
      <c r="K62" s="2"/>
      <c r="L62" s="7">
        <f t="shared" si="23"/>
        <v>1239.52</v>
      </c>
      <c r="M62" s="2"/>
      <c r="N62" s="6">
        <f t="shared" si="24"/>
        <v>0</v>
      </c>
      <c r="O62" s="11"/>
      <c r="P62" s="7">
        <v>7014</v>
      </c>
      <c r="Q62" s="2"/>
      <c r="R62" s="6">
        <f t="shared" si="25"/>
        <v>4.8400088629988361E-2</v>
      </c>
      <c r="S62" s="2"/>
      <c r="T62" s="7">
        <v>11655</v>
      </c>
      <c r="U62" s="2"/>
      <c r="V62" s="6">
        <f t="shared" si="26"/>
        <v>4.3143497010864534E-2</v>
      </c>
      <c r="W62" s="2"/>
      <c r="X62" s="7">
        <f t="shared" si="27"/>
        <v>-4641</v>
      </c>
      <c r="Y62" s="2"/>
      <c r="Z62" s="6">
        <f t="shared" si="28"/>
        <v>-0.39819819819819818</v>
      </c>
    </row>
    <row r="63" spans="1:26" s="24" customFormat="1" hidden="1" outlineLevel="2" x14ac:dyDescent="0.25">
      <c r="A63" s="29"/>
      <c r="B63" s="11" t="str">
        <f>CONCATENATE("          ", "6008", " - ", "STUDENT HOURLY-FICA EXEMPT")</f>
        <v xml:space="preserve">          6008 - STUDENT HOURLY-FICA EXEMPT</v>
      </c>
      <c r="C63" s="11"/>
      <c r="D63" s="7">
        <v>452.66</v>
      </c>
      <c r="E63" s="2"/>
      <c r="F63" s="6">
        <f t="shared" si="21"/>
        <v>1.163591458221782E-2</v>
      </c>
      <c r="G63" s="2"/>
      <c r="H63" s="7">
        <v>5180</v>
      </c>
      <c r="I63" s="2"/>
      <c r="J63" s="6">
        <f t="shared" si="22"/>
        <v>0.10474592036883505</v>
      </c>
      <c r="K63" s="2"/>
      <c r="L63" s="7">
        <f t="shared" si="23"/>
        <v>-4727.34</v>
      </c>
      <c r="M63" s="2"/>
      <c r="N63" s="6">
        <f t="shared" si="24"/>
        <v>-0.9126138996138996</v>
      </c>
      <c r="O63" s="11"/>
      <c r="P63" s="7">
        <v>1717.43</v>
      </c>
      <c r="Q63" s="2"/>
      <c r="R63" s="6">
        <f t="shared" si="25"/>
        <v>1.1851121216966198E-2</v>
      </c>
      <c r="S63" s="2"/>
      <c r="T63" s="7">
        <v>22015</v>
      </c>
      <c r="U63" s="2"/>
      <c r="V63" s="6">
        <f t="shared" si="26"/>
        <v>8.1493272131633016E-2</v>
      </c>
      <c r="W63" s="2"/>
      <c r="X63" s="7">
        <f t="shared" si="27"/>
        <v>-20297.57</v>
      </c>
      <c r="Y63" s="2"/>
      <c r="Z63" s="6">
        <f t="shared" si="28"/>
        <v>-0.92198818987054276</v>
      </c>
    </row>
    <row r="64" spans="1:26" s="24" customFormat="1" hidden="1" outlineLevel="2" x14ac:dyDescent="0.25">
      <c r="A64" s="29"/>
      <c r="B64" s="11" t="str">
        <f>CONCATENATE("          ", "6009", " - ", "TEMPORARY-SEASONAL")</f>
        <v xml:space="preserve">          6009 - TEMPORARY-SEASONAL</v>
      </c>
      <c r="C64" s="11"/>
      <c r="D64" s="7"/>
      <c r="E64" s="2"/>
      <c r="F64" s="6">
        <f t="shared" si="21"/>
        <v>0</v>
      </c>
      <c r="G64" s="2"/>
      <c r="H64" s="7">
        <v>0</v>
      </c>
      <c r="I64" s="2"/>
      <c r="J64" s="6">
        <f t="shared" si="22"/>
        <v>0</v>
      </c>
      <c r="K64" s="2"/>
      <c r="L64" s="7">
        <f t="shared" si="23"/>
        <v>0</v>
      </c>
      <c r="M64" s="2"/>
      <c r="N64" s="6">
        <f t="shared" si="24"/>
        <v>0</v>
      </c>
      <c r="O64" s="11"/>
      <c r="P64" s="7"/>
      <c r="Q64" s="2"/>
      <c r="R64" s="6">
        <f t="shared" si="25"/>
        <v>0</v>
      </c>
      <c r="S64" s="2"/>
      <c r="T64" s="7">
        <v>0</v>
      </c>
      <c r="U64" s="2"/>
      <c r="V64" s="6">
        <f t="shared" si="26"/>
        <v>0</v>
      </c>
      <c r="W64" s="2"/>
      <c r="X64" s="7">
        <f t="shared" si="27"/>
        <v>0</v>
      </c>
      <c r="Y64" s="2"/>
      <c r="Z64" s="6">
        <f t="shared" si="28"/>
        <v>0</v>
      </c>
    </row>
    <row r="65" spans="1:26" s="24" customFormat="1" hidden="1" outlineLevel="2" x14ac:dyDescent="0.25">
      <c r="A65" s="29"/>
      <c r="B65" s="11" t="str">
        <f>CONCATENATE("          ", "6010", " - ", "GRATUITY")</f>
        <v xml:space="preserve">          6010 - GRATUITY</v>
      </c>
      <c r="C65" s="11"/>
      <c r="D65" s="7"/>
      <c r="E65" s="2"/>
      <c r="F65" s="6">
        <f t="shared" si="21"/>
        <v>0</v>
      </c>
      <c r="G65" s="2"/>
      <c r="H65" s="7">
        <v>0</v>
      </c>
      <c r="I65" s="2"/>
      <c r="J65" s="6">
        <f t="shared" si="22"/>
        <v>0</v>
      </c>
      <c r="K65" s="2"/>
      <c r="L65" s="7">
        <f t="shared" si="23"/>
        <v>0</v>
      </c>
      <c r="M65" s="2"/>
      <c r="N65" s="6">
        <f t="shared" si="24"/>
        <v>0</v>
      </c>
      <c r="O65" s="11"/>
      <c r="P65" s="7"/>
      <c r="Q65" s="2"/>
      <c r="R65" s="6">
        <f t="shared" si="25"/>
        <v>0</v>
      </c>
      <c r="S65" s="2"/>
      <c r="T65" s="7">
        <v>0</v>
      </c>
      <c r="U65" s="2"/>
      <c r="V65" s="6">
        <f t="shared" si="26"/>
        <v>0</v>
      </c>
      <c r="W65" s="2"/>
      <c r="X65" s="7">
        <f t="shared" si="27"/>
        <v>0</v>
      </c>
      <c r="Y65" s="2"/>
      <c r="Z65" s="6">
        <f t="shared" si="28"/>
        <v>0</v>
      </c>
    </row>
    <row r="66" spans="1:26" s="28" customFormat="1" outlineLevel="1" collapsed="1" x14ac:dyDescent="0.25">
      <c r="A66" s="27"/>
      <c r="B66" s="14" t="str">
        <f>CONCATENATE("     ","Advertising/Promo                                 ")</f>
        <v xml:space="preserve">     Advertising/Promo                                 </v>
      </c>
      <c r="C66" s="14"/>
      <c r="D66" s="1">
        <f>SUM(OSRRefD22_2x_0)</f>
        <v>52.92</v>
      </c>
      <c r="E66" s="1"/>
      <c r="F66" s="5">
        <f t="shared" ref="F66:F80" si="29">IF(D$12=0,0,D66/D$12)</f>
        <v>1.3603424196769476E-3</v>
      </c>
      <c r="G66" s="1"/>
      <c r="H66" s="1">
        <f>SUM(OSRRefH22_2x_0)</f>
        <v>50</v>
      </c>
      <c r="I66" s="1"/>
      <c r="J66" s="5">
        <f t="shared" ref="J66:J80" si="30">IF(H$12=0,0,H66/H$12)</f>
        <v>1.0110610074211877E-3</v>
      </c>
      <c r="K66" s="1"/>
      <c r="L66" s="1">
        <f t="shared" ref="L66:L80" si="31">+D66-H66</f>
        <v>2.9200000000000017</v>
      </c>
      <c r="M66" s="1"/>
      <c r="N66" s="5">
        <f t="shared" ref="N66:N80" si="32">IF(H66=0,0,L66/H66)</f>
        <v>5.8400000000000035E-2</v>
      </c>
      <c r="O66" s="14"/>
      <c r="P66" s="1">
        <f>SUM(OSRRefP22_2x_0)</f>
        <v>1024.2</v>
      </c>
      <c r="Q66" s="1"/>
      <c r="R66" s="5">
        <f t="shared" ref="R66:R80" si="33">IF(P$12=0,0,P66/P$12)</f>
        <v>7.0674894175697294E-3</v>
      </c>
      <c r="S66" s="1"/>
      <c r="T66" s="1">
        <f>SUM(OSRRefT22_2x_0)</f>
        <v>300</v>
      </c>
      <c r="U66" s="1"/>
      <c r="V66" s="5">
        <f t="shared" ref="V66:V80" si="34">IF(T$12=0,0,T66/T$12)</f>
        <v>1.1105147235743768E-3</v>
      </c>
      <c r="W66" s="1"/>
      <c r="X66" s="1">
        <f t="shared" ref="X66:X80" si="35">+P66-T66</f>
        <v>724.2</v>
      </c>
      <c r="Y66" s="1"/>
      <c r="Z66" s="5">
        <f t="shared" ref="Z66:Z80" si="36">IF(T66=0,0,X66/T66)</f>
        <v>2.4140000000000001</v>
      </c>
    </row>
    <row r="67" spans="1:26" s="24" customFormat="1" hidden="1" outlineLevel="2" x14ac:dyDescent="0.25">
      <c r="A67" s="29"/>
      <c r="B67" s="11" t="str">
        <f>CONCATENATE("          ", "6362", " - ", "ADVERTISING EXPENSE")</f>
        <v xml:space="preserve">          6362 - ADVERTISING EXPENSE</v>
      </c>
      <c r="C67" s="11"/>
      <c r="D67" s="7">
        <v>52.92</v>
      </c>
      <c r="E67" s="2"/>
      <c r="F67" s="6">
        <f t="shared" si="29"/>
        <v>1.3603424196769476E-3</v>
      </c>
      <c r="G67" s="2"/>
      <c r="H67" s="7">
        <v>50</v>
      </c>
      <c r="I67" s="2"/>
      <c r="J67" s="6">
        <f t="shared" si="30"/>
        <v>1.0110610074211877E-3</v>
      </c>
      <c r="K67" s="2"/>
      <c r="L67" s="7">
        <f t="shared" si="31"/>
        <v>2.9200000000000017</v>
      </c>
      <c r="M67" s="2"/>
      <c r="N67" s="6">
        <f t="shared" si="32"/>
        <v>5.8400000000000035E-2</v>
      </c>
      <c r="O67" s="11"/>
      <c r="P67" s="7">
        <v>1024.2</v>
      </c>
      <c r="Q67" s="2"/>
      <c r="R67" s="6">
        <f t="shared" si="33"/>
        <v>7.0674894175697294E-3</v>
      </c>
      <c r="S67" s="2"/>
      <c r="T67" s="7">
        <v>300</v>
      </c>
      <c r="U67" s="2"/>
      <c r="V67" s="6">
        <f t="shared" si="34"/>
        <v>1.1105147235743768E-3</v>
      </c>
      <c r="W67" s="2"/>
      <c r="X67" s="7">
        <f t="shared" si="35"/>
        <v>724.2</v>
      </c>
      <c r="Y67" s="2"/>
      <c r="Z67" s="6">
        <f t="shared" si="36"/>
        <v>2.4140000000000001</v>
      </c>
    </row>
    <row r="68" spans="1:26" s="28" customFormat="1" outlineLevel="1" collapsed="1" x14ac:dyDescent="0.25">
      <c r="A68" s="27"/>
      <c r="B68" s="14" t="str">
        <f>CONCATENATE("     ","Bad Debts/Over/Short                              ")</f>
        <v xml:space="preserve">     Bad Debts/Over/Short                              </v>
      </c>
      <c r="C68" s="14"/>
      <c r="D68" s="1">
        <f>SUM(OSRRefD22_3x_0)</f>
        <v>-0.38</v>
      </c>
      <c r="E68" s="1"/>
      <c r="F68" s="5">
        <f t="shared" si="29"/>
        <v>-9.7681428472645502E-6</v>
      </c>
      <c r="G68" s="1"/>
      <c r="H68" s="1">
        <f>SUM(OSRRefH22_3x_0)</f>
        <v>10</v>
      </c>
      <c r="I68" s="1"/>
      <c r="J68" s="5">
        <f t="shared" si="30"/>
        <v>2.0221220148423756E-4</v>
      </c>
      <c r="K68" s="1"/>
      <c r="L68" s="1">
        <f t="shared" si="31"/>
        <v>-10.38</v>
      </c>
      <c r="M68" s="1"/>
      <c r="N68" s="5">
        <f t="shared" si="32"/>
        <v>-1.038</v>
      </c>
      <c r="O68" s="14"/>
      <c r="P68" s="1">
        <f>SUM(OSRRefP22_3x_0)</f>
        <v>-1.39</v>
      </c>
      <c r="Q68" s="1"/>
      <c r="R68" s="5">
        <f t="shared" si="33"/>
        <v>-9.5916913595215018E-6</v>
      </c>
      <c r="S68" s="1"/>
      <c r="T68" s="1">
        <f>SUM(OSRRefT22_3x_0)</f>
        <v>60</v>
      </c>
      <c r="U68" s="1"/>
      <c r="V68" s="5">
        <f t="shared" si="34"/>
        <v>2.2210294471487535E-4</v>
      </c>
      <c r="W68" s="1"/>
      <c r="X68" s="1">
        <f t="shared" si="35"/>
        <v>-61.39</v>
      </c>
      <c r="Y68" s="1"/>
      <c r="Z68" s="5">
        <f t="shared" si="36"/>
        <v>-1.0231666666666668</v>
      </c>
    </row>
    <row r="69" spans="1:26" s="24" customFormat="1" hidden="1" outlineLevel="2" x14ac:dyDescent="0.25">
      <c r="A69" s="29"/>
      <c r="B69" s="11" t="str">
        <f>CONCATENATE("          ", "6272", " - ", "CASH (OVER/SHORT)")</f>
        <v xml:space="preserve">          6272 - CASH (OVER/SHORT)</v>
      </c>
      <c r="C69" s="11"/>
      <c r="D69" s="7">
        <v>-0.38</v>
      </c>
      <c r="E69" s="2"/>
      <c r="F69" s="6">
        <f t="shared" si="29"/>
        <v>-9.7681428472645502E-6</v>
      </c>
      <c r="G69" s="2"/>
      <c r="H69" s="7">
        <v>10</v>
      </c>
      <c r="I69" s="2"/>
      <c r="J69" s="6">
        <f t="shared" si="30"/>
        <v>2.0221220148423756E-4</v>
      </c>
      <c r="K69" s="2"/>
      <c r="L69" s="7">
        <f t="shared" si="31"/>
        <v>-10.38</v>
      </c>
      <c r="M69" s="2"/>
      <c r="N69" s="6">
        <f t="shared" si="32"/>
        <v>-1.038</v>
      </c>
      <c r="O69" s="11"/>
      <c r="P69" s="7">
        <v>-1.39</v>
      </c>
      <c r="Q69" s="2"/>
      <c r="R69" s="6">
        <f t="shared" si="33"/>
        <v>-9.5916913595215018E-6</v>
      </c>
      <c r="S69" s="2"/>
      <c r="T69" s="7">
        <v>60</v>
      </c>
      <c r="U69" s="2"/>
      <c r="V69" s="6">
        <f t="shared" si="34"/>
        <v>2.2210294471487535E-4</v>
      </c>
      <c r="W69" s="2"/>
      <c r="X69" s="7">
        <f t="shared" si="35"/>
        <v>-61.39</v>
      </c>
      <c r="Y69" s="2"/>
      <c r="Z69" s="6">
        <f t="shared" si="36"/>
        <v>-1.0231666666666668</v>
      </c>
    </row>
    <row r="70" spans="1:26" s="28" customFormat="1" outlineLevel="1" collapsed="1" x14ac:dyDescent="0.25">
      <c r="A70" s="27"/>
      <c r="B70" s="14" t="str">
        <f>CONCATENATE("     ","Bank/card Fees                                    ")</f>
        <v xml:space="preserve">     Bank/card Fees                                    </v>
      </c>
      <c r="C70" s="14"/>
      <c r="D70" s="1">
        <f>SUM(OSRRefD22_4x_0)</f>
        <v>641.35</v>
      </c>
      <c r="E70" s="1"/>
      <c r="F70" s="5">
        <f t="shared" si="29"/>
        <v>1.6486311618666104E-2</v>
      </c>
      <c r="G70" s="1"/>
      <c r="H70" s="1">
        <f>SUM(OSRRefH22_4x_0)</f>
        <v>1650</v>
      </c>
      <c r="I70" s="1"/>
      <c r="J70" s="5">
        <f t="shared" si="30"/>
        <v>3.3365013244899197E-2</v>
      </c>
      <c r="K70" s="1"/>
      <c r="L70" s="1">
        <f t="shared" si="31"/>
        <v>-1008.65</v>
      </c>
      <c r="M70" s="1"/>
      <c r="N70" s="5">
        <f t="shared" si="32"/>
        <v>-0.61130303030303024</v>
      </c>
      <c r="O70" s="14"/>
      <c r="P70" s="1">
        <f>SUM(OSRRefP22_4x_0)</f>
        <v>2314.27</v>
      </c>
      <c r="Q70" s="1"/>
      <c r="R70" s="5">
        <f t="shared" si="33"/>
        <v>1.5969614073812827E-2</v>
      </c>
      <c r="S70" s="1"/>
      <c r="T70" s="1">
        <f>SUM(OSRRefT22_4x_0)</f>
        <v>4496</v>
      </c>
      <c r="U70" s="1"/>
      <c r="V70" s="5">
        <f t="shared" si="34"/>
        <v>1.664291399063466E-2</v>
      </c>
      <c r="W70" s="1"/>
      <c r="X70" s="1">
        <f t="shared" si="35"/>
        <v>-2181.73</v>
      </c>
      <c r="Y70" s="1"/>
      <c r="Z70" s="5">
        <f t="shared" si="36"/>
        <v>-0.48526023131672597</v>
      </c>
    </row>
    <row r="71" spans="1:26" s="24" customFormat="1" hidden="1" outlineLevel="2" x14ac:dyDescent="0.25">
      <c r="A71" s="29"/>
      <c r="B71" s="11" t="str">
        <f>CONCATENATE("          ", "6381", " - ", "BANK/CREDIT CARD FEES")</f>
        <v xml:space="preserve">          6381 - BANK/CREDIT CARD FEES</v>
      </c>
      <c r="C71" s="11"/>
      <c r="D71" s="7">
        <v>641.35</v>
      </c>
      <c r="E71" s="2"/>
      <c r="F71" s="6">
        <f t="shared" si="29"/>
        <v>1.6486311618666104E-2</v>
      </c>
      <c r="G71" s="2"/>
      <c r="H71" s="7">
        <v>1650</v>
      </c>
      <c r="I71" s="2"/>
      <c r="J71" s="6">
        <f t="shared" si="30"/>
        <v>3.3365013244899197E-2</v>
      </c>
      <c r="K71" s="2"/>
      <c r="L71" s="7">
        <f t="shared" si="31"/>
        <v>-1008.65</v>
      </c>
      <c r="M71" s="2"/>
      <c r="N71" s="6">
        <f t="shared" si="32"/>
        <v>-0.61130303030303024</v>
      </c>
      <c r="O71" s="11"/>
      <c r="P71" s="7">
        <v>2314.27</v>
      </c>
      <c r="Q71" s="2"/>
      <c r="R71" s="6">
        <f t="shared" si="33"/>
        <v>1.5969614073812827E-2</v>
      </c>
      <c r="S71" s="2"/>
      <c r="T71" s="7">
        <v>4496</v>
      </c>
      <c r="U71" s="2"/>
      <c r="V71" s="6">
        <f t="shared" si="34"/>
        <v>1.664291399063466E-2</v>
      </c>
      <c r="W71" s="2"/>
      <c r="X71" s="7">
        <f t="shared" si="35"/>
        <v>-2181.73</v>
      </c>
      <c r="Y71" s="2"/>
      <c r="Z71" s="6">
        <f t="shared" si="36"/>
        <v>-0.48526023131672597</v>
      </c>
    </row>
    <row r="72" spans="1:26" s="28" customFormat="1" outlineLevel="1" collapsed="1" x14ac:dyDescent="0.25">
      <c r="A72" s="27"/>
      <c r="B72" s="14" t="str">
        <f>CONCATENATE("     ","Discounts and Markdowns                           ")</f>
        <v xml:space="preserve">     Discounts and Markdowns                           </v>
      </c>
      <c r="C72" s="14"/>
      <c r="D72" s="1">
        <f>SUM(OSRRefD22_5x_0)</f>
        <v>0</v>
      </c>
      <c r="E72" s="1"/>
      <c r="F72" s="5">
        <f t="shared" si="29"/>
        <v>0</v>
      </c>
      <c r="G72" s="1"/>
      <c r="H72" s="1">
        <f>SUM(OSRRefH22_5x_0)</f>
        <v>4945</v>
      </c>
      <c r="I72" s="1"/>
      <c r="J72" s="5">
        <f t="shared" si="30"/>
        <v>9.9993933633955479E-2</v>
      </c>
      <c r="K72" s="1"/>
      <c r="L72" s="1">
        <f t="shared" si="31"/>
        <v>-4945</v>
      </c>
      <c r="M72" s="1"/>
      <c r="N72" s="5">
        <f t="shared" si="32"/>
        <v>-1</v>
      </c>
      <c r="O72" s="14"/>
      <c r="P72" s="1">
        <f>SUM(OSRRefP22_5x_0)</f>
        <v>0</v>
      </c>
      <c r="Q72" s="1"/>
      <c r="R72" s="5">
        <f t="shared" si="33"/>
        <v>0</v>
      </c>
      <c r="S72" s="1"/>
      <c r="T72" s="1">
        <f>SUM(OSRRefT22_5x_0)</f>
        <v>27015</v>
      </c>
      <c r="U72" s="1"/>
      <c r="V72" s="5">
        <f t="shared" si="34"/>
        <v>0.10000185085787262</v>
      </c>
      <c r="W72" s="1"/>
      <c r="X72" s="1">
        <f t="shared" si="35"/>
        <v>-27015</v>
      </c>
      <c r="Y72" s="1"/>
      <c r="Z72" s="5">
        <f t="shared" si="36"/>
        <v>-1</v>
      </c>
    </row>
    <row r="73" spans="1:26" s="24" customFormat="1" hidden="1" outlineLevel="2" x14ac:dyDescent="0.25">
      <c r="A73" s="29"/>
      <c r="B73" s="11" t="str">
        <f>CONCATENATE("          ", "6382", " - ", "DISCOUNTS/MARK DOWNS")</f>
        <v xml:space="preserve">          6382 - DISCOUNTS/MARK DOWNS</v>
      </c>
      <c r="C73" s="11"/>
      <c r="D73" s="7"/>
      <c r="E73" s="2"/>
      <c r="F73" s="6">
        <f t="shared" si="29"/>
        <v>0</v>
      </c>
      <c r="G73" s="2"/>
      <c r="H73" s="7">
        <v>4945</v>
      </c>
      <c r="I73" s="2"/>
      <c r="J73" s="6">
        <f t="shared" si="30"/>
        <v>9.9993933633955479E-2</v>
      </c>
      <c r="K73" s="2"/>
      <c r="L73" s="7">
        <f t="shared" si="31"/>
        <v>-4945</v>
      </c>
      <c r="M73" s="2"/>
      <c r="N73" s="6">
        <f t="shared" si="32"/>
        <v>-1</v>
      </c>
      <c r="O73" s="11"/>
      <c r="P73" s="7">
        <v>0</v>
      </c>
      <c r="Q73" s="2"/>
      <c r="R73" s="6">
        <f t="shared" si="33"/>
        <v>0</v>
      </c>
      <c r="S73" s="2"/>
      <c r="T73" s="7">
        <v>27015</v>
      </c>
      <c r="U73" s="2"/>
      <c r="V73" s="6">
        <f t="shared" si="34"/>
        <v>0.10000185085787262</v>
      </c>
      <c r="W73" s="2"/>
      <c r="X73" s="7">
        <f t="shared" si="35"/>
        <v>-27015</v>
      </c>
      <c r="Y73" s="2"/>
      <c r="Z73" s="6">
        <f t="shared" si="36"/>
        <v>-1</v>
      </c>
    </row>
    <row r="74" spans="1:26" s="28" customFormat="1" outlineLevel="1" collapsed="1" x14ac:dyDescent="0.25">
      <c r="A74" s="27"/>
      <c r="B74" s="14" t="str">
        <f>CONCATENATE("     ","Donations                                         ")</f>
        <v xml:space="preserve">     Donations                                         </v>
      </c>
      <c r="C74" s="14"/>
      <c r="D74" s="1">
        <f>SUM(OSRRefD22_6x_0)</f>
        <v>0</v>
      </c>
      <c r="E74" s="1"/>
      <c r="F74" s="5">
        <f t="shared" si="29"/>
        <v>0</v>
      </c>
      <c r="G74" s="1"/>
      <c r="H74" s="1">
        <f>SUM(OSRRefH22_6x_0)</f>
        <v>0</v>
      </c>
      <c r="I74" s="1"/>
      <c r="J74" s="5">
        <f t="shared" si="30"/>
        <v>0</v>
      </c>
      <c r="K74" s="1"/>
      <c r="L74" s="1">
        <f t="shared" si="31"/>
        <v>0</v>
      </c>
      <c r="M74" s="1"/>
      <c r="N74" s="5">
        <f t="shared" si="32"/>
        <v>0</v>
      </c>
      <c r="O74" s="14"/>
      <c r="P74" s="1">
        <f>SUM(OSRRefP22_6x_0)</f>
        <v>0</v>
      </c>
      <c r="Q74" s="1"/>
      <c r="R74" s="5">
        <f t="shared" si="33"/>
        <v>0</v>
      </c>
      <c r="S74" s="1"/>
      <c r="T74" s="1">
        <f>SUM(OSRRefT22_6x_0)</f>
        <v>0</v>
      </c>
      <c r="U74" s="1"/>
      <c r="V74" s="5">
        <f t="shared" si="34"/>
        <v>0</v>
      </c>
      <c r="W74" s="1"/>
      <c r="X74" s="1">
        <f t="shared" si="35"/>
        <v>0</v>
      </c>
      <c r="Y74" s="1"/>
      <c r="Z74" s="5">
        <f t="shared" si="36"/>
        <v>0</v>
      </c>
    </row>
    <row r="75" spans="1:26" s="24" customFormat="1" hidden="1" outlineLevel="2" x14ac:dyDescent="0.25">
      <c r="A75" s="29"/>
      <c r="B75" s="11" t="str">
        <f>CONCATENATE("          ", "6395", " - ", "DONATION-OFF CAMPUS")</f>
        <v xml:space="preserve">          6395 - DONATION-OFF CAMPUS</v>
      </c>
      <c r="C75" s="11"/>
      <c r="D75" s="7"/>
      <c r="E75" s="2"/>
      <c r="F75" s="6">
        <f t="shared" si="29"/>
        <v>0</v>
      </c>
      <c r="G75" s="2"/>
      <c r="H75" s="7"/>
      <c r="I75" s="2"/>
      <c r="J75" s="6">
        <f t="shared" si="30"/>
        <v>0</v>
      </c>
      <c r="K75" s="2"/>
      <c r="L75" s="7">
        <f t="shared" si="31"/>
        <v>0</v>
      </c>
      <c r="M75" s="2"/>
      <c r="N75" s="6">
        <f t="shared" si="32"/>
        <v>0</v>
      </c>
      <c r="O75" s="11"/>
      <c r="P75" s="7"/>
      <c r="Q75" s="2"/>
      <c r="R75" s="6">
        <f t="shared" si="33"/>
        <v>0</v>
      </c>
      <c r="S75" s="2"/>
      <c r="T75" s="7">
        <v>0</v>
      </c>
      <c r="U75" s="2"/>
      <c r="V75" s="6">
        <f t="shared" si="34"/>
        <v>0</v>
      </c>
      <c r="W75" s="2"/>
      <c r="X75" s="7">
        <f t="shared" si="35"/>
        <v>0</v>
      </c>
      <c r="Y75" s="2"/>
      <c r="Z75" s="6">
        <f t="shared" si="36"/>
        <v>0</v>
      </c>
    </row>
    <row r="76" spans="1:26" s="28" customFormat="1" outlineLevel="1" collapsed="1" x14ac:dyDescent="0.25">
      <c r="A76" s="27"/>
      <c r="B76" s="14" t="str">
        <f>CONCATENATE("     ","Employees' Appreciation                           ")</f>
        <v xml:space="preserve">     Employees' Appreciation                           </v>
      </c>
      <c r="C76" s="14"/>
      <c r="D76" s="1">
        <f>SUM(OSRRefD22_7x_0)</f>
        <v>0</v>
      </c>
      <c r="E76" s="1"/>
      <c r="F76" s="5">
        <f t="shared" si="29"/>
        <v>0</v>
      </c>
      <c r="G76" s="1"/>
      <c r="H76" s="1">
        <f>SUM(OSRRefH22_7x_0)</f>
        <v>50</v>
      </c>
      <c r="I76" s="1"/>
      <c r="J76" s="5">
        <f t="shared" si="30"/>
        <v>1.0110610074211877E-3</v>
      </c>
      <c r="K76" s="1"/>
      <c r="L76" s="1">
        <f t="shared" si="31"/>
        <v>-50</v>
      </c>
      <c r="M76" s="1"/>
      <c r="N76" s="5">
        <f t="shared" si="32"/>
        <v>-1</v>
      </c>
      <c r="O76" s="14"/>
      <c r="P76" s="1">
        <f>SUM(OSRRefP22_7x_0)</f>
        <v>0</v>
      </c>
      <c r="Q76" s="1"/>
      <c r="R76" s="5">
        <f t="shared" si="33"/>
        <v>0</v>
      </c>
      <c r="S76" s="1"/>
      <c r="T76" s="1">
        <f>SUM(OSRRefT22_7x_0)</f>
        <v>300</v>
      </c>
      <c r="U76" s="1"/>
      <c r="V76" s="5">
        <f t="shared" si="34"/>
        <v>1.1105147235743768E-3</v>
      </c>
      <c r="W76" s="1"/>
      <c r="X76" s="1">
        <f t="shared" si="35"/>
        <v>-300</v>
      </c>
      <c r="Y76" s="1"/>
      <c r="Z76" s="5">
        <f t="shared" si="36"/>
        <v>-1</v>
      </c>
    </row>
    <row r="77" spans="1:26" s="24" customFormat="1" hidden="1" outlineLevel="2" x14ac:dyDescent="0.25">
      <c r="A77" s="29"/>
      <c r="B77" s="11" t="str">
        <f>CONCATENATE("          ", "6277", " - ", "EMPLOYEE APPRECIATION")</f>
        <v xml:space="preserve">          6277 - EMPLOYEE APPRECIATION</v>
      </c>
      <c r="C77" s="11"/>
      <c r="D77" s="7"/>
      <c r="E77" s="2"/>
      <c r="F77" s="6">
        <f t="shared" si="29"/>
        <v>0</v>
      </c>
      <c r="G77" s="2"/>
      <c r="H77" s="7">
        <v>50</v>
      </c>
      <c r="I77" s="2"/>
      <c r="J77" s="6">
        <f t="shared" si="30"/>
        <v>1.0110610074211877E-3</v>
      </c>
      <c r="K77" s="2"/>
      <c r="L77" s="7">
        <f t="shared" si="31"/>
        <v>-50</v>
      </c>
      <c r="M77" s="2"/>
      <c r="N77" s="6">
        <f t="shared" si="32"/>
        <v>-1</v>
      </c>
      <c r="O77" s="11"/>
      <c r="P77" s="7"/>
      <c r="Q77" s="2"/>
      <c r="R77" s="6">
        <f t="shared" si="33"/>
        <v>0</v>
      </c>
      <c r="S77" s="2"/>
      <c r="T77" s="7">
        <v>300</v>
      </c>
      <c r="U77" s="2"/>
      <c r="V77" s="6">
        <f t="shared" si="34"/>
        <v>1.1105147235743768E-3</v>
      </c>
      <c r="W77" s="2"/>
      <c r="X77" s="7">
        <f t="shared" si="35"/>
        <v>-300</v>
      </c>
      <c r="Y77" s="2"/>
      <c r="Z77" s="6">
        <f t="shared" si="36"/>
        <v>-1</v>
      </c>
    </row>
    <row r="78" spans="1:26" s="28" customFormat="1" outlineLevel="1" collapsed="1" x14ac:dyDescent="0.25">
      <c r="A78" s="27"/>
      <c r="B78" s="14" t="str">
        <f>CONCATENATE("     ","General                                           ")</f>
        <v xml:space="preserve">     General                                           </v>
      </c>
      <c r="C78" s="14"/>
      <c r="D78" s="1">
        <f>SUM(OSRRefD22_8x_0)</f>
        <v>1285.46</v>
      </c>
      <c r="E78" s="1"/>
      <c r="F78" s="5">
        <f t="shared" si="29"/>
        <v>3.3043570801170236E-2</v>
      </c>
      <c r="G78" s="1"/>
      <c r="H78" s="1">
        <f>SUM(OSRRefH22_8x_0)</f>
        <v>200</v>
      </c>
      <c r="I78" s="1"/>
      <c r="J78" s="5">
        <f t="shared" si="30"/>
        <v>4.044244029684751E-3</v>
      </c>
      <c r="K78" s="1"/>
      <c r="L78" s="1">
        <f t="shared" si="31"/>
        <v>1085.46</v>
      </c>
      <c r="M78" s="1"/>
      <c r="N78" s="5">
        <f t="shared" si="32"/>
        <v>5.4272999999999998</v>
      </c>
      <c r="O78" s="14"/>
      <c r="P78" s="1">
        <f>SUM(OSRRefP22_8x_0)</f>
        <v>1285.46</v>
      </c>
      <c r="Q78" s="1"/>
      <c r="R78" s="5">
        <f t="shared" si="33"/>
        <v>8.8703133633169142E-3</v>
      </c>
      <c r="S78" s="1"/>
      <c r="T78" s="1">
        <f>SUM(OSRRefT22_8x_0)</f>
        <v>1700</v>
      </c>
      <c r="U78" s="1"/>
      <c r="V78" s="5">
        <f t="shared" si="34"/>
        <v>6.2929167669214681E-3</v>
      </c>
      <c r="W78" s="1"/>
      <c r="X78" s="1">
        <f t="shared" si="35"/>
        <v>-414.53999999999996</v>
      </c>
      <c r="Y78" s="1"/>
      <c r="Z78" s="5">
        <f t="shared" si="36"/>
        <v>-0.24384705882352939</v>
      </c>
    </row>
    <row r="79" spans="1:26" s="24" customFormat="1" hidden="1" outlineLevel="2" x14ac:dyDescent="0.25">
      <c r="A79" s="29"/>
      <c r="B79" s="11" t="str">
        <f>CONCATENATE("          ", "6276", " - ", "PROPERTY TAX")</f>
        <v xml:space="preserve">          6276 - PROPERTY TAX</v>
      </c>
      <c r="C79" s="11"/>
      <c r="D79" s="7"/>
      <c r="E79" s="2"/>
      <c r="F79" s="6">
        <f t="shared" si="29"/>
        <v>0</v>
      </c>
      <c r="G79" s="2"/>
      <c r="H79" s="7"/>
      <c r="I79" s="2"/>
      <c r="J79" s="6">
        <f t="shared" si="30"/>
        <v>0</v>
      </c>
      <c r="K79" s="2"/>
      <c r="L79" s="7">
        <f t="shared" si="31"/>
        <v>0</v>
      </c>
      <c r="M79" s="2"/>
      <c r="N79" s="6">
        <f t="shared" si="32"/>
        <v>0</v>
      </c>
      <c r="O79" s="11"/>
      <c r="P79" s="7"/>
      <c r="Q79" s="2"/>
      <c r="R79" s="6">
        <f t="shared" si="33"/>
        <v>0</v>
      </c>
      <c r="S79" s="2"/>
      <c r="T79" s="7">
        <v>150</v>
      </c>
      <c r="U79" s="2"/>
      <c r="V79" s="6">
        <f t="shared" si="34"/>
        <v>5.552573617871884E-4</v>
      </c>
      <c r="W79" s="2"/>
      <c r="X79" s="7">
        <f t="shared" si="35"/>
        <v>-150</v>
      </c>
      <c r="Y79" s="2"/>
      <c r="Z79" s="6">
        <f t="shared" si="36"/>
        <v>-1</v>
      </c>
    </row>
    <row r="80" spans="1:26" s="24" customFormat="1" hidden="1" outlineLevel="2" x14ac:dyDescent="0.25">
      <c r="A80" s="29"/>
      <c r="B80" s="11" t="str">
        <f>CONCATENATE("          ", "6279", " - ", "GENERAL EXPENSE")</f>
        <v xml:space="preserve">          6279 - GENERAL EXPENSE</v>
      </c>
      <c r="C80" s="11"/>
      <c r="D80" s="7">
        <v>1285.46</v>
      </c>
      <c r="E80" s="2"/>
      <c r="F80" s="6">
        <f t="shared" si="29"/>
        <v>3.3043570801170236E-2</v>
      </c>
      <c r="G80" s="2"/>
      <c r="H80" s="7">
        <v>200</v>
      </c>
      <c r="I80" s="2"/>
      <c r="J80" s="6">
        <f t="shared" si="30"/>
        <v>4.044244029684751E-3</v>
      </c>
      <c r="K80" s="2"/>
      <c r="L80" s="7">
        <f t="shared" si="31"/>
        <v>1085.46</v>
      </c>
      <c r="M80" s="2"/>
      <c r="N80" s="6">
        <f t="shared" si="32"/>
        <v>5.4272999999999998</v>
      </c>
      <c r="O80" s="11"/>
      <c r="P80" s="7">
        <v>1285.46</v>
      </c>
      <c r="Q80" s="2"/>
      <c r="R80" s="6">
        <f t="shared" si="33"/>
        <v>8.8703133633169142E-3</v>
      </c>
      <c r="S80" s="2"/>
      <c r="T80" s="7">
        <v>1550</v>
      </c>
      <c r="U80" s="2"/>
      <c r="V80" s="6">
        <f t="shared" si="34"/>
        <v>5.7376594051342794E-3</v>
      </c>
      <c r="W80" s="2"/>
      <c r="X80" s="7">
        <f t="shared" si="35"/>
        <v>-264.53999999999996</v>
      </c>
      <c r="Y80" s="2"/>
      <c r="Z80" s="6">
        <f t="shared" si="36"/>
        <v>-0.17067096774193546</v>
      </c>
    </row>
    <row r="81" spans="1:26" s="28" customFormat="1" outlineLevel="1" collapsed="1" x14ac:dyDescent="0.25">
      <c r="A81" s="27"/>
      <c r="B81" s="14" t="str">
        <f>CONCATENATE("     ","Insurance                                         ")</f>
        <v xml:space="preserve">     Insurance                                         </v>
      </c>
      <c r="C81" s="14"/>
      <c r="D81" s="1">
        <f>SUM(OSRRefD22_9x_0)</f>
        <v>161.18</v>
      </c>
      <c r="E81" s="1"/>
      <c r="F81" s="5">
        <f t="shared" ref="F81:F91" si="37">IF(D$12=0,0,D81/D$12)</f>
        <v>4.1432349055844746E-3</v>
      </c>
      <c r="G81" s="1"/>
      <c r="H81" s="1">
        <f>SUM(OSRRefH22_9x_0)</f>
        <v>176</v>
      </c>
      <c r="I81" s="1"/>
      <c r="J81" s="5">
        <f t="shared" ref="J81:J91" si="38">IF(H$12=0,0,H81/H$12)</f>
        <v>3.558934746122581E-3</v>
      </c>
      <c r="K81" s="1"/>
      <c r="L81" s="1">
        <f t="shared" ref="L81:L91" si="39">+D81-H81</f>
        <v>-14.819999999999993</v>
      </c>
      <c r="M81" s="1"/>
      <c r="N81" s="5">
        <f t="shared" ref="N81:N91" si="40">IF(H81=0,0,L81/H81)</f>
        <v>-8.4204545454545421E-2</v>
      </c>
      <c r="O81" s="14"/>
      <c r="P81" s="1">
        <f>SUM(OSRRefP22_9x_0)</f>
        <v>967.08</v>
      </c>
      <c r="Q81" s="1"/>
      <c r="R81" s="5">
        <f t="shared" ref="R81:R91" si="41">IF(P$12=0,0,P81/P$12)</f>
        <v>6.6733330071698238E-3</v>
      </c>
      <c r="S81" s="1"/>
      <c r="T81" s="1">
        <f>SUM(OSRRefT22_9x_0)</f>
        <v>1056</v>
      </c>
      <c r="U81" s="1"/>
      <c r="V81" s="5">
        <f t="shared" ref="V81:V91" si="42">IF(T$12=0,0,T81/T$12)</f>
        <v>3.9090118269818064E-3</v>
      </c>
      <c r="W81" s="1"/>
      <c r="X81" s="1">
        <f t="shared" ref="X81:X91" si="43">+P81-T81</f>
        <v>-88.919999999999959</v>
      </c>
      <c r="Y81" s="1"/>
      <c r="Z81" s="5">
        <f t="shared" ref="Z81:Z91" si="44">IF(T81=0,0,X81/T81)</f>
        <v>-8.4204545454545421E-2</v>
      </c>
    </row>
    <row r="82" spans="1:26" s="24" customFormat="1" hidden="1" outlineLevel="2" x14ac:dyDescent="0.25">
      <c r="A82" s="29"/>
      <c r="B82" s="11" t="str">
        <f>CONCATENATE("          ", "6314", " - ", "LIABILITY INSURANCE")</f>
        <v xml:space="preserve">          6314 - LIABILITY INSURANCE</v>
      </c>
      <c r="C82" s="11"/>
      <c r="D82" s="7">
        <v>161.18</v>
      </c>
      <c r="E82" s="2"/>
      <c r="F82" s="6">
        <f t="shared" si="37"/>
        <v>4.1432349055844746E-3</v>
      </c>
      <c r="G82" s="2"/>
      <c r="H82" s="7">
        <v>176</v>
      </c>
      <c r="I82" s="2"/>
      <c r="J82" s="6">
        <f t="shared" si="38"/>
        <v>3.558934746122581E-3</v>
      </c>
      <c r="K82" s="2"/>
      <c r="L82" s="7">
        <f t="shared" si="39"/>
        <v>-14.819999999999993</v>
      </c>
      <c r="M82" s="2"/>
      <c r="N82" s="6">
        <f t="shared" si="40"/>
        <v>-8.4204545454545421E-2</v>
      </c>
      <c r="O82" s="11"/>
      <c r="P82" s="7">
        <v>967.08</v>
      </c>
      <c r="Q82" s="2"/>
      <c r="R82" s="6">
        <f t="shared" si="41"/>
        <v>6.6733330071698238E-3</v>
      </c>
      <c r="S82" s="2"/>
      <c r="T82" s="7">
        <v>1056</v>
      </c>
      <c r="U82" s="2"/>
      <c r="V82" s="6">
        <f t="shared" si="42"/>
        <v>3.9090118269818064E-3</v>
      </c>
      <c r="W82" s="2"/>
      <c r="X82" s="7">
        <f t="shared" si="43"/>
        <v>-88.919999999999959</v>
      </c>
      <c r="Y82" s="2"/>
      <c r="Z82" s="6">
        <f t="shared" si="44"/>
        <v>-8.4204545454545421E-2</v>
      </c>
    </row>
    <row r="83" spans="1:26" s="28" customFormat="1" outlineLevel="1" collapsed="1" x14ac:dyDescent="0.25">
      <c r="A83" s="27"/>
      <c r="B83" s="14" t="str">
        <f>CONCATENATE("     ","Inventory Adjustment                              ")</f>
        <v xml:space="preserve">     Inventory Adjustment                              </v>
      </c>
      <c r="C83" s="14"/>
      <c r="D83" s="1">
        <f>SUM(OSRRefD22_10x_0)</f>
        <v>100</v>
      </c>
      <c r="E83" s="1"/>
      <c r="F83" s="5">
        <f t="shared" si="37"/>
        <v>2.5705639071748818E-3</v>
      </c>
      <c r="G83" s="1"/>
      <c r="H83" s="1">
        <f>SUM(OSRRefH22_10x_0)</f>
        <v>100</v>
      </c>
      <c r="I83" s="1"/>
      <c r="J83" s="5">
        <f t="shared" si="38"/>
        <v>2.0221220148423755E-3</v>
      </c>
      <c r="K83" s="1"/>
      <c r="L83" s="1">
        <f t="shared" si="39"/>
        <v>0</v>
      </c>
      <c r="M83" s="1"/>
      <c r="N83" s="5">
        <f t="shared" si="40"/>
        <v>0</v>
      </c>
      <c r="O83" s="14"/>
      <c r="P83" s="1">
        <f>SUM(OSRRefP22_10x_0)</f>
        <v>600</v>
      </c>
      <c r="Q83" s="1"/>
      <c r="R83" s="5">
        <f t="shared" si="41"/>
        <v>4.1402984285704332E-3</v>
      </c>
      <c r="S83" s="1"/>
      <c r="T83" s="1">
        <f>SUM(OSRRefT22_10x_0)</f>
        <v>600</v>
      </c>
      <c r="U83" s="1"/>
      <c r="V83" s="5">
        <f t="shared" si="42"/>
        <v>2.2210294471487536E-3</v>
      </c>
      <c r="W83" s="1"/>
      <c r="X83" s="1">
        <f t="shared" si="43"/>
        <v>0</v>
      </c>
      <c r="Y83" s="1"/>
      <c r="Z83" s="5">
        <f t="shared" si="44"/>
        <v>0</v>
      </c>
    </row>
    <row r="84" spans="1:26" s="24" customFormat="1" hidden="1" outlineLevel="2" x14ac:dyDescent="0.25">
      <c r="A84" s="29"/>
      <c r="B84" s="11" t="str">
        <f>CONCATENATE("          ", "6408", " - ", "INVENTORY ADJUSTMENT")</f>
        <v xml:space="preserve">          6408 - INVENTORY ADJUSTMENT</v>
      </c>
      <c r="C84" s="11"/>
      <c r="D84" s="7">
        <v>100</v>
      </c>
      <c r="E84" s="2"/>
      <c r="F84" s="6">
        <f t="shared" si="37"/>
        <v>2.5705639071748818E-3</v>
      </c>
      <c r="G84" s="2"/>
      <c r="H84" s="7">
        <v>100</v>
      </c>
      <c r="I84" s="2"/>
      <c r="J84" s="6">
        <f t="shared" si="38"/>
        <v>2.0221220148423755E-3</v>
      </c>
      <c r="K84" s="2"/>
      <c r="L84" s="7">
        <f t="shared" si="39"/>
        <v>0</v>
      </c>
      <c r="M84" s="2"/>
      <c r="N84" s="6">
        <f t="shared" si="40"/>
        <v>0</v>
      </c>
      <c r="O84" s="11"/>
      <c r="P84" s="7">
        <v>600</v>
      </c>
      <c r="Q84" s="2"/>
      <c r="R84" s="6">
        <f t="shared" si="41"/>
        <v>4.1402984285704332E-3</v>
      </c>
      <c r="S84" s="2"/>
      <c r="T84" s="7">
        <v>600</v>
      </c>
      <c r="U84" s="2"/>
      <c r="V84" s="6">
        <f t="shared" si="42"/>
        <v>2.2210294471487536E-3</v>
      </c>
      <c r="W84" s="2"/>
      <c r="X84" s="7">
        <f t="shared" si="43"/>
        <v>0</v>
      </c>
      <c r="Y84" s="2"/>
      <c r="Z84" s="6">
        <f t="shared" si="44"/>
        <v>0</v>
      </c>
    </row>
    <row r="85" spans="1:26" s="28" customFormat="1" outlineLevel="1" collapsed="1" x14ac:dyDescent="0.25">
      <c r="A85" s="27"/>
      <c r="B85" s="14" t="str">
        <f>CONCATENATE("     ","Professional Services                             ")</f>
        <v xml:space="preserve">     Professional Services                             </v>
      </c>
      <c r="C85" s="14"/>
      <c r="D85" s="1">
        <f>SUM(OSRRefD22_11x_0)</f>
        <v>0</v>
      </c>
      <c r="E85" s="1"/>
      <c r="F85" s="5">
        <f t="shared" si="37"/>
        <v>0</v>
      </c>
      <c r="G85" s="1"/>
      <c r="H85" s="1">
        <f>SUM(OSRRefH22_11x_0)</f>
        <v>0</v>
      </c>
      <c r="I85" s="1"/>
      <c r="J85" s="5">
        <f t="shared" si="38"/>
        <v>0</v>
      </c>
      <c r="K85" s="1"/>
      <c r="L85" s="1">
        <f t="shared" si="39"/>
        <v>0</v>
      </c>
      <c r="M85" s="1"/>
      <c r="N85" s="5">
        <f t="shared" si="40"/>
        <v>0</v>
      </c>
      <c r="O85" s="14"/>
      <c r="P85" s="1">
        <f>SUM(OSRRefP22_11x_0)</f>
        <v>0</v>
      </c>
      <c r="Q85" s="1"/>
      <c r="R85" s="5">
        <f t="shared" si="41"/>
        <v>0</v>
      </c>
      <c r="S85" s="1"/>
      <c r="T85" s="1">
        <f>SUM(OSRRefT22_11x_0)</f>
        <v>750</v>
      </c>
      <c r="U85" s="1"/>
      <c r="V85" s="5">
        <f t="shared" si="42"/>
        <v>2.7762868089359419E-3</v>
      </c>
      <c r="W85" s="1"/>
      <c r="X85" s="1">
        <f t="shared" si="43"/>
        <v>-750</v>
      </c>
      <c r="Y85" s="1"/>
      <c r="Z85" s="5">
        <f t="shared" si="44"/>
        <v>-1</v>
      </c>
    </row>
    <row r="86" spans="1:26" s="24" customFormat="1" hidden="1" outlineLevel="2" x14ac:dyDescent="0.25">
      <c r="A86" s="29"/>
      <c r="B86" s="11" t="str">
        <f>CONCATENATE("          ", "6336", " - ", "PROFESSIONAL SERVICES")</f>
        <v xml:space="preserve">          6336 - PROFESSIONAL SERVICES</v>
      </c>
      <c r="C86" s="11"/>
      <c r="D86" s="7"/>
      <c r="E86" s="2"/>
      <c r="F86" s="6">
        <f t="shared" si="37"/>
        <v>0</v>
      </c>
      <c r="G86" s="2"/>
      <c r="H86" s="7">
        <v>0</v>
      </c>
      <c r="I86" s="2"/>
      <c r="J86" s="6">
        <f t="shared" si="38"/>
        <v>0</v>
      </c>
      <c r="K86" s="2"/>
      <c r="L86" s="7">
        <f t="shared" si="39"/>
        <v>0</v>
      </c>
      <c r="M86" s="2"/>
      <c r="N86" s="6">
        <f t="shared" si="40"/>
        <v>0</v>
      </c>
      <c r="O86" s="11"/>
      <c r="P86" s="7"/>
      <c r="Q86" s="2"/>
      <c r="R86" s="6">
        <f t="shared" si="41"/>
        <v>0</v>
      </c>
      <c r="S86" s="2"/>
      <c r="T86" s="7">
        <v>750</v>
      </c>
      <c r="U86" s="2"/>
      <c r="V86" s="6">
        <f t="shared" si="42"/>
        <v>2.7762868089359419E-3</v>
      </c>
      <c r="W86" s="2"/>
      <c r="X86" s="7">
        <f t="shared" si="43"/>
        <v>-750</v>
      </c>
      <c r="Y86" s="2"/>
      <c r="Z86" s="6">
        <f t="shared" si="44"/>
        <v>-1</v>
      </c>
    </row>
    <row r="87" spans="1:26" s="28" customFormat="1" outlineLevel="1" collapsed="1" x14ac:dyDescent="0.25">
      <c r="A87" s="27"/>
      <c r="B87" s="14" t="str">
        <f>CONCATENATE("     ","Rent                                              ")</f>
        <v xml:space="preserve">     Rent                                              </v>
      </c>
      <c r="C87" s="14"/>
      <c r="D87" s="1">
        <f>SUM(OSRRefD22_12x_0)</f>
        <v>6900</v>
      </c>
      <c r="E87" s="1"/>
      <c r="F87" s="5">
        <f t="shared" si="37"/>
        <v>0.17736890959506685</v>
      </c>
      <c r="G87" s="1"/>
      <c r="H87" s="1">
        <f>SUM(OSRRefH22_12x_0)</f>
        <v>6900</v>
      </c>
      <c r="I87" s="1"/>
      <c r="J87" s="5">
        <f t="shared" si="38"/>
        <v>0.13952641902412391</v>
      </c>
      <c r="K87" s="1"/>
      <c r="L87" s="1">
        <f t="shared" si="39"/>
        <v>0</v>
      </c>
      <c r="M87" s="1"/>
      <c r="N87" s="5">
        <f t="shared" si="40"/>
        <v>0</v>
      </c>
      <c r="O87" s="14"/>
      <c r="P87" s="1">
        <f>SUM(OSRRefP22_12x_0)</f>
        <v>41400</v>
      </c>
      <c r="Q87" s="1"/>
      <c r="R87" s="5">
        <f t="shared" si="41"/>
        <v>0.28568059157135989</v>
      </c>
      <c r="S87" s="1"/>
      <c r="T87" s="1">
        <f>SUM(OSRRefT22_12x_0)</f>
        <v>41401</v>
      </c>
      <c r="U87" s="1"/>
      <c r="V87" s="5">
        <f t="shared" si="42"/>
        <v>0.15325473356900923</v>
      </c>
      <c r="W87" s="1"/>
      <c r="X87" s="1">
        <f t="shared" si="43"/>
        <v>-1</v>
      </c>
      <c r="Y87" s="1"/>
      <c r="Z87" s="5">
        <f t="shared" si="44"/>
        <v>-2.4154005941885462E-5</v>
      </c>
    </row>
    <row r="88" spans="1:26" s="24" customFormat="1" hidden="1" outlineLevel="2" x14ac:dyDescent="0.25">
      <c r="A88" s="29"/>
      <c r="B88" s="11" t="str">
        <f>CONCATENATE("          ", "6273", " - ", "RENT")</f>
        <v xml:space="preserve">          6273 - RENT</v>
      </c>
      <c r="C88" s="11"/>
      <c r="D88" s="7">
        <v>6900</v>
      </c>
      <c r="E88" s="2"/>
      <c r="F88" s="6">
        <f t="shared" si="37"/>
        <v>0.17736890959506685</v>
      </c>
      <c r="G88" s="2"/>
      <c r="H88" s="7">
        <v>6900</v>
      </c>
      <c r="I88" s="2"/>
      <c r="J88" s="6">
        <f t="shared" si="38"/>
        <v>0.13952641902412391</v>
      </c>
      <c r="K88" s="2"/>
      <c r="L88" s="7">
        <f t="shared" si="39"/>
        <v>0</v>
      </c>
      <c r="M88" s="2"/>
      <c r="N88" s="6">
        <f t="shared" si="40"/>
        <v>0</v>
      </c>
      <c r="O88" s="11"/>
      <c r="P88" s="7">
        <v>41400</v>
      </c>
      <c r="Q88" s="2"/>
      <c r="R88" s="6">
        <f t="shared" si="41"/>
        <v>0.28568059157135989</v>
      </c>
      <c r="S88" s="2"/>
      <c r="T88" s="7">
        <v>41401</v>
      </c>
      <c r="U88" s="2"/>
      <c r="V88" s="6">
        <f t="shared" si="42"/>
        <v>0.15325473356900923</v>
      </c>
      <c r="W88" s="2"/>
      <c r="X88" s="7">
        <f t="shared" si="43"/>
        <v>-1</v>
      </c>
      <c r="Y88" s="2"/>
      <c r="Z88" s="6">
        <f t="shared" si="44"/>
        <v>-2.4154005941885462E-5</v>
      </c>
    </row>
    <row r="89" spans="1:26" s="28" customFormat="1" outlineLevel="1" collapsed="1" x14ac:dyDescent="0.25">
      <c r="A89" s="27"/>
      <c r="B89" s="14" t="str">
        <f>CONCATENATE("     ","Repair and Maintenance                            ")</f>
        <v xml:space="preserve">     Repair and Maintenance                            </v>
      </c>
      <c r="C89" s="14"/>
      <c r="D89" s="1">
        <f>SUM(OSRRefD22_13x_0)</f>
        <v>48.23</v>
      </c>
      <c r="E89" s="1"/>
      <c r="F89" s="5">
        <f t="shared" si="37"/>
        <v>1.2397829724304454E-3</v>
      </c>
      <c r="G89" s="1"/>
      <c r="H89" s="1">
        <f>SUM(OSRRefH22_13x_0)</f>
        <v>100</v>
      </c>
      <c r="I89" s="1"/>
      <c r="J89" s="5">
        <f t="shared" si="38"/>
        <v>2.0221220148423755E-3</v>
      </c>
      <c r="K89" s="1"/>
      <c r="L89" s="1">
        <f t="shared" si="39"/>
        <v>-51.77</v>
      </c>
      <c r="M89" s="1"/>
      <c r="N89" s="5">
        <f t="shared" si="40"/>
        <v>-0.51770000000000005</v>
      </c>
      <c r="O89" s="14"/>
      <c r="P89" s="1">
        <f>SUM(OSRRefP22_13x_0)</f>
        <v>96.44</v>
      </c>
      <c r="Q89" s="1"/>
      <c r="R89" s="5">
        <f t="shared" si="41"/>
        <v>6.6548396741888754E-4</v>
      </c>
      <c r="S89" s="1"/>
      <c r="T89" s="1">
        <f>SUM(OSRRefT22_13x_0)</f>
        <v>600</v>
      </c>
      <c r="U89" s="1"/>
      <c r="V89" s="5">
        <f t="shared" si="42"/>
        <v>2.2210294471487536E-3</v>
      </c>
      <c r="W89" s="1"/>
      <c r="X89" s="1">
        <f t="shared" si="43"/>
        <v>-503.56</v>
      </c>
      <c r="Y89" s="1"/>
      <c r="Z89" s="5">
        <f t="shared" si="44"/>
        <v>-0.83926666666666672</v>
      </c>
    </row>
    <row r="90" spans="1:26" s="24" customFormat="1" hidden="1" outlineLevel="2" x14ac:dyDescent="0.25">
      <c r="A90" s="29"/>
      <c r="B90" s="11" t="str">
        <f>CONCATENATE("          ", "6373", " - ", "MAINTENANCE CONTRACTS")</f>
        <v xml:space="preserve">          6373 - MAINTENANCE CONTRACTS</v>
      </c>
      <c r="C90" s="11"/>
      <c r="D90" s="7">
        <v>48.23</v>
      </c>
      <c r="E90" s="2"/>
      <c r="F90" s="6">
        <f t="shared" si="37"/>
        <v>1.2397829724304454E-3</v>
      </c>
      <c r="G90" s="2"/>
      <c r="H90" s="7"/>
      <c r="I90" s="2"/>
      <c r="J90" s="6">
        <f t="shared" si="38"/>
        <v>0</v>
      </c>
      <c r="K90" s="2"/>
      <c r="L90" s="7">
        <f t="shared" si="39"/>
        <v>48.23</v>
      </c>
      <c r="M90" s="2"/>
      <c r="N90" s="6">
        <f t="shared" si="40"/>
        <v>0</v>
      </c>
      <c r="O90" s="11"/>
      <c r="P90" s="7">
        <v>96.44</v>
      </c>
      <c r="Q90" s="2"/>
      <c r="R90" s="6">
        <f t="shared" si="41"/>
        <v>6.6548396741888754E-4</v>
      </c>
      <c r="S90" s="2"/>
      <c r="T90" s="7"/>
      <c r="U90" s="2"/>
      <c r="V90" s="6">
        <f t="shared" si="42"/>
        <v>0</v>
      </c>
      <c r="W90" s="2"/>
      <c r="X90" s="7">
        <f t="shared" si="43"/>
        <v>96.44</v>
      </c>
      <c r="Y90" s="2"/>
      <c r="Z90" s="6">
        <f t="shared" si="44"/>
        <v>0</v>
      </c>
    </row>
    <row r="91" spans="1:26" s="24" customFormat="1" hidden="1" outlineLevel="2" x14ac:dyDescent="0.25">
      <c r="A91" s="29"/>
      <c r="B91" s="11" t="str">
        <f>CONCATENATE("          ", "6375", " - ", "OUTSIDE REPAIRS &amp; MAINTENANCE")</f>
        <v xml:space="preserve">          6375 - OUTSIDE REPAIRS &amp; MAINTENANCE</v>
      </c>
      <c r="C91" s="11"/>
      <c r="D91" s="7"/>
      <c r="E91" s="2"/>
      <c r="F91" s="6">
        <f t="shared" si="37"/>
        <v>0</v>
      </c>
      <c r="G91" s="2"/>
      <c r="H91" s="7">
        <v>100</v>
      </c>
      <c r="I91" s="2"/>
      <c r="J91" s="6">
        <f t="shared" si="38"/>
        <v>2.0221220148423755E-3</v>
      </c>
      <c r="K91" s="2"/>
      <c r="L91" s="7">
        <f t="shared" si="39"/>
        <v>-100</v>
      </c>
      <c r="M91" s="2"/>
      <c r="N91" s="6">
        <f t="shared" si="40"/>
        <v>-1</v>
      </c>
      <c r="O91" s="11"/>
      <c r="P91" s="7"/>
      <c r="Q91" s="2"/>
      <c r="R91" s="6">
        <f t="shared" si="41"/>
        <v>0</v>
      </c>
      <c r="S91" s="2"/>
      <c r="T91" s="7">
        <v>600</v>
      </c>
      <c r="U91" s="2"/>
      <c r="V91" s="6">
        <f t="shared" si="42"/>
        <v>2.2210294471487536E-3</v>
      </c>
      <c r="W91" s="2"/>
      <c r="X91" s="7">
        <f t="shared" si="43"/>
        <v>-600</v>
      </c>
      <c r="Y91" s="2"/>
      <c r="Z91" s="6">
        <f t="shared" si="44"/>
        <v>-1</v>
      </c>
    </row>
    <row r="92" spans="1:26" s="28" customFormat="1" outlineLevel="1" collapsed="1" x14ac:dyDescent="0.25">
      <c r="A92" s="27"/>
      <c r="B92" s="14" t="str">
        <f>CONCATENATE("     ","Services                                          ")</f>
        <v xml:space="preserve">     Services                                          </v>
      </c>
      <c r="C92" s="14"/>
      <c r="D92" s="1">
        <f>SUM(OSRRefD22_14x_0)</f>
        <v>224.41</v>
      </c>
      <c r="E92" s="1"/>
      <c r="F92" s="5">
        <f t="shared" ref="F92:F95" si="45">IF(D$12=0,0,D92/D$12)</f>
        <v>5.7686024640911521E-3</v>
      </c>
      <c r="G92" s="1"/>
      <c r="H92" s="1">
        <f>SUM(OSRRefH22_14x_0)</f>
        <v>210</v>
      </c>
      <c r="I92" s="1"/>
      <c r="J92" s="5">
        <f t="shared" ref="J92:J95" si="46">IF(H$12=0,0,H92/H$12)</f>
        <v>4.2464562311689885E-3</v>
      </c>
      <c r="K92" s="1"/>
      <c r="L92" s="1">
        <f t="shared" ref="L92:L95" si="47">+D92-H92</f>
        <v>14.409999999999997</v>
      </c>
      <c r="M92" s="1"/>
      <c r="N92" s="5">
        <f t="shared" ref="N92:N95" si="48">IF(H92=0,0,L92/H92)</f>
        <v>6.8619047619047607E-2</v>
      </c>
      <c r="O92" s="14"/>
      <c r="P92" s="1">
        <f>SUM(OSRRefP22_14x_0)</f>
        <v>192.82000000000005</v>
      </c>
      <c r="Q92" s="1"/>
      <c r="R92" s="5">
        <f t="shared" ref="R92:R95" si="49">IF(P$12=0,0,P92/P$12)</f>
        <v>1.3305539049949186E-3</v>
      </c>
      <c r="S92" s="1"/>
      <c r="T92" s="1">
        <f>SUM(OSRRefT22_14x_0)</f>
        <v>1040</v>
      </c>
      <c r="U92" s="1"/>
      <c r="V92" s="5">
        <f t="shared" ref="V92:V95" si="50">IF(T$12=0,0,T92/T$12)</f>
        <v>3.8497843750578391E-3</v>
      </c>
      <c r="W92" s="1"/>
      <c r="X92" s="1">
        <f t="shared" ref="X92:X95" si="51">+P92-T92</f>
        <v>-847.18</v>
      </c>
      <c r="Y92" s="1"/>
      <c r="Z92" s="5">
        <f t="shared" ref="Z92:Z95" si="52">IF(T92=0,0,X92/T92)</f>
        <v>-0.8145961538461538</v>
      </c>
    </row>
    <row r="93" spans="1:26" s="24" customFormat="1" hidden="1" outlineLevel="2" x14ac:dyDescent="0.25">
      <c r="A93" s="29"/>
      <c r="B93" s="11" t="str">
        <f>CONCATENATE("          ", "6283", " - ", "PLANT SERVICE")</f>
        <v xml:space="preserve">          6283 - PLANT SERVICE</v>
      </c>
      <c r="C93" s="11"/>
      <c r="D93" s="7"/>
      <c r="E93" s="2"/>
      <c r="F93" s="6">
        <f t="shared" si="45"/>
        <v>0</v>
      </c>
      <c r="G93" s="2"/>
      <c r="H93" s="7">
        <v>0</v>
      </c>
      <c r="I93" s="2"/>
      <c r="J93" s="6">
        <f t="shared" si="46"/>
        <v>0</v>
      </c>
      <c r="K93" s="2"/>
      <c r="L93" s="7">
        <f t="shared" si="47"/>
        <v>0</v>
      </c>
      <c r="M93" s="2"/>
      <c r="N93" s="6">
        <f t="shared" si="48"/>
        <v>0</v>
      </c>
      <c r="O93" s="11"/>
      <c r="P93" s="7">
        <v>41.31</v>
      </c>
      <c r="Q93" s="2"/>
      <c r="R93" s="6">
        <f t="shared" si="49"/>
        <v>2.8505954680707433E-4</v>
      </c>
      <c r="S93" s="2"/>
      <c r="T93" s="7">
        <v>0</v>
      </c>
      <c r="U93" s="2"/>
      <c r="V93" s="6">
        <f t="shared" si="50"/>
        <v>0</v>
      </c>
      <c r="W93" s="2"/>
      <c r="X93" s="7">
        <f t="shared" si="51"/>
        <v>41.31</v>
      </c>
      <c r="Y93" s="2"/>
      <c r="Z93" s="6">
        <f t="shared" si="52"/>
        <v>0</v>
      </c>
    </row>
    <row r="94" spans="1:26" s="24" customFormat="1" hidden="1" outlineLevel="2" x14ac:dyDescent="0.25">
      <c r="A94" s="29"/>
      <c r="B94" s="11" t="str">
        <f>CONCATENATE("          ", "6284", " - ", "TRASH REMOVAL EXPENSE")</f>
        <v xml:space="preserve">          6284 - TRASH REMOVAL EXPENSE</v>
      </c>
      <c r="C94" s="11"/>
      <c r="D94" s="7">
        <v>285.14</v>
      </c>
      <c r="E94" s="2"/>
      <c r="F94" s="6">
        <f t="shared" si="45"/>
        <v>7.3297059249184575E-3</v>
      </c>
      <c r="G94" s="2"/>
      <c r="H94" s="7">
        <v>110</v>
      </c>
      <c r="I94" s="2"/>
      <c r="J94" s="6">
        <f t="shared" si="46"/>
        <v>2.224334216326613E-3</v>
      </c>
      <c r="K94" s="2"/>
      <c r="L94" s="7">
        <f t="shared" si="47"/>
        <v>175.14</v>
      </c>
      <c r="M94" s="2"/>
      <c r="N94" s="6">
        <f t="shared" si="48"/>
        <v>1.5921818181818181</v>
      </c>
      <c r="O94" s="11"/>
      <c r="P94" s="7">
        <v>870.44</v>
      </c>
      <c r="Q94" s="2"/>
      <c r="R94" s="6">
        <f t="shared" si="49"/>
        <v>6.006468940274747E-3</v>
      </c>
      <c r="S94" s="2"/>
      <c r="T94" s="7">
        <v>440</v>
      </c>
      <c r="U94" s="2"/>
      <c r="V94" s="6">
        <f t="shared" si="50"/>
        <v>1.6287549279090858E-3</v>
      </c>
      <c r="W94" s="2"/>
      <c r="X94" s="7">
        <f t="shared" si="51"/>
        <v>430.44000000000005</v>
      </c>
      <c r="Y94" s="2"/>
      <c r="Z94" s="6">
        <f t="shared" si="52"/>
        <v>0.9782727272727274</v>
      </c>
    </row>
    <row r="95" spans="1:26" s="24" customFormat="1" hidden="1" outlineLevel="2" x14ac:dyDescent="0.25">
      <c r="A95" s="29"/>
      <c r="B95" s="11" t="str">
        <f>CONCATENATE("          ", "6285", " - ", "JANITORIAL SERVICES")</f>
        <v xml:space="preserve">          6285 - JANITORIAL SERVICES</v>
      </c>
      <c r="C95" s="11"/>
      <c r="D95" s="7">
        <v>-60.73</v>
      </c>
      <c r="E95" s="2"/>
      <c r="F95" s="6">
        <f t="shared" si="45"/>
        <v>-1.5611034608273057E-3</v>
      </c>
      <c r="G95" s="2"/>
      <c r="H95" s="7">
        <v>100</v>
      </c>
      <c r="I95" s="2"/>
      <c r="J95" s="6">
        <f t="shared" si="46"/>
        <v>2.0221220148423755E-3</v>
      </c>
      <c r="K95" s="2"/>
      <c r="L95" s="7">
        <f t="shared" si="47"/>
        <v>-160.72999999999999</v>
      </c>
      <c r="M95" s="2"/>
      <c r="N95" s="6">
        <f t="shared" si="48"/>
        <v>-1.6073</v>
      </c>
      <c r="O95" s="11"/>
      <c r="P95" s="7">
        <v>-718.93</v>
      </c>
      <c r="Q95" s="2"/>
      <c r="R95" s="6">
        <f t="shared" si="49"/>
        <v>-4.9609745820869021E-3</v>
      </c>
      <c r="S95" s="2"/>
      <c r="T95" s="7">
        <v>600</v>
      </c>
      <c r="U95" s="2"/>
      <c r="V95" s="6">
        <f t="shared" si="50"/>
        <v>2.2210294471487536E-3</v>
      </c>
      <c r="W95" s="2"/>
      <c r="X95" s="7">
        <f t="shared" si="51"/>
        <v>-1318.9299999999998</v>
      </c>
      <c r="Y95" s="2"/>
      <c r="Z95" s="6">
        <f t="shared" si="52"/>
        <v>-2.1982166666666663</v>
      </c>
    </row>
    <row r="96" spans="1:26" s="28" customFormat="1" outlineLevel="1" collapsed="1" x14ac:dyDescent="0.25">
      <c r="A96" s="27"/>
      <c r="B96" s="14" t="str">
        <f>CONCATENATE("     ","Subscriptions &amp; Dues                              ")</f>
        <v xml:space="preserve">     Subscriptions &amp; Dues                              </v>
      </c>
      <c r="C96" s="14"/>
      <c r="D96" s="1">
        <f>SUM(OSRRefD22_15x_0)</f>
        <v>-60.73</v>
      </c>
      <c r="E96" s="1"/>
      <c r="F96" s="5">
        <f t="shared" ref="F96:F98" si="53">IF(D$12=0,0,D96/D$12)</f>
        <v>-1.5611034608273057E-3</v>
      </c>
      <c r="G96" s="1"/>
      <c r="H96" s="1">
        <f>SUM(OSRRefH22_15x_0)</f>
        <v>0</v>
      </c>
      <c r="I96" s="1"/>
      <c r="J96" s="5">
        <f t="shared" ref="J96:J98" si="54">IF(H$12=0,0,H96/H$12)</f>
        <v>0</v>
      </c>
      <c r="K96" s="1"/>
      <c r="L96" s="1">
        <f t="shared" ref="L96:L98" si="55">+D96-H96</f>
        <v>-60.73</v>
      </c>
      <c r="M96" s="1"/>
      <c r="N96" s="5">
        <f t="shared" ref="N96:N98" si="56">IF(H96=0,0,L96/H96)</f>
        <v>0</v>
      </c>
      <c r="O96" s="14"/>
      <c r="P96" s="1">
        <f>SUM(OSRRefP22_15x_0)</f>
        <v>89.27000000000001</v>
      </c>
      <c r="Q96" s="1"/>
      <c r="R96" s="5">
        <f t="shared" ref="R96:R98" si="57">IF(P$12=0,0,P96/P$12)</f>
        <v>6.1600740119747098E-4</v>
      </c>
      <c r="S96" s="1"/>
      <c r="T96" s="1">
        <f>SUM(OSRRefT22_15x_0)</f>
        <v>395</v>
      </c>
      <c r="U96" s="1"/>
      <c r="V96" s="5">
        <f t="shared" ref="V96:V98" si="58">IF(T$12=0,0,T96/T$12)</f>
        <v>1.4621777193729293E-3</v>
      </c>
      <c r="W96" s="1"/>
      <c r="X96" s="1">
        <f t="shared" ref="X96:X98" si="59">+P96-T96</f>
        <v>-305.73</v>
      </c>
      <c r="Y96" s="1"/>
      <c r="Z96" s="5">
        <f t="shared" ref="Z96:Z98" si="60">IF(T96=0,0,X96/T96)</f>
        <v>-0.77400000000000002</v>
      </c>
    </row>
    <row r="97" spans="1:26" s="24" customFormat="1" hidden="1" outlineLevel="2" x14ac:dyDescent="0.25">
      <c r="A97" s="29"/>
      <c r="B97" s="11" t="str">
        <f>CONCATENATE("          ", "6258", " - ", "MEMBERSHIP DUES")</f>
        <v xml:space="preserve">          6258 - MEMBERSHIP DUES</v>
      </c>
      <c r="C97" s="11"/>
      <c r="D97" s="7">
        <v>-60.73</v>
      </c>
      <c r="E97" s="2"/>
      <c r="F97" s="6">
        <f t="shared" si="53"/>
        <v>-1.5611034608273057E-3</v>
      </c>
      <c r="G97" s="2"/>
      <c r="H97" s="7">
        <v>0</v>
      </c>
      <c r="I97" s="2"/>
      <c r="J97" s="6">
        <f t="shared" si="54"/>
        <v>0</v>
      </c>
      <c r="K97" s="2"/>
      <c r="L97" s="7">
        <f t="shared" si="55"/>
        <v>-60.73</v>
      </c>
      <c r="M97" s="2"/>
      <c r="N97" s="6">
        <f t="shared" si="56"/>
        <v>0</v>
      </c>
      <c r="O97" s="11"/>
      <c r="P97" s="7">
        <v>-60.73</v>
      </c>
      <c r="Q97" s="2"/>
      <c r="R97" s="6">
        <f t="shared" si="57"/>
        <v>-4.1906720594513732E-4</v>
      </c>
      <c r="S97" s="2"/>
      <c r="T97" s="7">
        <v>395</v>
      </c>
      <c r="U97" s="2"/>
      <c r="V97" s="6">
        <f t="shared" si="58"/>
        <v>1.4621777193729293E-3</v>
      </c>
      <c r="W97" s="2"/>
      <c r="X97" s="7">
        <f t="shared" si="59"/>
        <v>-455.73</v>
      </c>
      <c r="Y97" s="2"/>
      <c r="Z97" s="6">
        <f t="shared" si="60"/>
        <v>-1.153746835443038</v>
      </c>
    </row>
    <row r="98" spans="1:26" s="24" customFormat="1" hidden="1" outlineLevel="2" x14ac:dyDescent="0.25">
      <c r="A98" s="29"/>
      <c r="B98" s="11" t="str">
        <f>CONCATENATE("          ", "6275", " - ", "SUBSCRIPTIONS")</f>
        <v xml:space="preserve">          6275 - SUBSCRIPTIONS</v>
      </c>
      <c r="C98" s="11"/>
      <c r="D98" s="7"/>
      <c r="E98" s="2"/>
      <c r="F98" s="6">
        <f t="shared" si="53"/>
        <v>0</v>
      </c>
      <c r="G98" s="2"/>
      <c r="H98" s="7">
        <v>0</v>
      </c>
      <c r="I98" s="2"/>
      <c r="J98" s="6">
        <f t="shared" si="54"/>
        <v>0</v>
      </c>
      <c r="K98" s="2"/>
      <c r="L98" s="7">
        <f t="shared" si="55"/>
        <v>0</v>
      </c>
      <c r="M98" s="2"/>
      <c r="N98" s="6">
        <f t="shared" si="56"/>
        <v>0</v>
      </c>
      <c r="O98" s="11"/>
      <c r="P98" s="7">
        <v>150</v>
      </c>
      <c r="Q98" s="2"/>
      <c r="R98" s="6">
        <f t="shared" si="57"/>
        <v>1.0350746071426083E-3</v>
      </c>
      <c r="S98" s="2"/>
      <c r="T98" s="7">
        <v>0</v>
      </c>
      <c r="U98" s="2"/>
      <c r="V98" s="6">
        <f t="shared" si="58"/>
        <v>0</v>
      </c>
      <c r="W98" s="2"/>
      <c r="X98" s="7">
        <f t="shared" si="59"/>
        <v>150</v>
      </c>
      <c r="Y98" s="2"/>
      <c r="Z98" s="6">
        <f t="shared" si="60"/>
        <v>0</v>
      </c>
    </row>
    <row r="99" spans="1:26" s="28" customFormat="1" outlineLevel="1" collapsed="1" x14ac:dyDescent="0.25">
      <c r="A99" s="27"/>
      <c r="B99" s="14" t="str">
        <f>CONCATENATE("     ","Supplies                                          ")</f>
        <v xml:space="preserve">     Supplies                                          </v>
      </c>
      <c r="C99" s="14"/>
      <c r="D99" s="1">
        <f>SUM(OSRRefD22_16x_0)</f>
        <v>10.94</v>
      </c>
      <c r="E99" s="1"/>
      <c r="F99" s="5">
        <f t="shared" ref="F99:F105" si="61">IF(D$12=0,0,D99/D$12)</f>
        <v>2.8121969144493205E-4</v>
      </c>
      <c r="G99" s="1"/>
      <c r="H99" s="1">
        <f>SUM(OSRRefH22_16x_0)</f>
        <v>160</v>
      </c>
      <c r="I99" s="1"/>
      <c r="J99" s="5">
        <f t="shared" ref="J99:J105" si="62">IF(H$12=0,0,H99/H$12)</f>
        <v>3.235395223747801E-3</v>
      </c>
      <c r="K99" s="1"/>
      <c r="L99" s="1">
        <f t="shared" ref="L99:L105" si="63">+D99-H99</f>
        <v>-149.06</v>
      </c>
      <c r="M99" s="1"/>
      <c r="N99" s="5">
        <f t="shared" ref="N99:N105" si="64">IF(H99=0,0,L99/H99)</f>
        <v>-0.93162500000000004</v>
      </c>
      <c r="O99" s="14"/>
      <c r="P99" s="1">
        <f>SUM(OSRRefP22_16x_0)</f>
        <v>553.20000000000005</v>
      </c>
      <c r="Q99" s="1"/>
      <c r="R99" s="5">
        <f t="shared" ref="R99:R105" si="65">IF(P$12=0,0,P99/P$12)</f>
        <v>3.8173551511419394E-3</v>
      </c>
      <c r="S99" s="1"/>
      <c r="T99" s="1">
        <f>SUM(OSRRefT22_16x_0)</f>
        <v>1060</v>
      </c>
      <c r="U99" s="1"/>
      <c r="V99" s="5">
        <f t="shared" ref="V99:V105" si="66">IF(T$12=0,0,T99/T$12)</f>
        <v>3.9238186899627978E-3</v>
      </c>
      <c r="W99" s="1"/>
      <c r="X99" s="1">
        <f t="shared" ref="X99:X105" si="67">+P99-T99</f>
        <v>-506.79999999999995</v>
      </c>
      <c r="Y99" s="1"/>
      <c r="Z99" s="5">
        <f t="shared" ref="Z99:Z105" si="68">IF(T99=0,0,X99/T99)</f>
        <v>-0.47811320754716979</v>
      </c>
    </row>
    <row r="100" spans="1:26" s="24" customFormat="1" hidden="1" outlineLevel="2" x14ac:dyDescent="0.25">
      <c r="A100" s="29"/>
      <c r="B100" s="11" t="str">
        <f>CONCATENATE("          ", "6234", " - ", "EXPENDABLE SUPPLIES &amp; EQUIPMEN")</f>
        <v xml:space="preserve">          6234 - EXPENDABLE SUPPLIES &amp; EQUIPMEN</v>
      </c>
      <c r="C100" s="11"/>
      <c r="D100" s="7"/>
      <c r="E100" s="2"/>
      <c r="F100" s="6">
        <f t="shared" si="61"/>
        <v>0</v>
      </c>
      <c r="G100" s="2"/>
      <c r="H100" s="7">
        <v>0</v>
      </c>
      <c r="I100" s="2"/>
      <c r="J100" s="6">
        <f t="shared" si="62"/>
        <v>0</v>
      </c>
      <c r="K100" s="2"/>
      <c r="L100" s="7">
        <f t="shared" si="63"/>
        <v>0</v>
      </c>
      <c r="M100" s="2"/>
      <c r="N100" s="6">
        <f t="shared" si="64"/>
        <v>0</v>
      </c>
      <c r="O100" s="11"/>
      <c r="P100" s="7"/>
      <c r="Q100" s="2"/>
      <c r="R100" s="6">
        <f t="shared" si="65"/>
        <v>0</v>
      </c>
      <c r="S100" s="2"/>
      <c r="T100" s="7">
        <v>0</v>
      </c>
      <c r="U100" s="2"/>
      <c r="V100" s="6">
        <f t="shared" si="66"/>
        <v>0</v>
      </c>
      <c r="W100" s="2"/>
      <c r="X100" s="7">
        <f t="shared" si="67"/>
        <v>0</v>
      </c>
      <c r="Y100" s="2"/>
      <c r="Z100" s="6">
        <f t="shared" si="68"/>
        <v>0</v>
      </c>
    </row>
    <row r="101" spans="1:26" s="24" customFormat="1" hidden="1" outlineLevel="2" x14ac:dyDescent="0.25">
      <c r="A101" s="29"/>
      <c r="B101" s="11" t="str">
        <f>CONCATENATE("          ", "6235", " - ", "COVID-19 EXPENSES")</f>
        <v xml:space="preserve">          6235 - COVID-19 EXPENSES</v>
      </c>
      <c r="C101" s="11"/>
      <c r="D101" s="7"/>
      <c r="E101" s="2"/>
      <c r="F101" s="6">
        <f t="shared" si="61"/>
        <v>0</v>
      </c>
      <c r="G101" s="2"/>
      <c r="H101" s="7">
        <v>100</v>
      </c>
      <c r="I101" s="2"/>
      <c r="J101" s="6">
        <f t="shared" si="62"/>
        <v>2.0221220148423755E-3</v>
      </c>
      <c r="K101" s="2"/>
      <c r="L101" s="7">
        <f t="shared" si="63"/>
        <v>-100</v>
      </c>
      <c r="M101" s="2"/>
      <c r="N101" s="6">
        <f t="shared" si="64"/>
        <v>-1</v>
      </c>
      <c r="O101" s="11"/>
      <c r="P101" s="7">
        <v>265.7</v>
      </c>
      <c r="Q101" s="2"/>
      <c r="R101" s="6">
        <f t="shared" si="65"/>
        <v>1.8334621541186067E-3</v>
      </c>
      <c r="S101" s="2"/>
      <c r="T101" s="7">
        <v>600</v>
      </c>
      <c r="U101" s="2"/>
      <c r="V101" s="6">
        <f t="shared" si="66"/>
        <v>2.2210294471487536E-3</v>
      </c>
      <c r="W101" s="2"/>
      <c r="X101" s="7">
        <f t="shared" si="67"/>
        <v>-334.3</v>
      </c>
      <c r="Y101" s="2"/>
      <c r="Z101" s="6">
        <f t="shared" si="68"/>
        <v>-0.5571666666666667</v>
      </c>
    </row>
    <row r="102" spans="1:26" s="24" customFormat="1" hidden="1" outlineLevel="2" x14ac:dyDescent="0.25">
      <c r="A102" s="29"/>
      <c r="B102" s="11" t="str">
        <f>CONCATENATE("          ", "6237", " - ", "JANITORIAL SUPPLIES")</f>
        <v xml:space="preserve">          6237 - JANITORIAL SUPPLIES</v>
      </c>
      <c r="C102" s="11"/>
      <c r="D102" s="7"/>
      <c r="E102" s="2"/>
      <c r="F102" s="6">
        <f t="shared" si="61"/>
        <v>0</v>
      </c>
      <c r="G102" s="2"/>
      <c r="H102" s="7">
        <v>10</v>
      </c>
      <c r="I102" s="2"/>
      <c r="J102" s="6">
        <f t="shared" si="62"/>
        <v>2.0221220148423756E-4</v>
      </c>
      <c r="K102" s="2"/>
      <c r="L102" s="7">
        <f t="shared" si="63"/>
        <v>-10</v>
      </c>
      <c r="M102" s="2"/>
      <c r="N102" s="6">
        <f t="shared" si="64"/>
        <v>-1</v>
      </c>
      <c r="O102" s="11"/>
      <c r="P102" s="7">
        <v>191.74</v>
      </c>
      <c r="Q102" s="2"/>
      <c r="R102" s="6">
        <f t="shared" si="65"/>
        <v>1.3231013678234914E-3</v>
      </c>
      <c r="S102" s="2"/>
      <c r="T102" s="7">
        <v>110</v>
      </c>
      <c r="U102" s="2"/>
      <c r="V102" s="6">
        <f t="shared" si="66"/>
        <v>4.0718873197727144E-4</v>
      </c>
      <c r="W102" s="2"/>
      <c r="X102" s="7">
        <f t="shared" si="67"/>
        <v>81.740000000000009</v>
      </c>
      <c r="Y102" s="2"/>
      <c r="Z102" s="6">
        <f t="shared" si="68"/>
        <v>0.74309090909090914</v>
      </c>
    </row>
    <row r="103" spans="1:26" s="24" customFormat="1" hidden="1" outlineLevel="2" x14ac:dyDescent="0.25">
      <c r="A103" s="29"/>
      <c r="B103" s="11" t="str">
        <f>CONCATENATE("          ", "6241", " - ", "OFFICE EXPENSE")</f>
        <v xml:space="preserve">          6241 - OFFICE EXPENSE</v>
      </c>
      <c r="C103" s="11"/>
      <c r="D103" s="7">
        <v>10.94</v>
      </c>
      <c r="E103" s="2"/>
      <c r="F103" s="6">
        <f t="shared" si="61"/>
        <v>2.8121969144493205E-4</v>
      </c>
      <c r="G103" s="2"/>
      <c r="H103" s="7">
        <v>25</v>
      </c>
      <c r="I103" s="2"/>
      <c r="J103" s="6">
        <f t="shared" si="62"/>
        <v>5.0553050371059387E-4</v>
      </c>
      <c r="K103" s="2"/>
      <c r="L103" s="7">
        <f t="shared" si="63"/>
        <v>-14.06</v>
      </c>
      <c r="M103" s="2"/>
      <c r="N103" s="6">
        <f t="shared" si="64"/>
        <v>-0.56240000000000001</v>
      </c>
      <c r="O103" s="11"/>
      <c r="P103" s="7">
        <v>95.76</v>
      </c>
      <c r="Q103" s="2"/>
      <c r="R103" s="6">
        <f t="shared" si="65"/>
        <v>6.6079162919984119E-4</v>
      </c>
      <c r="S103" s="2"/>
      <c r="T103" s="7">
        <v>150</v>
      </c>
      <c r="U103" s="2"/>
      <c r="V103" s="6">
        <f t="shared" si="66"/>
        <v>5.552573617871884E-4</v>
      </c>
      <c r="W103" s="2"/>
      <c r="X103" s="7">
        <f t="shared" si="67"/>
        <v>-54.239999999999995</v>
      </c>
      <c r="Y103" s="2"/>
      <c r="Z103" s="6">
        <f t="shared" si="68"/>
        <v>-0.36159999999999998</v>
      </c>
    </row>
    <row r="104" spans="1:26" s="24" customFormat="1" hidden="1" outlineLevel="2" x14ac:dyDescent="0.25">
      <c r="A104" s="29"/>
      <c r="B104" s="11" t="str">
        <f>CONCATENATE("          ", "6244", " - ", "SAFETY SUPPLY EXPENSE")</f>
        <v xml:space="preserve">          6244 - SAFETY SUPPLY EXPENSE</v>
      </c>
      <c r="C104" s="11"/>
      <c r="D104" s="7"/>
      <c r="E104" s="2"/>
      <c r="F104" s="6">
        <f t="shared" si="61"/>
        <v>0</v>
      </c>
      <c r="G104" s="2"/>
      <c r="H104" s="7">
        <v>0</v>
      </c>
      <c r="I104" s="2"/>
      <c r="J104" s="6">
        <f t="shared" si="62"/>
        <v>0</v>
      </c>
      <c r="K104" s="2"/>
      <c r="L104" s="7">
        <f t="shared" si="63"/>
        <v>0</v>
      </c>
      <c r="M104" s="2"/>
      <c r="N104" s="6">
        <f t="shared" si="64"/>
        <v>0</v>
      </c>
      <c r="O104" s="11"/>
      <c r="P104" s="7"/>
      <c r="Q104" s="2"/>
      <c r="R104" s="6">
        <f t="shared" si="65"/>
        <v>0</v>
      </c>
      <c r="S104" s="2"/>
      <c r="T104" s="7">
        <v>50</v>
      </c>
      <c r="U104" s="2"/>
      <c r="V104" s="6">
        <f t="shared" si="66"/>
        <v>1.8508578726239612E-4</v>
      </c>
      <c r="W104" s="2"/>
      <c r="X104" s="7">
        <f t="shared" si="67"/>
        <v>-50</v>
      </c>
      <c r="Y104" s="2"/>
      <c r="Z104" s="6">
        <f t="shared" si="68"/>
        <v>-1</v>
      </c>
    </row>
    <row r="105" spans="1:26" s="24" customFormat="1" hidden="1" outlineLevel="2" x14ac:dyDescent="0.25">
      <c r="A105" s="29"/>
      <c r="B105" s="11" t="str">
        <f>CONCATENATE("          ", "6247", " - ", "STORE SUPPLIES")</f>
        <v xml:space="preserve">          6247 - STORE SUPPLIES</v>
      </c>
      <c r="C105" s="11"/>
      <c r="D105" s="7"/>
      <c r="E105" s="2"/>
      <c r="F105" s="6">
        <f t="shared" si="61"/>
        <v>0</v>
      </c>
      <c r="G105" s="2"/>
      <c r="H105" s="7">
        <v>25</v>
      </c>
      <c r="I105" s="2"/>
      <c r="J105" s="6">
        <f t="shared" si="62"/>
        <v>5.0553050371059387E-4</v>
      </c>
      <c r="K105" s="2"/>
      <c r="L105" s="7">
        <f t="shared" si="63"/>
        <v>-25</v>
      </c>
      <c r="M105" s="2"/>
      <c r="N105" s="6">
        <f t="shared" si="64"/>
        <v>-1</v>
      </c>
      <c r="O105" s="11"/>
      <c r="P105" s="7"/>
      <c r="Q105" s="2"/>
      <c r="R105" s="6">
        <f t="shared" si="65"/>
        <v>0</v>
      </c>
      <c r="S105" s="2"/>
      <c r="T105" s="7">
        <v>150</v>
      </c>
      <c r="U105" s="2"/>
      <c r="V105" s="6">
        <f t="shared" si="66"/>
        <v>5.552573617871884E-4</v>
      </c>
      <c r="W105" s="2"/>
      <c r="X105" s="7">
        <f t="shared" si="67"/>
        <v>-150</v>
      </c>
      <c r="Y105" s="2"/>
      <c r="Z105" s="6">
        <f t="shared" si="68"/>
        <v>-1</v>
      </c>
    </row>
    <row r="106" spans="1:26" s="28" customFormat="1" outlineLevel="1" collapsed="1" x14ac:dyDescent="0.25">
      <c r="A106" s="27"/>
      <c r="B106" s="14" t="str">
        <f>CONCATENATE("     ","Telephone/Data Lines                              ")</f>
        <v xml:space="preserve">     Telephone/Data Lines                              </v>
      </c>
      <c r="C106" s="14"/>
      <c r="D106" s="1">
        <f>SUM(OSRRefD22_17x_0)</f>
        <v>431.48</v>
      </c>
      <c r="E106" s="1"/>
      <c r="F106" s="5">
        <f t="shared" ref="F106:F108" si="69">IF(D$12=0,0,D106/D$12)</f>
        <v>1.109146914667818E-2</v>
      </c>
      <c r="G106" s="1"/>
      <c r="H106" s="1">
        <f>SUM(OSRRefH22_17x_0)</f>
        <v>230</v>
      </c>
      <c r="I106" s="1"/>
      <c r="J106" s="5">
        <f t="shared" ref="J106:J108" si="70">IF(H$12=0,0,H106/H$12)</f>
        <v>4.6508806341374635E-3</v>
      </c>
      <c r="K106" s="1"/>
      <c r="L106" s="1">
        <f t="shared" ref="L106:L108" si="71">+D106-H106</f>
        <v>201.48000000000002</v>
      </c>
      <c r="M106" s="1"/>
      <c r="N106" s="5">
        <f t="shared" ref="N106:N108" si="72">IF(H106=0,0,L106/H106)</f>
        <v>0.87600000000000011</v>
      </c>
      <c r="O106" s="14"/>
      <c r="P106" s="1">
        <f>SUM(OSRRefP22_17x_0)</f>
        <v>2065.7199999999998</v>
      </c>
      <c r="Q106" s="1"/>
      <c r="R106" s="5">
        <f t="shared" ref="R106:R108" si="73">IF(P$12=0,0,P106/P$12)</f>
        <v>1.4254495449777523E-2</v>
      </c>
      <c r="S106" s="1"/>
      <c r="T106" s="1">
        <f>SUM(OSRRefT22_17x_0)</f>
        <v>1380</v>
      </c>
      <c r="U106" s="1"/>
      <c r="V106" s="5">
        <f t="shared" ref="V106:V108" si="74">IF(T$12=0,0,T106/T$12)</f>
        <v>5.1083677284421329E-3</v>
      </c>
      <c r="W106" s="1"/>
      <c r="X106" s="1">
        <f t="shared" ref="X106:X108" si="75">+P106-T106</f>
        <v>685.7199999999998</v>
      </c>
      <c r="Y106" s="1"/>
      <c r="Z106" s="5">
        <f t="shared" ref="Z106:Z108" si="76">IF(T106=0,0,X106/T106)</f>
        <v>0.49689855072463751</v>
      </c>
    </row>
    <row r="107" spans="1:26" s="24" customFormat="1" hidden="1" outlineLevel="2" x14ac:dyDescent="0.25">
      <c r="A107" s="29"/>
      <c r="B107" s="11" t="str">
        <f>CONCATENATE("          ", "6303", " - ", "DATA PHONE LINES")</f>
        <v xml:space="preserve">          6303 - DATA PHONE LINES</v>
      </c>
      <c r="C107" s="11"/>
      <c r="D107" s="7"/>
      <c r="E107" s="2"/>
      <c r="F107" s="6">
        <f t="shared" si="69"/>
        <v>0</v>
      </c>
      <c r="G107" s="2"/>
      <c r="H107" s="7">
        <v>230</v>
      </c>
      <c r="I107" s="2"/>
      <c r="J107" s="6">
        <f t="shared" si="70"/>
        <v>4.6508806341374635E-3</v>
      </c>
      <c r="K107" s="2"/>
      <c r="L107" s="7">
        <f t="shared" si="71"/>
        <v>-230</v>
      </c>
      <c r="M107" s="2"/>
      <c r="N107" s="6">
        <f t="shared" si="72"/>
        <v>-1</v>
      </c>
      <c r="O107" s="11"/>
      <c r="P107" s="7"/>
      <c r="Q107" s="2"/>
      <c r="R107" s="6">
        <f t="shared" si="73"/>
        <v>0</v>
      </c>
      <c r="S107" s="2"/>
      <c r="T107" s="7">
        <v>1380</v>
      </c>
      <c r="U107" s="2"/>
      <c r="V107" s="6">
        <f t="shared" si="74"/>
        <v>5.1083677284421329E-3</v>
      </c>
      <c r="W107" s="2"/>
      <c r="X107" s="7">
        <f t="shared" si="75"/>
        <v>-1380</v>
      </c>
      <c r="Y107" s="2"/>
      <c r="Z107" s="6">
        <f t="shared" si="76"/>
        <v>-1</v>
      </c>
    </row>
    <row r="108" spans="1:26" s="24" customFormat="1" hidden="1" outlineLevel="2" x14ac:dyDescent="0.25">
      <c r="A108" s="29"/>
      <c r="B108" s="11" t="str">
        <f>CONCATENATE("          ", "6309", " - ", "TELEPHONE")</f>
        <v xml:space="preserve">          6309 - TELEPHONE</v>
      </c>
      <c r="C108" s="11"/>
      <c r="D108" s="7">
        <v>431.48</v>
      </c>
      <c r="E108" s="2"/>
      <c r="F108" s="6">
        <f t="shared" si="69"/>
        <v>1.109146914667818E-2</v>
      </c>
      <c r="G108" s="2"/>
      <c r="H108" s="7"/>
      <c r="I108" s="2"/>
      <c r="J108" s="6">
        <f t="shared" si="70"/>
        <v>0</v>
      </c>
      <c r="K108" s="2"/>
      <c r="L108" s="7">
        <f t="shared" si="71"/>
        <v>431.48</v>
      </c>
      <c r="M108" s="2"/>
      <c r="N108" s="6">
        <f t="shared" si="72"/>
        <v>0</v>
      </c>
      <c r="O108" s="11"/>
      <c r="P108" s="7">
        <v>2065.7199999999998</v>
      </c>
      <c r="Q108" s="2"/>
      <c r="R108" s="6">
        <f t="shared" si="73"/>
        <v>1.4254495449777523E-2</v>
      </c>
      <c r="S108" s="2"/>
      <c r="T108" s="7"/>
      <c r="U108" s="2"/>
      <c r="V108" s="6">
        <f t="shared" si="74"/>
        <v>0</v>
      </c>
      <c r="W108" s="2"/>
      <c r="X108" s="7">
        <f t="shared" si="75"/>
        <v>2065.7199999999998</v>
      </c>
      <c r="Y108" s="2"/>
      <c r="Z108" s="6">
        <f t="shared" si="76"/>
        <v>0</v>
      </c>
    </row>
    <row r="109" spans="1:26" s="28" customFormat="1" outlineLevel="1" collapsed="1" x14ac:dyDescent="0.25">
      <c r="A109" s="27"/>
      <c r="B109" s="14" t="str">
        <f>CONCATENATE("     ","Training                                          ")</f>
        <v xml:space="preserve">     Training                                          </v>
      </c>
      <c r="C109" s="14"/>
      <c r="D109" s="1">
        <f>SUM(OSRRefD22_18x_0)</f>
        <v>0</v>
      </c>
      <c r="E109" s="1"/>
      <c r="F109" s="5">
        <f t="shared" ref="F109:F113" si="77">IF(D$12=0,0,D109/D$12)</f>
        <v>0</v>
      </c>
      <c r="G109" s="1"/>
      <c r="H109" s="1">
        <f>SUM(OSRRefH22_18x_0)</f>
        <v>0</v>
      </c>
      <c r="I109" s="1"/>
      <c r="J109" s="5">
        <f t="shared" ref="J109:J113" si="78">IF(H$12=0,0,H109/H$12)</f>
        <v>0</v>
      </c>
      <c r="K109" s="1"/>
      <c r="L109" s="1">
        <f t="shared" ref="L109:L113" si="79">+D109-H109</f>
        <v>0</v>
      </c>
      <c r="M109" s="1"/>
      <c r="N109" s="5">
        <f t="shared" ref="N109:N113" si="80">IF(H109=0,0,L109/H109)</f>
        <v>0</v>
      </c>
      <c r="O109" s="14"/>
      <c r="P109" s="1">
        <f>SUM(OSRRefP22_18x_0)</f>
        <v>0</v>
      </c>
      <c r="Q109" s="1"/>
      <c r="R109" s="5">
        <f t="shared" ref="R109:R113" si="81">IF(P$12=0,0,P109/P$12)</f>
        <v>0</v>
      </c>
      <c r="S109" s="1"/>
      <c r="T109" s="1">
        <f>SUM(OSRRefT22_18x_0)</f>
        <v>0</v>
      </c>
      <c r="U109" s="1"/>
      <c r="V109" s="5">
        <f t="shared" ref="V109:V113" si="82">IF(T$12=0,0,T109/T$12)</f>
        <v>0</v>
      </c>
      <c r="W109" s="1"/>
      <c r="X109" s="1">
        <f t="shared" ref="X109:X113" si="83">+P109-T109</f>
        <v>0</v>
      </c>
      <c r="Y109" s="1"/>
      <c r="Z109" s="5">
        <f t="shared" ref="Z109:Z113" si="84">IF(T109=0,0,X109/T109)</f>
        <v>0</v>
      </c>
    </row>
    <row r="110" spans="1:26" s="24" customFormat="1" hidden="1" outlineLevel="2" x14ac:dyDescent="0.25">
      <c r="A110" s="29"/>
      <c r="B110" s="11" t="str">
        <f>CONCATENATE("          ", "6376", " - ", "TRAINING")</f>
        <v xml:space="preserve">          6376 - TRAINING</v>
      </c>
      <c r="C110" s="11"/>
      <c r="D110" s="7"/>
      <c r="E110" s="2"/>
      <c r="F110" s="6">
        <f t="shared" si="77"/>
        <v>0</v>
      </c>
      <c r="G110" s="2"/>
      <c r="H110" s="7">
        <v>0</v>
      </c>
      <c r="I110" s="2"/>
      <c r="J110" s="6">
        <f t="shared" si="78"/>
        <v>0</v>
      </c>
      <c r="K110" s="2"/>
      <c r="L110" s="7">
        <f t="shared" si="79"/>
        <v>0</v>
      </c>
      <c r="M110" s="2"/>
      <c r="N110" s="6">
        <f t="shared" si="80"/>
        <v>0</v>
      </c>
      <c r="O110" s="11"/>
      <c r="P110" s="7"/>
      <c r="Q110" s="2"/>
      <c r="R110" s="6">
        <f t="shared" si="81"/>
        <v>0</v>
      </c>
      <c r="S110" s="2"/>
      <c r="T110" s="7">
        <v>0</v>
      </c>
      <c r="U110" s="2"/>
      <c r="V110" s="6">
        <f t="shared" si="82"/>
        <v>0</v>
      </c>
      <c r="W110" s="2"/>
      <c r="X110" s="7">
        <f t="shared" si="83"/>
        <v>0</v>
      </c>
      <c r="Y110" s="2"/>
      <c r="Z110" s="6">
        <f t="shared" si="84"/>
        <v>0</v>
      </c>
    </row>
    <row r="111" spans="1:26" s="28" customFormat="1" outlineLevel="1" collapsed="1" x14ac:dyDescent="0.25">
      <c r="A111" s="27"/>
      <c r="B111" s="14" t="str">
        <f>CONCATENATE("     ","Travel                                            ")</f>
        <v xml:space="preserve">     Travel                                            </v>
      </c>
      <c r="C111" s="14"/>
      <c r="D111" s="1">
        <f>SUM(OSRRefD22_19x_0)</f>
        <v>0</v>
      </c>
      <c r="E111" s="1"/>
      <c r="F111" s="5">
        <f t="shared" si="77"/>
        <v>0</v>
      </c>
      <c r="G111" s="1"/>
      <c r="H111" s="1">
        <f>SUM(OSRRefH22_19x_0)</f>
        <v>200</v>
      </c>
      <c r="I111" s="1"/>
      <c r="J111" s="5">
        <f t="shared" si="78"/>
        <v>4.044244029684751E-3</v>
      </c>
      <c r="K111" s="1"/>
      <c r="L111" s="1">
        <f t="shared" si="79"/>
        <v>-200</v>
      </c>
      <c r="M111" s="1"/>
      <c r="N111" s="5">
        <f t="shared" si="80"/>
        <v>-1</v>
      </c>
      <c r="O111" s="14"/>
      <c r="P111" s="1">
        <f>SUM(OSRRefP22_19x_0)</f>
        <v>321.88</v>
      </c>
      <c r="Q111" s="1"/>
      <c r="R111" s="5">
        <f t="shared" si="81"/>
        <v>2.2211320969804183E-3</v>
      </c>
      <c r="S111" s="1"/>
      <c r="T111" s="1">
        <f>SUM(OSRRefT22_19x_0)</f>
        <v>325</v>
      </c>
      <c r="U111" s="1"/>
      <c r="V111" s="5">
        <f t="shared" si="82"/>
        <v>1.2030576172055748E-3</v>
      </c>
      <c r="W111" s="1"/>
      <c r="X111" s="1">
        <f t="shared" si="83"/>
        <v>-3.1200000000000045</v>
      </c>
      <c r="Y111" s="1"/>
      <c r="Z111" s="5">
        <f t="shared" si="84"/>
        <v>-9.6000000000000148E-3</v>
      </c>
    </row>
    <row r="112" spans="1:26" s="24" customFormat="1" hidden="1" outlineLevel="2" x14ac:dyDescent="0.25">
      <c r="A112" s="29"/>
      <c r="B112" s="11" t="str">
        <f>CONCATENATE("          ", "6294", " - ", "TRAVEL OPERATIONAL")</f>
        <v xml:space="preserve">          6294 - TRAVEL OPERATIONAL</v>
      </c>
      <c r="C112" s="11"/>
      <c r="D112" s="7"/>
      <c r="E112" s="2"/>
      <c r="F112" s="6">
        <f t="shared" si="77"/>
        <v>0</v>
      </c>
      <c r="G112" s="2"/>
      <c r="H112" s="7"/>
      <c r="I112" s="2"/>
      <c r="J112" s="6">
        <f t="shared" si="78"/>
        <v>0</v>
      </c>
      <c r="K112" s="2"/>
      <c r="L112" s="7">
        <f t="shared" si="79"/>
        <v>0</v>
      </c>
      <c r="M112" s="2"/>
      <c r="N112" s="6">
        <f t="shared" si="80"/>
        <v>0</v>
      </c>
      <c r="O112" s="11"/>
      <c r="P112" s="7">
        <v>321.88</v>
      </c>
      <c r="Q112" s="2"/>
      <c r="R112" s="6">
        <f t="shared" si="81"/>
        <v>2.2211320969804183E-3</v>
      </c>
      <c r="S112" s="2"/>
      <c r="T112" s="7"/>
      <c r="U112" s="2"/>
      <c r="V112" s="6">
        <f t="shared" si="82"/>
        <v>0</v>
      </c>
      <c r="W112" s="2"/>
      <c r="X112" s="7">
        <f t="shared" si="83"/>
        <v>321.88</v>
      </c>
      <c r="Y112" s="2"/>
      <c r="Z112" s="6">
        <f t="shared" si="84"/>
        <v>0</v>
      </c>
    </row>
    <row r="113" spans="1:26" s="24" customFormat="1" hidden="1" outlineLevel="2" x14ac:dyDescent="0.25">
      <c r="A113" s="29"/>
      <c r="B113" s="11" t="str">
        <f>CONCATENATE("          ", "6298", " - ", "VEHICLE MILEAGE")</f>
        <v xml:space="preserve">          6298 - VEHICLE MILEAGE</v>
      </c>
      <c r="C113" s="11"/>
      <c r="D113" s="7"/>
      <c r="E113" s="2"/>
      <c r="F113" s="6">
        <f t="shared" si="77"/>
        <v>0</v>
      </c>
      <c r="G113" s="2"/>
      <c r="H113" s="7">
        <v>200</v>
      </c>
      <c r="I113" s="2"/>
      <c r="J113" s="6">
        <f t="shared" si="78"/>
        <v>4.044244029684751E-3</v>
      </c>
      <c r="K113" s="2"/>
      <c r="L113" s="7">
        <f t="shared" si="79"/>
        <v>-200</v>
      </c>
      <c r="M113" s="2"/>
      <c r="N113" s="6">
        <f t="shared" si="80"/>
        <v>-1</v>
      </c>
      <c r="O113" s="11"/>
      <c r="P113" s="7"/>
      <c r="Q113" s="2"/>
      <c r="R113" s="6">
        <f t="shared" si="81"/>
        <v>0</v>
      </c>
      <c r="S113" s="2"/>
      <c r="T113" s="7">
        <v>325</v>
      </c>
      <c r="U113" s="2"/>
      <c r="V113" s="6">
        <f t="shared" si="82"/>
        <v>1.2030576172055748E-3</v>
      </c>
      <c r="W113" s="2"/>
      <c r="X113" s="7">
        <f t="shared" si="83"/>
        <v>-325</v>
      </c>
      <c r="Y113" s="2"/>
      <c r="Z113" s="6">
        <f t="shared" si="84"/>
        <v>-1</v>
      </c>
    </row>
    <row r="114" spans="1:26" s="28" customFormat="1" outlineLevel="1" collapsed="1" x14ac:dyDescent="0.25">
      <c r="A114" s="27"/>
      <c r="B114" s="14" t="str">
        <f>CONCATENATE("     ","Utilities                                         ")</f>
        <v xml:space="preserve">     Utilities                                         </v>
      </c>
      <c r="C114" s="14"/>
      <c r="D114" s="1">
        <f>SUM(OSRRefD22_20x_0)</f>
        <v>42.61</v>
      </c>
      <c r="E114" s="1"/>
      <c r="F114" s="5">
        <f t="shared" ref="F114:F115" si="85">IF(D$12=0,0,D114/D$12)</f>
        <v>1.0953172808472172E-3</v>
      </c>
      <c r="G114" s="1"/>
      <c r="H114" s="1">
        <f>SUM(OSRRefH22_20x_0)</f>
        <v>225</v>
      </c>
      <c r="I114" s="1"/>
      <c r="J114" s="5">
        <f t="shared" ref="J114:J115" si="86">IF(H$12=0,0,H114/H$12)</f>
        <v>4.5497745333953447E-3</v>
      </c>
      <c r="K114" s="1"/>
      <c r="L114" s="1">
        <f t="shared" ref="L114:L115" si="87">+D114-H114</f>
        <v>-182.39</v>
      </c>
      <c r="M114" s="1"/>
      <c r="N114" s="5">
        <f t="shared" ref="N114:N115" si="88">IF(H114=0,0,L114/H114)</f>
        <v>-0.81062222222222213</v>
      </c>
      <c r="O114" s="14"/>
      <c r="P114" s="1">
        <f>SUM(OSRRefP22_20x_0)</f>
        <v>144.4</v>
      </c>
      <c r="Q114" s="1"/>
      <c r="R114" s="5">
        <f t="shared" ref="R114:R115" si="89">IF(P$12=0,0,P114/P$12)</f>
        <v>9.9643182180928435E-4</v>
      </c>
      <c r="S114" s="1"/>
      <c r="T114" s="1">
        <f>SUM(OSRRefT22_20x_0)</f>
        <v>750</v>
      </c>
      <c r="U114" s="1"/>
      <c r="V114" s="5">
        <f t="shared" ref="V114:V115" si="90">IF(T$12=0,0,T114/T$12)</f>
        <v>2.7762868089359419E-3</v>
      </c>
      <c r="W114" s="1"/>
      <c r="X114" s="1">
        <f t="shared" ref="X114:X115" si="91">+P114-T114</f>
        <v>-605.6</v>
      </c>
      <c r="Y114" s="1"/>
      <c r="Z114" s="5">
        <f t="shared" ref="Z114:Z115" si="92">IF(T114=0,0,X114/T114)</f>
        <v>-0.80746666666666667</v>
      </c>
    </row>
    <row r="115" spans="1:26" s="24" customFormat="1" hidden="1" outlineLevel="2" x14ac:dyDescent="0.25">
      <c r="A115" s="29"/>
      <c r="B115" s="11" t="str">
        <f>CONCATENATE("          ", "6274", " - ", "UTILITIES")</f>
        <v xml:space="preserve">          6274 - UTILITIES</v>
      </c>
      <c r="C115" s="11"/>
      <c r="D115" s="7">
        <v>42.61</v>
      </c>
      <c r="E115" s="2"/>
      <c r="F115" s="6">
        <f t="shared" si="85"/>
        <v>1.0953172808472172E-3</v>
      </c>
      <c r="G115" s="2"/>
      <c r="H115" s="7">
        <v>225</v>
      </c>
      <c r="I115" s="2"/>
      <c r="J115" s="6">
        <f t="shared" si="86"/>
        <v>4.5497745333953447E-3</v>
      </c>
      <c r="K115" s="2"/>
      <c r="L115" s="7">
        <f t="shared" si="87"/>
        <v>-182.39</v>
      </c>
      <c r="M115" s="2"/>
      <c r="N115" s="6">
        <f t="shared" si="88"/>
        <v>-0.81062222222222213</v>
      </c>
      <c r="O115" s="11"/>
      <c r="P115" s="7">
        <v>144.4</v>
      </c>
      <c r="Q115" s="2"/>
      <c r="R115" s="6">
        <f t="shared" si="89"/>
        <v>9.9643182180928435E-4</v>
      </c>
      <c r="S115" s="2"/>
      <c r="T115" s="7">
        <v>750</v>
      </c>
      <c r="U115" s="2"/>
      <c r="V115" s="6">
        <f t="shared" si="90"/>
        <v>2.7762868089359419E-3</v>
      </c>
      <c r="W115" s="2"/>
      <c r="X115" s="7">
        <f t="shared" si="91"/>
        <v>-605.6</v>
      </c>
      <c r="Y115" s="2"/>
      <c r="Z115" s="6">
        <f t="shared" si="92"/>
        <v>-0.80746666666666667</v>
      </c>
    </row>
    <row r="116" spans="1:26" s="53" customFormat="1" x14ac:dyDescent="0.25">
      <c r="A116" s="36"/>
      <c r="B116" s="36"/>
      <c r="C116" s="36"/>
      <c r="D116" s="1"/>
      <c r="E116" s="1"/>
      <c r="F116" s="5"/>
      <c r="G116" s="1"/>
      <c r="H116" s="1"/>
      <c r="I116" s="1"/>
      <c r="J116" s="5"/>
      <c r="K116" s="1"/>
      <c r="L116" s="1"/>
      <c r="M116" s="1"/>
      <c r="N116" s="5"/>
      <c r="O116" s="36"/>
      <c r="P116" s="1"/>
      <c r="Q116" s="1"/>
      <c r="R116" s="5"/>
      <c r="S116" s="1"/>
      <c r="T116" s="1"/>
      <c r="U116" s="1"/>
      <c r="V116" s="5"/>
      <c r="W116" s="1"/>
      <c r="X116" s="1"/>
      <c r="Y116" s="1"/>
      <c r="Z116" s="5"/>
    </row>
    <row r="117" spans="1:26" s="23" customFormat="1" x14ac:dyDescent="0.25">
      <c r="A117" s="10"/>
      <c r="B117" s="26" t="s">
        <v>0</v>
      </c>
      <c r="C117" s="10"/>
      <c r="D117" s="4">
        <f>SUM(0)</f>
        <v>0</v>
      </c>
      <c r="E117" s="4"/>
      <c r="F117" s="12">
        <f>IF(D$12=0,0,D117/D$12)</f>
        <v>0</v>
      </c>
      <c r="G117" s="4"/>
      <c r="H117" s="4">
        <f>SUM(0)</f>
        <v>0</v>
      </c>
      <c r="I117" s="4"/>
      <c r="J117" s="12">
        <f>IF(H$12=0,0,H117/H$12)</f>
        <v>0</v>
      </c>
      <c r="K117" s="4"/>
      <c r="L117" s="4">
        <f>+D117-H117</f>
        <v>0</v>
      </c>
      <c r="M117" s="4"/>
      <c r="N117" s="12">
        <f>IF(H117=0,0,L117/H117)</f>
        <v>0</v>
      </c>
      <c r="O117" s="10"/>
      <c r="P117" s="4">
        <f>SUM(0)</f>
        <v>0</v>
      </c>
      <c r="Q117" s="4"/>
      <c r="R117" s="12">
        <f>IF(P$12=0,0,P117/P$12)</f>
        <v>0</v>
      </c>
      <c r="S117" s="4"/>
      <c r="T117" s="4">
        <f>SUM(0)</f>
        <v>0</v>
      </c>
      <c r="U117" s="4"/>
      <c r="V117" s="12">
        <f>IF(T$12=0,0,T117/T$12)</f>
        <v>0</v>
      </c>
      <c r="W117" s="4"/>
      <c r="X117" s="4">
        <f>+P117-T117</f>
        <v>0</v>
      </c>
      <c r="Y117" s="4"/>
      <c r="Z117" s="12">
        <f>IF(T117=0,0,X117/T117)</f>
        <v>0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10"/>
      <c r="B119" s="25" t="s">
        <v>3</v>
      </c>
      <c r="C119" s="25"/>
      <c r="D119" s="21">
        <f>+D42-D44+D117</f>
        <v>-4619.6600000000144</v>
      </c>
      <c r="E119" s="13"/>
      <c r="F119" s="19">
        <f>IF(D$12=0,0,D119/D$12)</f>
        <v>-0.11875131259419551</v>
      </c>
      <c r="G119" s="13"/>
      <c r="H119" s="21">
        <f>+H42-H44+H117</f>
        <v>2241.4047461538466</v>
      </c>
      <c r="I119" s="13"/>
      <c r="J119" s="19">
        <f>IF(H$12=0,0,H119/H$12)</f>
        <v>4.5323938813698797E-2</v>
      </c>
      <c r="K119" s="16"/>
      <c r="L119" s="21">
        <f>+D119-H119</f>
        <v>-6861.0647461538611</v>
      </c>
      <c r="M119" s="16"/>
      <c r="N119" s="19">
        <f>IF(H119=0,0,L119/H119)</f>
        <v>-3.0610556874777526</v>
      </c>
      <c r="O119" s="26"/>
      <c r="P119" s="21">
        <f>+P42-P44+P117</f>
        <v>-48644.330000000016</v>
      </c>
      <c r="Q119" s="13"/>
      <c r="R119" s="19">
        <f>IF(P$12=0,0,P119/P$12)</f>
        <v>-0.33567007176310271</v>
      </c>
      <c r="S119" s="13"/>
      <c r="T119" s="21">
        <f>+T42-T44+T117</f>
        <v>631.67370000001392</v>
      </c>
      <c r="U119" s="13"/>
      <c r="V119" s="19">
        <f>IF(T$12=0,0,T119/T$12)</f>
        <v>2.338276481149064E-3</v>
      </c>
      <c r="W119" s="16"/>
      <c r="X119" s="21">
        <f>+P119-T119</f>
        <v>-49276.00370000003</v>
      </c>
      <c r="Y119" s="16"/>
      <c r="Z119" s="19">
        <f>IF(T119=0,0,X119/T119)</f>
        <v>-78.008635946057183</v>
      </c>
    </row>
    <row r="120" spans="1:26" x14ac:dyDescent="0.25">
      <c r="A120" s="9"/>
      <c r="B120" s="10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52"/>
      <c r="B121" s="10" t="s">
        <v>14</v>
      </c>
      <c r="C121" s="10"/>
      <c r="D121" s="4">
        <v>9966.92</v>
      </c>
      <c r="E121" s="4"/>
      <c r="F121" s="12">
        <f>IF(D$12=0,0,D121/D$12)</f>
        <v>0.25620604817699472</v>
      </c>
      <c r="G121" s="4"/>
      <c r="H121" s="4">
        <v>11884</v>
      </c>
      <c r="I121" s="4"/>
      <c r="J121" s="12">
        <f>IF(H$12=0,0,H121/H$12)</f>
        <v>0.2403089802438679</v>
      </c>
      <c r="K121" s="4"/>
      <c r="L121" s="4">
        <f>+D121-H121</f>
        <v>-1917.08</v>
      </c>
      <c r="M121" s="4"/>
      <c r="N121" s="12">
        <f>IF(H121=0,0,L121/H121)</f>
        <v>-0.16131605520026926</v>
      </c>
      <c r="O121" s="10"/>
      <c r="P121" s="4">
        <v>26812.73</v>
      </c>
      <c r="Q121" s="4"/>
      <c r="R121" s="12">
        <f>IF(P$12=0,0,P121/P$12)</f>
        <v>0.18502117314113883</v>
      </c>
      <c r="S121" s="4"/>
      <c r="T121" s="4">
        <v>51245</v>
      </c>
      <c r="U121" s="4"/>
      <c r="V121" s="12">
        <f>IF(T$12=0,0,T121/T$12)</f>
        <v>0.18969442336522979</v>
      </c>
      <c r="W121" s="4"/>
      <c r="X121" s="4">
        <f>+P121-T121</f>
        <v>-24432.27</v>
      </c>
      <c r="Y121" s="4"/>
      <c r="Z121" s="12">
        <f>IF(T121=0,0,X121/T121)</f>
        <v>-0.47677373402283152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.75" thickBot="1" x14ac:dyDescent="0.3">
      <c r="A123" s="10"/>
      <c r="B123" s="25" t="s">
        <v>4</v>
      </c>
      <c r="C123" s="25"/>
      <c r="D123" s="34">
        <f>+D119-D121</f>
        <v>-14586.580000000014</v>
      </c>
      <c r="E123" s="13"/>
      <c r="F123" s="31">
        <f>IF(D$12=0,0,D123/D$12)</f>
        <v>-0.37495736077119024</v>
      </c>
      <c r="G123" s="13"/>
      <c r="H123" s="34">
        <f>+H119-H121</f>
        <v>-9642.5952538461534</v>
      </c>
      <c r="I123" s="13"/>
      <c r="J123" s="31">
        <f>IF(H$12=0,0,H123/H$12)</f>
        <v>-0.19498504143016912</v>
      </c>
      <c r="K123" s="16"/>
      <c r="L123" s="34">
        <f>D123-H123</f>
        <v>-4943.9847461538611</v>
      </c>
      <c r="M123" s="16"/>
      <c r="N123" s="31">
        <f>IF(H123=0,0,L123/H123)</f>
        <v>0.51272345421548704</v>
      </c>
      <c r="O123" s="26"/>
      <c r="P123" s="34">
        <f>+P119-P121</f>
        <v>-75457.060000000012</v>
      </c>
      <c r="Q123" s="13"/>
      <c r="R123" s="31">
        <f>IF(P$12=0,0,P123/P$12)</f>
        <v>-0.52069124490424157</v>
      </c>
      <c r="S123" s="13"/>
      <c r="T123" s="34">
        <f>+T119-T121</f>
        <v>-50613.326299999986</v>
      </c>
      <c r="U123" s="13"/>
      <c r="V123" s="31">
        <f>IF(T$12=0,0,T123/T$12)</f>
        <v>-0.18735614688408073</v>
      </c>
      <c r="W123" s="16"/>
      <c r="X123" s="34">
        <f>P123-T123</f>
        <v>-24843.733700000026</v>
      </c>
      <c r="Y123" s="16"/>
      <c r="Z123" s="31">
        <f>IF(T123=0,0,X123/T123)</f>
        <v>0.49085360548611151</v>
      </c>
    </row>
    <row r="124" spans="1:26" ht="15.75" thickTop="1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5" t="s">
        <v>5</v>
      </c>
      <c r="C126" s="25"/>
      <c r="D126" s="33">
        <f>SUM(D123:D125)</f>
        <v>-14586.580000000014</v>
      </c>
      <c r="E126" s="13"/>
      <c r="F126" s="32">
        <f>IF(D$12=0,0,D126/D$12)</f>
        <v>-0.37495736077119024</v>
      </c>
      <c r="G126" s="13"/>
      <c r="H126" s="33">
        <f>SUM(H123:H125)</f>
        <v>-9642.5952538461534</v>
      </c>
      <c r="I126" s="13"/>
      <c r="J126" s="32">
        <f>IF(H$12=0,0,H126/H$12)</f>
        <v>-0.19498504143016912</v>
      </c>
      <c r="K126" s="16"/>
      <c r="L126" s="33">
        <f>+D126-H126</f>
        <v>-4943.9847461538611</v>
      </c>
      <c r="M126" s="16"/>
      <c r="N126" s="32">
        <f>IF(H126=0,0,L126/H126)</f>
        <v>0.51272345421548704</v>
      </c>
      <c r="O126" s="26"/>
      <c r="P126" s="33">
        <f>SUM(P123:P125)</f>
        <v>-75457.060000000012</v>
      </c>
      <c r="Q126" s="13"/>
      <c r="R126" s="32">
        <f>IF(P$12=0,0,P126/P$12)</f>
        <v>-0.52069124490424157</v>
      </c>
      <c r="S126" s="13"/>
      <c r="T126" s="33">
        <f>SUM(T123:T125)</f>
        <v>-50613.326299999986</v>
      </c>
      <c r="U126" s="13"/>
      <c r="V126" s="32">
        <f>IF(T$12=0,0,T126/T$12)</f>
        <v>-0.18735614688408073</v>
      </c>
      <c r="W126" s="16"/>
      <c r="X126" s="33">
        <f>+P126-T126</f>
        <v>-24843.733700000026</v>
      </c>
      <c r="Y126" s="16"/>
      <c r="Z126" s="32">
        <f>IF(T126=0,0,X126/T126)</f>
        <v>0.49085360548611151</v>
      </c>
    </row>
    <row r="127" spans="1:26" ht="15.75" thickTop="1" x14ac:dyDescent="0.25">
      <c r="A127" s="9"/>
      <c r="C127" s="9"/>
      <c r="D127" s="18"/>
      <c r="E127" s="18"/>
      <c r="G127" s="18"/>
      <c r="H127" s="18"/>
      <c r="I127" s="18"/>
      <c r="J127" s="43"/>
      <c r="K127" s="18"/>
      <c r="L127" s="18"/>
      <c r="M127" s="18"/>
      <c r="P127" s="18"/>
      <c r="Q127" s="18"/>
      <c r="R127" s="43"/>
      <c r="S127" s="18"/>
      <c r="T127" s="18"/>
      <c r="U127" s="18"/>
      <c r="V127" s="43"/>
      <c r="W127" s="18"/>
      <c r="X127" s="18"/>
    </row>
    <row r="128" spans="1:26" x14ac:dyDescent="0.25">
      <c r="A128" s="9"/>
      <c r="B128" s="63">
        <v>44209.51865204861</v>
      </c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60" t="s">
        <v>314</v>
      </c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58"/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299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6"/>
      <c r="L16" s="21">
        <f>+D16-H16</f>
        <v>0</v>
      </c>
      <c r="M16" s="16"/>
      <c r="N16" s="19">
        <f>IF(H16=0,0,L16/H16)</f>
        <v>0</v>
      </c>
      <c r="O16" s="26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6"/>
      <c r="X16" s="21">
        <f>+P16-T16</f>
        <v>0</v>
      </c>
      <c r="Y16" s="16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SUM(0)</f>
        <v>0</v>
      </c>
      <c r="E18" s="20"/>
      <c r="F18" s="30">
        <f>IF(D$12=0,0,D18/D$12)</f>
        <v>0</v>
      </c>
      <c r="G18" s="20"/>
      <c r="H18" s="20">
        <f>SUM(0)</f>
        <v>0</v>
      </c>
      <c r="I18" s="20"/>
      <c r="J18" s="30">
        <f>IF(H$12=0,0,H18/H$12)</f>
        <v>0</v>
      </c>
      <c r="K18" s="4"/>
      <c r="L18" s="20">
        <f>+D18-H18</f>
        <v>0</v>
      </c>
      <c r="M18" s="4"/>
      <c r="N18" s="30">
        <f>IF(H18=0,0,L18/H18)</f>
        <v>0</v>
      </c>
      <c r="O18" s="10"/>
      <c r="P18" s="20">
        <f>SUM(0)</f>
        <v>0</v>
      </c>
      <c r="Q18" s="20"/>
      <c r="R18" s="30">
        <f>IF(P$12=0,0,P18/P$12)</f>
        <v>0</v>
      </c>
      <c r="S18" s="20"/>
      <c r="T18" s="20">
        <f>SUM(0)</f>
        <v>0</v>
      </c>
      <c r="U18" s="20"/>
      <c r="V18" s="30">
        <f>IF(T$12=0,0,T18/T$12)</f>
        <v>0</v>
      </c>
      <c r="W18" s="4"/>
      <c r="X18" s="20">
        <f>+P18-T18</f>
        <v>0</v>
      </c>
      <c r="Y18" s="4"/>
      <c r="Z18" s="30">
        <f>IF(T18=0,0,X18/T18)</f>
        <v>0</v>
      </c>
    </row>
    <row r="19" spans="1:26" s="5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3</v>
      </c>
      <c r="C22" s="25"/>
      <c r="D22" s="21">
        <f>+D16-D18+D20</f>
        <v>0</v>
      </c>
      <c r="E22" s="13"/>
      <c r="F22" s="19">
        <f>IF(D$12=0,0,D22/D$12)</f>
        <v>0</v>
      </c>
      <c r="G22" s="13"/>
      <c r="H22" s="21">
        <f>+H16-H18+H20</f>
        <v>0</v>
      </c>
      <c r="I22" s="13"/>
      <c r="J22" s="19">
        <f>IF(H$12=0,0,H22/H$12)</f>
        <v>0</v>
      </c>
      <c r="K22" s="16"/>
      <c r="L22" s="21">
        <f>+D22-H22</f>
        <v>0</v>
      </c>
      <c r="M22" s="16"/>
      <c r="N22" s="19">
        <f>IF(H22=0,0,L22/H22)</f>
        <v>0</v>
      </c>
      <c r="O22" s="26"/>
      <c r="P22" s="21">
        <f>+P16-P18+P20</f>
        <v>0</v>
      </c>
      <c r="Q22" s="13"/>
      <c r="R22" s="19">
        <f>IF(P$12=0,0,P22/P$12)</f>
        <v>0</v>
      </c>
      <c r="S22" s="13"/>
      <c r="T22" s="21">
        <f>+T16-T18+T20</f>
        <v>0</v>
      </c>
      <c r="U22" s="13"/>
      <c r="V22" s="19">
        <f>IF(T$12=0,0,T22/T$12)</f>
        <v>0</v>
      </c>
      <c r="W22" s="16"/>
      <c r="X22" s="21">
        <f>+P22-T22</f>
        <v>0</v>
      </c>
      <c r="Y22" s="16"/>
      <c r="Z22" s="19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5" t="s">
        <v>4</v>
      </c>
      <c r="C26" s="25"/>
      <c r="D26" s="34">
        <f>+D22-D24</f>
        <v>0</v>
      </c>
      <c r="E26" s="13"/>
      <c r="F26" s="31">
        <f>IF(D$12=0,0,D26/D$12)</f>
        <v>0</v>
      </c>
      <c r="G26" s="13"/>
      <c r="H26" s="34">
        <f>+H22-H24</f>
        <v>0</v>
      </c>
      <c r="I26" s="13"/>
      <c r="J26" s="31">
        <f>IF(H$12=0,0,H26/H$12)</f>
        <v>0</v>
      </c>
      <c r="K26" s="16"/>
      <c r="L26" s="34">
        <f>D26-H26</f>
        <v>0</v>
      </c>
      <c r="M26" s="16"/>
      <c r="N26" s="31">
        <f>IF(H26=0,0,L26/H26)</f>
        <v>0</v>
      </c>
      <c r="O26" s="26"/>
      <c r="P26" s="34">
        <f>+P22-P24</f>
        <v>0</v>
      </c>
      <c r="Q26" s="13"/>
      <c r="R26" s="31">
        <f>IF(P$12=0,0,P26/P$12)</f>
        <v>0</v>
      </c>
      <c r="S26" s="13"/>
      <c r="T26" s="34">
        <f>+T22-T24</f>
        <v>0</v>
      </c>
      <c r="U26" s="13"/>
      <c r="V26" s="31">
        <f>IF(T$12=0,0,T26/T$12)</f>
        <v>0</v>
      </c>
      <c r="W26" s="16"/>
      <c r="X26" s="34">
        <f>P26-T26</f>
        <v>0</v>
      </c>
      <c r="Y26" s="16"/>
      <c r="Z26" s="31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--344647.12</f>
        <v>344647.12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329647.12</v>
      </c>
      <c r="M28" s="4"/>
      <c r="N28" s="12">
        <f t="shared" ref="N28:N29" si="4">IF(H28=0,0,L28/H28)</f>
        <v>21.976474666666665</v>
      </c>
      <c r="O28" s="10"/>
      <c r="P28" s="4">
        <f>--1994053.3</f>
        <v>1994053.3</v>
      </c>
      <c r="Q28" s="4"/>
      <c r="R28" s="12">
        <f t="shared" ref="R28:R29" si="5">IF(P$12=0,0,P28/P$12)</f>
        <v>0</v>
      </c>
      <c r="S28" s="4"/>
      <c r="T28" s="4">
        <f t="shared" ref="T28:T29" si="6">--90000</f>
        <v>90000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1904053.3</v>
      </c>
      <c r="Y28" s="4"/>
      <c r="Z28" s="12">
        <f t="shared" ref="Z28:Z29" si="9">IF(T28=0,0,X28/T28)</f>
        <v>21.156147777777779</v>
      </c>
    </row>
    <row r="29" spans="1:26" s="23" customFormat="1" x14ac:dyDescent="0.25">
      <c r="A29" s="52"/>
      <c r="B29" s="10" t="s">
        <v>1</v>
      </c>
      <c r="C29" s="10"/>
      <c r="D29" s="4">
        <f>--50933.37</f>
        <v>50933.37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35933.370000000003</v>
      </c>
      <c r="M29" s="4"/>
      <c r="N29" s="12">
        <f t="shared" si="4"/>
        <v>2.3955580000000003</v>
      </c>
      <c r="O29" s="10"/>
      <c r="P29" s="4">
        <f>--44510.83</f>
        <v>44510.83</v>
      </c>
      <c r="Q29" s="4"/>
      <c r="R29" s="12">
        <f t="shared" si="5"/>
        <v>0</v>
      </c>
      <c r="S29" s="4"/>
      <c r="T29" s="4">
        <f t="shared" si="6"/>
        <v>90000</v>
      </c>
      <c r="U29" s="4"/>
      <c r="V29" s="12">
        <f t="shared" si="7"/>
        <v>0</v>
      </c>
      <c r="W29" s="4"/>
      <c r="X29" s="4">
        <f t="shared" si="8"/>
        <v>-45489.17</v>
      </c>
      <c r="Y29" s="4"/>
      <c r="Z29" s="12">
        <f t="shared" si="9"/>
        <v>-0.50543522222222226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5</v>
      </c>
      <c r="C31" s="25"/>
      <c r="D31" s="33">
        <f>SUM(D26:D30)</f>
        <v>395580.49</v>
      </c>
      <c r="E31" s="13"/>
      <c r="F31" s="32">
        <f>IF(D$12=0,0,D31/D$12)</f>
        <v>0</v>
      </c>
      <c r="G31" s="13"/>
      <c r="H31" s="33">
        <f>SUM(H26:H30)</f>
        <v>30000</v>
      </c>
      <c r="I31" s="13"/>
      <c r="J31" s="32">
        <f>IF(H$12=0,0,H31/H$12)</f>
        <v>0</v>
      </c>
      <c r="K31" s="16"/>
      <c r="L31" s="33">
        <f>+D31-H31</f>
        <v>365580.49</v>
      </c>
      <c r="M31" s="16"/>
      <c r="N31" s="32">
        <f>IF(H31=0,0,L31/H31)</f>
        <v>12.186016333333333</v>
      </c>
      <c r="O31" s="26"/>
      <c r="P31" s="33">
        <f>SUM(P26:P30)</f>
        <v>2038564.1300000001</v>
      </c>
      <c r="Q31" s="13"/>
      <c r="R31" s="32">
        <f>IF(P$12=0,0,P31/P$12)</f>
        <v>0</v>
      </c>
      <c r="S31" s="13"/>
      <c r="T31" s="33">
        <f>SUM(T26:T30)</f>
        <v>180000</v>
      </c>
      <c r="U31" s="13"/>
      <c r="V31" s="32">
        <f>IF(T$12=0,0,T31/T$12)</f>
        <v>0</v>
      </c>
      <c r="W31" s="16"/>
      <c r="X31" s="33">
        <f>+P31-T31</f>
        <v>1858564.1300000001</v>
      </c>
      <c r="Y31" s="16"/>
      <c r="Z31" s="32">
        <f>IF(T31=0,0,X31/T31)</f>
        <v>10.325356277777779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63">
        <v>44209.518026655096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60" t="s">
        <v>314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8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9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305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1256.8100000000002</v>
      </c>
      <c r="E12" s="4"/>
      <c r="F12" s="12"/>
      <c r="G12" s="4"/>
      <c r="H12" s="4">
        <f>SUM(OSRRefH13x_0)</f>
        <v>14800</v>
      </c>
      <c r="I12" s="4"/>
      <c r="J12" s="12"/>
      <c r="K12" s="4"/>
      <c r="L12" s="4">
        <f t="shared" ref="L12:L22" si="0">+D12-H12</f>
        <v>-13543.19</v>
      </c>
      <c r="M12" s="4"/>
      <c r="N12" s="12">
        <f t="shared" ref="N12:N22" si="1">IF(H12=0,0,L12/H12)</f>
        <v>-0.91508040540540547</v>
      </c>
      <c r="O12" s="10"/>
      <c r="P12" s="4">
        <f>SUM(OSRRefP13x_0)</f>
        <v>74829.719999999987</v>
      </c>
      <c r="Q12" s="4"/>
      <c r="R12" s="12"/>
      <c r="S12" s="4"/>
      <c r="T12" s="4">
        <f>SUM(OSRRefT13x_0)</f>
        <v>133213</v>
      </c>
      <c r="U12" s="4"/>
      <c r="V12" s="12"/>
      <c r="W12" s="4"/>
      <c r="X12" s="4">
        <f t="shared" ref="X12:X22" si="2">+P12-T12</f>
        <v>-58383.280000000013</v>
      </c>
      <c r="Y12" s="4"/>
      <c r="Z12" s="12">
        <f t="shared" ref="Z12:Z22" si="3">IF(T12=0,0,X12/T12)</f>
        <v>-0.43827013880026733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11800</v>
      </c>
      <c r="I13" s="2"/>
      <c r="J13" s="22"/>
      <c r="K13" s="2"/>
      <c r="L13" s="2">
        <f t="shared" si="0"/>
        <v>-11800</v>
      </c>
      <c r="M13" s="2"/>
      <c r="N13" s="22">
        <f t="shared" si="1"/>
        <v>-1</v>
      </c>
      <c r="O13" s="11"/>
      <c r="P13" s="2">
        <f>-8.65</f>
        <v>-8.65</v>
      </c>
      <c r="Q13" s="2"/>
      <c r="R13" s="22"/>
      <c r="S13" s="2"/>
      <c r="T13" s="2">
        <v>118713</v>
      </c>
      <c r="U13" s="2"/>
      <c r="V13" s="22"/>
      <c r="W13" s="2"/>
      <c r="X13" s="2">
        <f t="shared" si="2"/>
        <v>-118721.65</v>
      </c>
      <c r="Y13" s="2"/>
      <c r="Z13" s="22">
        <f t="shared" si="3"/>
        <v>-1.0000728648084034</v>
      </c>
    </row>
    <row r="14" spans="1:26" s="24" customFormat="1" hidden="1" outlineLevel="1" x14ac:dyDescent="0.25">
      <c r="A14" s="51"/>
      <c r="B14" s="11" t="str">
        <f>CONCATENATE("          ", "4041", " - ", "TAXABLE SALES-LOGO GIFTS")</f>
        <v xml:space="preserve">          4041 - TAXABLE SALES-LOGO GIFTS</v>
      </c>
      <c r="C14" s="11"/>
      <c r="D14" s="2">
        <f>--251.9</f>
        <v>251.9</v>
      </c>
      <c r="E14" s="2"/>
      <c r="F14" s="22"/>
      <c r="G14" s="2"/>
      <c r="H14" s="2"/>
      <c r="I14" s="2"/>
      <c r="J14" s="22"/>
      <c r="K14" s="2"/>
      <c r="L14" s="2">
        <f t="shared" si="0"/>
        <v>251.9</v>
      </c>
      <c r="M14" s="2"/>
      <c r="N14" s="22">
        <f t="shared" si="1"/>
        <v>0</v>
      </c>
      <c r="O14" s="11"/>
      <c r="P14" s="2">
        <f>--60944.27</f>
        <v>60944.27</v>
      </c>
      <c r="Q14" s="2"/>
      <c r="R14" s="22"/>
      <c r="S14" s="2"/>
      <c r="T14" s="2"/>
      <c r="U14" s="2"/>
      <c r="V14" s="22"/>
      <c r="W14" s="2"/>
      <c r="X14" s="2">
        <f t="shared" si="2"/>
        <v>60944.27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--964.03</f>
        <v>964.03</v>
      </c>
      <c r="E15" s="2"/>
      <c r="F15" s="22"/>
      <c r="G15" s="2"/>
      <c r="H15" s="2"/>
      <c r="I15" s="2"/>
      <c r="J15" s="22"/>
      <c r="K15" s="2"/>
      <c r="L15" s="2">
        <f t="shared" si="0"/>
        <v>964.03</v>
      </c>
      <c r="M15" s="2"/>
      <c r="N15" s="22">
        <f t="shared" si="1"/>
        <v>0</v>
      </c>
      <c r="O15" s="11"/>
      <c r="P15" s="2">
        <f>--12853.85</f>
        <v>12853.85</v>
      </c>
      <c r="Q15" s="2"/>
      <c r="R15" s="22"/>
      <c r="S15" s="2"/>
      <c r="T15" s="2"/>
      <c r="U15" s="2"/>
      <c r="V15" s="22"/>
      <c r="W15" s="2"/>
      <c r="X15" s="2">
        <f t="shared" si="2"/>
        <v>12853.85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"4043", " - ", "TAXABLE SALES-CARDS")</f>
        <v xml:space="preserve">          4043 - TAXABLE SALES-CARDS</v>
      </c>
      <c r="C16" s="11"/>
      <c r="D16" s="2">
        <f>--7.98</f>
        <v>7.98</v>
      </c>
      <c r="E16" s="2"/>
      <c r="F16" s="22"/>
      <c r="G16" s="2"/>
      <c r="H16" s="2"/>
      <c r="I16" s="2"/>
      <c r="J16" s="22"/>
      <c r="K16" s="2"/>
      <c r="L16" s="2">
        <f t="shared" si="0"/>
        <v>7.98</v>
      </c>
      <c r="M16" s="2"/>
      <c r="N16" s="22">
        <f t="shared" si="1"/>
        <v>0</v>
      </c>
      <c r="O16" s="11"/>
      <c r="P16" s="2">
        <f>--15.96</f>
        <v>15.96</v>
      </c>
      <c r="Q16" s="2"/>
      <c r="R16" s="22"/>
      <c r="S16" s="2"/>
      <c r="T16" s="2"/>
      <c r="U16" s="2"/>
      <c r="V16" s="22"/>
      <c r="W16" s="2"/>
      <c r="X16" s="2">
        <f t="shared" si="2"/>
        <v>15.96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>0</f>
        <v>0</v>
      </c>
      <c r="E17" s="2"/>
      <c r="F17" s="22"/>
      <c r="G17" s="2"/>
      <c r="H17" s="2">
        <v>3000</v>
      </c>
      <c r="I17" s="2"/>
      <c r="J17" s="22"/>
      <c r="K17" s="2"/>
      <c r="L17" s="2">
        <f t="shared" si="0"/>
        <v>-3000</v>
      </c>
      <c r="M17" s="2"/>
      <c r="N17" s="22">
        <f t="shared" si="1"/>
        <v>-1</v>
      </c>
      <c r="O17" s="11"/>
      <c r="P17" s="2">
        <f>0</f>
        <v>0</v>
      </c>
      <c r="Q17" s="2"/>
      <c r="R17" s="22"/>
      <c r="S17" s="2"/>
      <c r="T17" s="2">
        <v>14500</v>
      </c>
      <c r="U17" s="2"/>
      <c r="V17" s="22"/>
      <c r="W17" s="2"/>
      <c r="X17" s="2">
        <f t="shared" si="2"/>
        <v>-14500</v>
      </c>
      <c r="Y17" s="2"/>
      <c r="Z17" s="22">
        <f t="shared" si="3"/>
        <v>-1</v>
      </c>
    </row>
    <row r="18" spans="1:26" s="24" customFormat="1" hidden="1" outlineLevel="1" x14ac:dyDescent="0.25">
      <c r="A18" s="51"/>
      <c r="B18" s="11" t="str">
        <f>CONCATENATE("          ", "4141", " - ", "NON-TAXABLE SALES-LOGO GIFTS")</f>
        <v xml:space="preserve">          4141 - NON-TAXABLE SALES-LOGO GIFTS</v>
      </c>
      <c r="C18" s="11"/>
      <c r="D18" s="2">
        <f>--8.15</f>
        <v>8.15</v>
      </c>
      <c r="E18" s="2"/>
      <c r="F18" s="22"/>
      <c r="G18" s="2"/>
      <c r="H18" s="2"/>
      <c r="I18" s="2"/>
      <c r="J18" s="22"/>
      <c r="K18" s="2"/>
      <c r="L18" s="2">
        <f t="shared" si="0"/>
        <v>8.15</v>
      </c>
      <c r="M18" s="2"/>
      <c r="N18" s="22">
        <f t="shared" si="1"/>
        <v>0</v>
      </c>
      <c r="O18" s="11"/>
      <c r="P18" s="2">
        <f>--519.65</f>
        <v>519.65</v>
      </c>
      <c r="Q18" s="2"/>
      <c r="R18" s="22"/>
      <c r="S18" s="2"/>
      <c r="T18" s="2"/>
      <c r="U18" s="2"/>
      <c r="V18" s="22"/>
      <c r="W18" s="2"/>
      <c r="X18" s="2">
        <f t="shared" si="2"/>
        <v>519.65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0</f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--1110.59</f>
        <v>1110.5899999999999</v>
      </c>
      <c r="Q19" s="2"/>
      <c r="R19" s="22"/>
      <c r="S19" s="2"/>
      <c r="T19" s="2"/>
      <c r="U19" s="2"/>
      <c r="V19" s="22"/>
      <c r="W19" s="2"/>
      <c r="X19" s="2">
        <f t="shared" si="2"/>
        <v>1110.5899999999999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--19.9</f>
        <v>19.899999999999999</v>
      </c>
      <c r="E20" s="2"/>
      <c r="F20" s="22"/>
      <c r="G20" s="2"/>
      <c r="H20" s="2"/>
      <c r="I20" s="2"/>
      <c r="J20" s="22"/>
      <c r="K20" s="2"/>
      <c r="L20" s="2">
        <f t="shared" si="0"/>
        <v>19.899999999999999</v>
      </c>
      <c r="M20" s="2"/>
      <c r="N20" s="22">
        <f t="shared" si="1"/>
        <v>0</v>
      </c>
      <c r="O20" s="11"/>
      <c r="P20" s="2">
        <f>--127.9</f>
        <v>127.9</v>
      </c>
      <c r="Q20" s="2"/>
      <c r="R20" s="22"/>
      <c r="S20" s="2"/>
      <c r="T20" s="2"/>
      <c r="U20" s="2"/>
      <c r="V20" s="22"/>
      <c r="W20" s="2"/>
      <c r="X20" s="2">
        <f t="shared" si="2"/>
        <v>127.9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"4147", " - ", "NON-TAXABLE SALES-MISC")</f>
        <v xml:space="preserve">          4147 - NON-TAXABLE SALES-MISC</v>
      </c>
      <c r="C21" s="11"/>
      <c r="D21" s="2">
        <f>--13</f>
        <v>13</v>
      </c>
      <c r="E21" s="2"/>
      <c r="F21" s="22"/>
      <c r="G21" s="2"/>
      <c r="H21" s="2"/>
      <c r="I21" s="2"/>
      <c r="J21" s="22"/>
      <c r="K21" s="2"/>
      <c r="L21" s="2">
        <f t="shared" si="0"/>
        <v>13</v>
      </c>
      <c r="M21" s="2"/>
      <c r="N21" s="22">
        <f t="shared" si="1"/>
        <v>0</v>
      </c>
      <c r="O21" s="11"/>
      <c r="P21" s="2">
        <f>--104.5</f>
        <v>104.5</v>
      </c>
      <c r="Q21" s="2"/>
      <c r="R21" s="22"/>
      <c r="S21" s="2"/>
      <c r="T21" s="2"/>
      <c r="U21" s="2"/>
      <c r="V21" s="22"/>
      <c r="W21" s="2"/>
      <c r="X21" s="2">
        <f t="shared" si="2"/>
        <v>104.5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>-8.15</f>
        <v>-8.15</v>
      </c>
      <c r="E22" s="2"/>
      <c r="F22" s="22"/>
      <c r="G22" s="2"/>
      <c r="H22" s="2"/>
      <c r="I22" s="2"/>
      <c r="J22" s="22"/>
      <c r="K22" s="2"/>
      <c r="L22" s="2">
        <f t="shared" si="0"/>
        <v>-8.15</v>
      </c>
      <c r="M22" s="2"/>
      <c r="N22" s="22">
        <f t="shared" si="1"/>
        <v>0</v>
      </c>
      <c r="O22" s="11"/>
      <c r="P22" s="2">
        <f>-838.35</f>
        <v>-838.35</v>
      </c>
      <c r="Q22" s="2"/>
      <c r="R22" s="22"/>
      <c r="S22" s="2"/>
      <c r="T22" s="2"/>
      <c r="U22" s="2"/>
      <c r="V22" s="22"/>
      <c r="W22" s="2"/>
      <c r="X22" s="2">
        <f t="shared" si="2"/>
        <v>-838.35</v>
      </c>
      <c r="Y22" s="2"/>
      <c r="Z22" s="22">
        <f t="shared" si="3"/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8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5" t="s">
        <v>6</v>
      </c>
      <c r="C26" s="25"/>
      <c r="D26" s="21">
        <f>D12-D24</f>
        <v>1256.8100000000002</v>
      </c>
      <c r="E26" s="13"/>
      <c r="F26" s="19">
        <f>IF(D$12=0,0,D26/D$12)</f>
        <v>1</v>
      </c>
      <c r="G26" s="13"/>
      <c r="H26" s="21">
        <f>H12-H24</f>
        <v>14800</v>
      </c>
      <c r="I26" s="13"/>
      <c r="J26" s="19">
        <f>IF(H$12=0,0,H26/H$12)</f>
        <v>1</v>
      </c>
      <c r="K26" s="16"/>
      <c r="L26" s="21">
        <f>+D26-H26</f>
        <v>-13543.19</v>
      </c>
      <c r="M26" s="16"/>
      <c r="N26" s="19">
        <f>IF(H26=0,0,L26/H26)</f>
        <v>-0.91508040540540547</v>
      </c>
      <c r="O26" s="26"/>
      <c r="P26" s="21">
        <f>P12-P24</f>
        <v>74829.719999999987</v>
      </c>
      <c r="Q26" s="13"/>
      <c r="R26" s="19">
        <f>IF(P$12=0,0,P26/P$12)</f>
        <v>1</v>
      </c>
      <c r="S26" s="13"/>
      <c r="T26" s="21">
        <f>T12-T24</f>
        <v>133213</v>
      </c>
      <c r="U26" s="13"/>
      <c r="V26" s="19">
        <f>IF(T$12=0,0,T26/T$12)</f>
        <v>1</v>
      </c>
      <c r="W26" s="16"/>
      <c r="X26" s="21">
        <f>+P26-T26</f>
        <v>-58383.280000000013</v>
      </c>
      <c r="Y26" s="16"/>
      <c r="Z26" s="19">
        <f>IF(T26=0,0,X26/T26)</f>
        <v>-0.43827013880026733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6" t="s">
        <v>9</v>
      </c>
      <c r="C28" s="10"/>
      <c r="D28" s="20">
        <f>SUM(OSRRefD22x_0)</f>
        <v>31938.720000000001</v>
      </c>
      <c r="E28" s="20"/>
      <c r="F28" s="30">
        <f t="shared" ref="F28:F38" si="4">IF(D$12=0,0,D28/D$12)</f>
        <v>25.412528544489618</v>
      </c>
      <c r="G28" s="20"/>
      <c r="H28" s="20">
        <f>SUM(OSRRefH22x_0)</f>
        <v>34239.053016992344</v>
      </c>
      <c r="I28" s="20"/>
      <c r="J28" s="30">
        <f t="shared" ref="J28:J38" si="5">IF(H$12=0,0,H28/H$12)</f>
        <v>2.3134495281751586</v>
      </c>
      <c r="K28" s="4"/>
      <c r="L28" s="20">
        <f t="shared" ref="L28:L38" si="6">+D28-H28</f>
        <v>-2300.3330169923429</v>
      </c>
      <c r="M28" s="4"/>
      <c r="N28" s="30">
        <f t="shared" ref="N28:N38" si="7">IF(H28=0,0,L28/H28)</f>
        <v>-6.7184481295400347E-2</v>
      </c>
      <c r="O28" s="10"/>
      <c r="P28" s="20">
        <f>SUM(OSRRefP22x_0)</f>
        <v>192124.46</v>
      </c>
      <c r="Q28" s="20"/>
      <c r="R28" s="30">
        <f t="shared" ref="R28:R38" si="8">IF(P$12=0,0,P28/P$12)</f>
        <v>2.5674886929952434</v>
      </c>
      <c r="S28" s="20"/>
      <c r="T28" s="20">
        <f>SUM(OSRRefT22x_0)</f>
        <v>197055.30074045018</v>
      </c>
      <c r="U28" s="20"/>
      <c r="V28" s="30">
        <f t="shared" ref="V28:V38" si="9">IF(T$12=0,0,T28/T$12)</f>
        <v>1.4792497784784533</v>
      </c>
      <c r="W28" s="4"/>
      <c r="X28" s="20">
        <f t="shared" ref="X28:X38" si="10">+P28-T28</f>
        <v>-4930.8407404501922</v>
      </c>
      <c r="Y28" s="4"/>
      <c r="Z28" s="30">
        <f t="shared" ref="Z28:Z38" si="11">IF(T28=0,0,X28/T28)</f>
        <v>-2.5022624217273959E-2</v>
      </c>
    </row>
    <row r="29" spans="1:26" s="28" customFormat="1" outlineLevel="1" collapsed="1" x14ac:dyDescent="0.25">
      <c r="A29" s="27"/>
      <c r="B29" s="14" t="str">
        <f>CONCATENATE("     ","*Benefits                                         ")</f>
        <v xml:space="preserve">     *Benefits                                         </v>
      </c>
      <c r="C29" s="14"/>
      <c r="D29" s="1">
        <f>SUM(OSRRefD22_0x_0)</f>
        <v>8896.2999999999993</v>
      </c>
      <c r="E29" s="1"/>
      <c r="F29" s="5">
        <f t="shared" si="4"/>
        <v>7.0784764602445858</v>
      </c>
      <c r="G29" s="1"/>
      <c r="H29" s="1">
        <f>SUM(OSRRefH22_0x_0)</f>
        <v>6400.5444554538444</v>
      </c>
      <c r="I29" s="1"/>
      <c r="J29" s="5">
        <f t="shared" si="5"/>
        <v>0.43246921996309762</v>
      </c>
      <c r="K29" s="1"/>
      <c r="L29" s="1">
        <f t="shared" si="6"/>
        <v>2495.7555445461549</v>
      </c>
      <c r="M29" s="1"/>
      <c r="N29" s="5">
        <f t="shared" si="7"/>
        <v>0.38992863215246398</v>
      </c>
      <c r="O29" s="14"/>
      <c r="P29" s="1">
        <f>SUM(OSRRefP22_0x_0)</f>
        <v>54708.87</v>
      </c>
      <c r="Q29" s="1"/>
      <c r="R29" s="5">
        <f t="shared" si="8"/>
        <v>0.73111151558498433</v>
      </c>
      <c r="S29" s="1"/>
      <c r="T29" s="1">
        <f>SUM(OSRRefT22_0x_0)</f>
        <v>40315.495090449978</v>
      </c>
      <c r="U29" s="1"/>
      <c r="V29" s="5">
        <f t="shared" si="9"/>
        <v>0.30263934518740648</v>
      </c>
      <c r="W29" s="1"/>
      <c r="X29" s="1">
        <f t="shared" si="10"/>
        <v>14393.374909550024</v>
      </c>
      <c r="Y29" s="1"/>
      <c r="Z29" s="5">
        <f t="shared" si="11"/>
        <v>0.35701843366322839</v>
      </c>
    </row>
    <row r="30" spans="1:26" s="24" customFormat="1" hidden="1" outlineLevel="2" x14ac:dyDescent="0.25">
      <c r="A30" s="29"/>
      <c r="B30" s="11" t="str">
        <f>CONCATENATE("          ", "6111", " - ", "F.I.C.A.")</f>
        <v xml:space="preserve">          6111 - F.I.C.A.</v>
      </c>
      <c r="C30" s="11"/>
      <c r="D30" s="7">
        <v>1206.3</v>
      </c>
      <c r="E30" s="2"/>
      <c r="F30" s="6">
        <f t="shared" si="4"/>
        <v>0.95981094994470106</v>
      </c>
      <c r="G30" s="2"/>
      <c r="H30" s="7">
        <v>1050.30025137692</v>
      </c>
      <c r="I30" s="2"/>
      <c r="J30" s="6">
        <f t="shared" si="5"/>
        <v>7.0966233201143245E-2</v>
      </c>
      <c r="K30" s="2"/>
      <c r="L30" s="7">
        <f t="shared" si="6"/>
        <v>155.99974862308</v>
      </c>
      <c r="M30" s="2"/>
      <c r="N30" s="6">
        <f t="shared" si="7"/>
        <v>0.14852871682984731</v>
      </c>
      <c r="O30" s="11"/>
      <c r="P30" s="7">
        <v>7826.77</v>
      </c>
      <c r="Q30" s="2"/>
      <c r="R30" s="6">
        <f t="shared" si="8"/>
        <v>0.10459440446924032</v>
      </c>
      <c r="S30" s="2"/>
      <c r="T30" s="7">
        <v>6872.56351394998</v>
      </c>
      <c r="U30" s="2"/>
      <c r="V30" s="6">
        <f t="shared" si="9"/>
        <v>5.1590787039928386E-2</v>
      </c>
      <c r="W30" s="2"/>
      <c r="X30" s="7">
        <f t="shared" si="10"/>
        <v>954.20648605002043</v>
      </c>
      <c r="Y30" s="2"/>
      <c r="Z30" s="6">
        <f t="shared" si="11"/>
        <v>0.13884287633183237</v>
      </c>
    </row>
    <row r="31" spans="1:26" s="24" customFormat="1" hidden="1" outlineLevel="2" x14ac:dyDescent="0.25">
      <c r="A31" s="29"/>
      <c r="B31" s="11" t="str">
        <f>CONCATENATE("          ", "6112", " - ", "COMPENSATION INSURANCE")</f>
        <v xml:space="preserve">          6112 - COMPENSATION INSURANCE</v>
      </c>
      <c r="C31" s="11"/>
      <c r="D31" s="7">
        <v>556.65</v>
      </c>
      <c r="E31" s="2"/>
      <c r="F31" s="6">
        <f t="shared" si="4"/>
        <v>0.44290704243282586</v>
      </c>
      <c r="G31" s="2"/>
      <c r="H31" s="7">
        <v>271.69161192307701</v>
      </c>
      <c r="I31" s="2"/>
      <c r="J31" s="6">
        <f t="shared" si="5"/>
        <v>1.835754134615385E-2</v>
      </c>
      <c r="K31" s="2"/>
      <c r="L31" s="7">
        <f t="shared" si="6"/>
        <v>284.95838807692297</v>
      </c>
      <c r="M31" s="2"/>
      <c r="N31" s="6">
        <f t="shared" si="7"/>
        <v>1.0488302751047101</v>
      </c>
      <c r="O31" s="11"/>
      <c r="P31" s="7">
        <v>2343.9499999999998</v>
      </c>
      <c r="Q31" s="2"/>
      <c r="R31" s="6">
        <f t="shared" si="8"/>
        <v>3.1323784186283204E-2</v>
      </c>
      <c r="S31" s="2"/>
      <c r="T31" s="7">
        <v>1774.2557275000001</v>
      </c>
      <c r="U31" s="2"/>
      <c r="V31" s="6">
        <f t="shared" si="9"/>
        <v>1.3318938298064005E-2</v>
      </c>
      <c r="W31" s="2"/>
      <c r="X31" s="7">
        <f t="shared" si="10"/>
        <v>569.69427249999967</v>
      </c>
      <c r="Y31" s="2"/>
      <c r="Z31" s="6">
        <f t="shared" si="11"/>
        <v>0.32108915511447861</v>
      </c>
    </row>
    <row r="32" spans="1:26" s="24" customFormat="1" hidden="1" outlineLevel="2" x14ac:dyDescent="0.25">
      <c r="A32" s="29"/>
      <c r="B32" s="11" t="str">
        <f>CONCATENATE("          ", "6113", " - ", "GROUP INSURANCE")</f>
        <v xml:space="preserve">          6113 - GROUP INSURANCE</v>
      </c>
      <c r="C32" s="11"/>
      <c r="D32" s="7">
        <v>3423.78</v>
      </c>
      <c r="E32" s="2"/>
      <c r="F32" s="6">
        <f t="shared" si="4"/>
        <v>2.7241826529069626</v>
      </c>
      <c r="G32" s="2"/>
      <c r="H32" s="7">
        <v>2645</v>
      </c>
      <c r="I32" s="2"/>
      <c r="J32" s="6">
        <f t="shared" si="5"/>
        <v>0.17871621621621622</v>
      </c>
      <c r="K32" s="2"/>
      <c r="L32" s="7">
        <f t="shared" si="6"/>
        <v>778.7800000000002</v>
      </c>
      <c r="M32" s="2"/>
      <c r="N32" s="6">
        <f t="shared" si="7"/>
        <v>0.29443478260869571</v>
      </c>
      <c r="O32" s="11"/>
      <c r="P32" s="7">
        <v>19741.329999999998</v>
      </c>
      <c r="Q32" s="2"/>
      <c r="R32" s="6">
        <f t="shared" si="8"/>
        <v>0.26381670277531444</v>
      </c>
      <c r="S32" s="2"/>
      <c r="T32" s="7">
        <v>15870</v>
      </c>
      <c r="U32" s="2"/>
      <c r="V32" s="6">
        <f t="shared" si="9"/>
        <v>0.11913251709667975</v>
      </c>
      <c r="W32" s="2"/>
      <c r="X32" s="7">
        <f t="shared" si="10"/>
        <v>3871.3299999999981</v>
      </c>
      <c r="Y32" s="2"/>
      <c r="Z32" s="6">
        <f t="shared" si="11"/>
        <v>0.2439401386263389</v>
      </c>
    </row>
    <row r="33" spans="1:26" s="24" customFormat="1" hidden="1" outlineLevel="2" x14ac:dyDescent="0.25">
      <c r="A33" s="29"/>
      <c r="B33" s="11" t="str">
        <f>CONCATENATE("          ", "6114", " - ", "STATE UNEMPLOYMENT INSURANCE")</f>
        <v xml:space="preserve">          6114 - STATE UNEMPLOYMENT INSURANCE</v>
      </c>
      <c r="C33" s="11"/>
      <c r="D33" s="7"/>
      <c r="E33" s="2"/>
      <c r="F33" s="6">
        <f t="shared" si="4"/>
        <v>0</v>
      </c>
      <c r="G33" s="2"/>
      <c r="H33" s="7">
        <v>42.476286000000002</v>
      </c>
      <c r="I33" s="2"/>
      <c r="J33" s="6">
        <f t="shared" si="5"/>
        <v>2.8700193243243245E-3</v>
      </c>
      <c r="K33" s="2"/>
      <c r="L33" s="7">
        <f t="shared" si="6"/>
        <v>-42.476286000000002</v>
      </c>
      <c r="M33" s="2"/>
      <c r="N33" s="6">
        <f t="shared" si="7"/>
        <v>-1</v>
      </c>
      <c r="O33" s="11"/>
      <c r="P33" s="7">
        <v>251.18</v>
      </c>
      <c r="Q33" s="2"/>
      <c r="R33" s="6">
        <f t="shared" si="8"/>
        <v>3.3566876903989491E-3</v>
      </c>
      <c r="S33" s="2"/>
      <c r="T33" s="7">
        <v>270.47985899999998</v>
      </c>
      <c r="U33" s="2"/>
      <c r="V33" s="6">
        <f t="shared" si="9"/>
        <v>2.0304314068446769E-3</v>
      </c>
      <c r="W33" s="2"/>
      <c r="X33" s="7">
        <f t="shared" si="10"/>
        <v>-19.299858999999969</v>
      </c>
      <c r="Y33" s="2"/>
      <c r="Z33" s="6">
        <f t="shared" si="11"/>
        <v>-7.1354144709162876E-2</v>
      </c>
    </row>
    <row r="34" spans="1:26" s="24" customFormat="1" hidden="1" outlineLevel="2" x14ac:dyDescent="0.25">
      <c r="A34" s="29"/>
      <c r="B34" s="11" t="str">
        <f>CONCATENATE("          ", "6115", " - ", "P.E.R.S.")</f>
        <v xml:space="preserve">          6115 - P.E.R.S.</v>
      </c>
      <c r="C34" s="11"/>
      <c r="D34" s="7">
        <v>1385.13</v>
      </c>
      <c r="E34" s="2"/>
      <c r="F34" s="6">
        <f t="shared" si="4"/>
        <v>1.10209976050477</v>
      </c>
      <c r="G34" s="2"/>
      <c r="H34" s="7">
        <v>991.92684461538511</v>
      </c>
      <c r="I34" s="2"/>
      <c r="J34" s="6">
        <f t="shared" si="5"/>
        <v>6.7022084095634135E-2</v>
      </c>
      <c r="K34" s="2"/>
      <c r="L34" s="7">
        <f t="shared" si="6"/>
        <v>393.203155384615</v>
      </c>
      <c r="M34" s="2"/>
      <c r="N34" s="6">
        <f t="shared" si="7"/>
        <v>0.39640338147827592</v>
      </c>
      <c r="O34" s="11"/>
      <c r="P34" s="7">
        <v>10064.209999999999</v>
      </c>
      <c r="Q34" s="2"/>
      <c r="R34" s="6">
        <f t="shared" si="8"/>
        <v>0.13449482371442792</v>
      </c>
      <c r="S34" s="2"/>
      <c r="T34" s="7">
        <v>6447.5244899999998</v>
      </c>
      <c r="U34" s="2"/>
      <c r="V34" s="6">
        <f t="shared" si="9"/>
        <v>4.8400114778587675E-2</v>
      </c>
      <c r="W34" s="2"/>
      <c r="X34" s="7">
        <f t="shared" si="10"/>
        <v>3616.6855099999993</v>
      </c>
      <c r="Y34" s="2"/>
      <c r="Z34" s="6">
        <f t="shared" si="11"/>
        <v>0.56094172509300533</v>
      </c>
    </row>
    <row r="35" spans="1:26" s="24" customFormat="1" hidden="1" outlineLevel="2" x14ac:dyDescent="0.25">
      <c r="A35" s="29"/>
      <c r="B35" s="11" t="str">
        <f>CONCATENATE("          ", "6116", " - ", "EDUCATIONAL BENEFITS")</f>
        <v xml:space="preserve">          6116 - EDUCATIONAL BENEFITS</v>
      </c>
      <c r="C35" s="11"/>
      <c r="D35" s="7"/>
      <c r="E35" s="2"/>
      <c r="F35" s="6">
        <f t="shared" si="4"/>
        <v>0</v>
      </c>
      <c r="G35" s="2"/>
      <c r="H35" s="7">
        <v>0</v>
      </c>
      <c r="I35" s="2"/>
      <c r="J35" s="6">
        <f t="shared" si="5"/>
        <v>0</v>
      </c>
      <c r="K35" s="2"/>
      <c r="L35" s="7">
        <f t="shared" si="6"/>
        <v>0</v>
      </c>
      <c r="M35" s="2"/>
      <c r="N35" s="6">
        <f t="shared" si="7"/>
        <v>0</v>
      </c>
      <c r="O35" s="11"/>
      <c r="P35" s="7"/>
      <c r="Q35" s="2"/>
      <c r="R35" s="6">
        <f t="shared" si="8"/>
        <v>0</v>
      </c>
      <c r="S35" s="2"/>
      <c r="T35" s="7">
        <v>0</v>
      </c>
      <c r="U35" s="2"/>
      <c r="V35" s="6">
        <f t="shared" si="9"/>
        <v>0</v>
      </c>
      <c r="W35" s="2"/>
      <c r="X35" s="7">
        <f t="shared" si="10"/>
        <v>0</v>
      </c>
      <c r="Y35" s="2"/>
      <c r="Z35" s="6">
        <f t="shared" si="11"/>
        <v>0</v>
      </c>
    </row>
    <row r="36" spans="1:26" s="24" customFormat="1" hidden="1" outlineLevel="2" x14ac:dyDescent="0.25">
      <c r="A36" s="29"/>
      <c r="B36" s="11" t="str">
        <f>CONCATENATE("          ", "6118", " - ", "VACATION")</f>
        <v xml:space="preserve">          6118 - VACATION</v>
      </c>
      <c r="C36" s="11"/>
      <c r="D36" s="7">
        <v>1216.0999999999999</v>
      </c>
      <c r="E36" s="2"/>
      <c r="F36" s="6">
        <f t="shared" si="4"/>
        <v>0.96760846906055786</v>
      </c>
      <c r="G36" s="2"/>
      <c r="H36" s="7">
        <v>956.61308461538511</v>
      </c>
      <c r="I36" s="2"/>
      <c r="J36" s="6">
        <f t="shared" si="5"/>
        <v>6.4636019230769268E-2</v>
      </c>
      <c r="K36" s="2"/>
      <c r="L36" s="7">
        <f t="shared" si="6"/>
        <v>259.4869153846148</v>
      </c>
      <c r="M36" s="2"/>
      <c r="N36" s="6">
        <f t="shared" si="7"/>
        <v>0.27125587090306613</v>
      </c>
      <c r="O36" s="11"/>
      <c r="P36" s="7">
        <v>7667.43</v>
      </c>
      <c r="Q36" s="2"/>
      <c r="R36" s="6">
        <f t="shared" si="8"/>
        <v>0.10246503661914012</v>
      </c>
      <c r="S36" s="2"/>
      <c r="T36" s="7">
        <v>6217.9850500000002</v>
      </c>
      <c r="U36" s="2"/>
      <c r="V36" s="6">
        <f t="shared" si="9"/>
        <v>4.6677013880026728E-2</v>
      </c>
      <c r="W36" s="2"/>
      <c r="X36" s="7">
        <f t="shared" si="10"/>
        <v>1449.4449500000001</v>
      </c>
      <c r="Y36" s="2"/>
      <c r="Z36" s="6">
        <f t="shared" si="11"/>
        <v>0.23310524845986885</v>
      </c>
    </row>
    <row r="37" spans="1:26" s="24" customFormat="1" hidden="1" outlineLevel="2" x14ac:dyDescent="0.25">
      <c r="A37" s="29"/>
      <c r="B37" s="11" t="str">
        <f>CONCATENATE("          ", "6119", " - ", "SICK LEAVE")</f>
        <v xml:space="preserve">          6119 - SICK LEAVE</v>
      </c>
      <c r="C37" s="11"/>
      <c r="D37" s="7">
        <v>738.5</v>
      </c>
      <c r="E37" s="2"/>
      <c r="F37" s="6">
        <f t="shared" si="4"/>
        <v>0.587598761944924</v>
      </c>
      <c r="G37" s="2"/>
      <c r="H37" s="7">
        <v>442.536376923077</v>
      </c>
      <c r="I37" s="2"/>
      <c r="J37" s="6">
        <f t="shared" si="5"/>
        <v>2.9901106548856554E-2</v>
      </c>
      <c r="K37" s="2"/>
      <c r="L37" s="7">
        <f t="shared" si="6"/>
        <v>295.963623076923</v>
      </c>
      <c r="M37" s="2"/>
      <c r="N37" s="6">
        <f t="shared" si="7"/>
        <v>0.66878936627704233</v>
      </c>
      <c r="O37" s="11"/>
      <c r="P37" s="7">
        <v>4694.2700000000004</v>
      </c>
      <c r="Q37" s="2"/>
      <c r="R37" s="6">
        <f t="shared" si="8"/>
        <v>6.273269497734324E-2</v>
      </c>
      <c r="S37" s="2"/>
      <c r="T37" s="7">
        <v>2862.6864499999997</v>
      </c>
      <c r="U37" s="2"/>
      <c r="V37" s="6">
        <f t="shared" si="9"/>
        <v>2.1489542687275265E-2</v>
      </c>
      <c r="W37" s="2"/>
      <c r="X37" s="7">
        <f t="shared" si="10"/>
        <v>1831.5835500000007</v>
      </c>
      <c r="Y37" s="2"/>
      <c r="Z37" s="6">
        <f t="shared" si="11"/>
        <v>0.6398128408369701</v>
      </c>
    </row>
    <row r="38" spans="1:26" s="24" customFormat="1" hidden="1" outlineLevel="2" x14ac:dyDescent="0.25">
      <c r="A38" s="29"/>
      <c r="B38" s="11" t="str">
        <f>CONCATENATE("          ", "6156", " - ", "EMPLOYEE MEALS")</f>
        <v xml:space="preserve">          6156 - EMPLOYEE MEALS</v>
      </c>
      <c r="C38" s="11"/>
      <c r="D38" s="7">
        <v>369.84</v>
      </c>
      <c r="E38" s="2"/>
      <c r="F38" s="6">
        <f t="shared" si="4"/>
        <v>0.29426882344984517</v>
      </c>
      <c r="G38" s="2"/>
      <c r="H38" s="7"/>
      <c r="I38" s="2"/>
      <c r="J38" s="6">
        <f t="shared" si="5"/>
        <v>0</v>
      </c>
      <c r="K38" s="2"/>
      <c r="L38" s="7">
        <f t="shared" si="6"/>
        <v>369.84</v>
      </c>
      <c r="M38" s="2"/>
      <c r="N38" s="6">
        <f t="shared" si="7"/>
        <v>0</v>
      </c>
      <c r="O38" s="11"/>
      <c r="P38" s="7">
        <v>2119.73</v>
      </c>
      <c r="Q38" s="2"/>
      <c r="R38" s="6">
        <f t="shared" si="8"/>
        <v>2.8327381152836072E-2</v>
      </c>
      <c r="S38" s="2"/>
      <c r="T38" s="7"/>
      <c r="U38" s="2"/>
      <c r="V38" s="6">
        <f t="shared" si="9"/>
        <v>0</v>
      </c>
      <c r="W38" s="2"/>
      <c r="X38" s="7">
        <f t="shared" si="10"/>
        <v>2119.73</v>
      </c>
      <c r="Y38" s="2"/>
      <c r="Z38" s="6">
        <f t="shared" si="11"/>
        <v>0</v>
      </c>
    </row>
    <row r="39" spans="1:26" s="28" customFormat="1" outlineLevel="1" collapsed="1" x14ac:dyDescent="0.25">
      <c r="A39" s="27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14567.890000000001</v>
      </c>
      <c r="E39" s="1"/>
      <c r="F39" s="5">
        <f t="shared" ref="F39:F49" si="12">IF(D$12=0,0,D39/D$12)</f>
        <v>11.591163342112173</v>
      </c>
      <c r="G39" s="1"/>
      <c r="H39" s="1">
        <f>SUM(OSRRefH22_1x_0)</f>
        <v>10197.5085615385</v>
      </c>
      <c r="I39" s="1"/>
      <c r="J39" s="5">
        <f t="shared" ref="J39:J49" si="13">IF(H$12=0,0,H39/H$12)</f>
        <v>0.68902084875260128</v>
      </c>
      <c r="K39" s="1"/>
      <c r="L39" s="1">
        <f t="shared" ref="L39:L49" si="14">+D39-H39</f>
        <v>4370.3814384615016</v>
      </c>
      <c r="M39" s="1"/>
      <c r="N39" s="5">
        <f t="shared" ref="N39:N49" si="15">IF(H39=0,0,L39/H39)</f>
        <v>0.42857345125897511</v>
      </c>
      <c r="O39" s="14"/>
      <c r="P39" s="1">
        <f>SUM(OSRRefP22_1x_0)</f>
        <v>87263.33</v>
      </c>
      <c r="Q39" s="1"/>
      <c r="R39" s="5">
        <f t="shared" ref="R39:R49" si="16">IF(P$12=0,0,P39/P$12)</f>
        <v>1.1661587134095921</v>
      </c>
      <c r="S39" s="1"/>
      <c r="T39" s="1">
        <f>SUM(OSRRefT22_1x_0)</f>
        <v>66283.805650000199</v>
      </c>
      <c r="U39" s="1"/>
      <c r="V39" s="5">
        <f t="shared" ref="V39:V49" si="17">IF(T$12=0,0,T39/T$12)</f>
        <v>0.49757760616456503</v>
      </c>
      <c r="W39" s="1"/>
      <c r="X39" s="1">
        <f t="shared" ref="X39:X49" si="18">+P39-T39</f>
        <v>20979.524349999803</v>
      </c>
      <c r="Y39" s="1"/>
      <c r="Z39" s="5">
        <f t="shared" ref="Z39:Z49" si="19">IF(T39=0,0,X39/T39)</f>
        <v>0.31651055856355675</v>
      </c>
    </row>
    <row r="40" spans="1:26" s="24" customFormat="1" hidden="1" outlineLevel="2" x14ac:dyDescent="0.25">
      <c r="A40" s="29"/>
      <c r="B40" s="11" t="str">
        <f>CONCATENATE("          ", "6001", " - ", "ADMINISTRATIVE SALARIES")</f>
        <v xml:space="preserve">          6001 - ADMINISTRATIVE SALARIES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9"/>
      <c r="B41" s="11" t="str">
        <f>CONCATENATE("          ", "6002", " - ", "STAFF SALARIES")</f>
        <v xml:space="preserve">          6002 - STAFF SALARIES</v>
      </c>
      <c r="C41" s="11"/>
      <c r="D41" s="7">
        <v>14236.79</v>
      </c>
      <c r="E41" s="2"/>
      <c r="F41" s="6">
        <f t="shared" si="12"/>
        <v>11.327718589126439</v>
      </c>
      <c r="G41" s="2"/>
      <c r="H41" s="7">
        <v>10197.5085615385</v>
      </c>
      <c r="I41" s="2"/>
      <c r="J41" s="6">
        <f t="shared" si="13"/>
        <v>0.68902084875260128</v>
      </c>
      <c r="K41" s="2"/>
      <c r="L41" s="7">
        <f t="shared" si="14"/>
        <v>4039.2814384615012</v>
      </c>
      <c r="M41" s="2"/>
      <c r="N41" s="6">
        <f t="shared" si="15"/>
        <v>0.39610473618000025</v>
      </c>
      <c r="O41" s="11"/>
      <c r="P41" s="7">
        <v>83030.710000000006</v>
      </c>
      <c r="Q41" s="2"/>
      <c r="R41" s="6">
        <f t="shared" si="16"/>
        <v>1.1095953586355798</v>
      </c>
      <c r="S41" s="2"/>
      <c r="T41" s="7">
        <v>66283.805650000199</v>
      </c>
      <c r="U41" s="2"/>
      <c r="V41" s="6">
        <f t="shared" si="17"/>
        <v>0.49757760616456503</v>
      </c>
      <c r="W41" s="2"/>
      <c r="X41" s="7">
        <f t="shared" si="18"/>
        <v>16746.904349999808</v>
      </c>
      <c r="Y41" s="2"/>
      <c r="Z41" s="6">
        <f t="shared" si="19"/>
        <v>0.25265453885416367</v>
      </c>
    </row>
    <row r="42" spans="1:26" s="24" customFormat="1" hidden="1" outlineLevel="2" x14ac:dyDescent="0.25">
      <c r="A42" s="29"/>
      <c r="B42" s="11" t="str">
        <f>CONCATENATE("          ", "6003", " - ", "STAFF HOURLY-9 MONTH")</f>
        <v xml:space="preserve">          6003 - STAFF HOURLY-9 MONTH</v>
      </c>
      <c r="C42" s="11"/>
      <c r="D42" s="7"/>
      <c r="E42" s="2"/>
      <c r="F42" s="6">
        <f t="shared" si="12"/>
        <v>0</v>
      </c>
      <c r="G42" s="2"/>
      <c r="H42" s="7">
        <v>0</v>
      </c>
      <c r="I42" s="2"/>
      <c r="J42" s="6">
        <f t="shared" si="13"/>
        <v>0</v>
      </c>
      <c r="K42" s="2"/>
      <c r="L42" s="7">
        <f t="shared" si="14"/>
        <v>0</v>
      </c>
      <c r="M42" s="2"/>
      <c r="N42" s="6">
        <f t="shared" si="15"/>
        <v>0</v>
      </c>
      <c r="O42" s="11"/>
      <c r="P42" s="7"/>
      <c r="Q42" s="2"/>
      <c r="R42" s="6">
        <f t="shared" si="16"/>
        <v>0</v>
      </c>
      <c r="S42" s="2"/>
      <c r="T42" s="7">
        <v>0</v>
      </c>
      <c r="U42" s="2"/>
      <c r="V42" s="6">
        <f t="shared" si="17"/>
        <v>0</v>
      </c>
      <c r="W42" s="2"/>
      <c r="X42" s="7">
        <f t="shared" si="18"/>
        <v>0</v>
      </c>
      <c r="Y42" s="2"/>
      <c r="Z42" s="6">
        <f t="shared" si="19"/>
        <v>0</v>
      </c>
    </row>
    <row r="43" spans="1:26" s="24" customFormat="1" hidden="1" outlineLevel="2" x14ac:dyDescent="0.25">
      <c r="A43" s="29"/>
      <c r="B43" s="11" t="str">
        <f>CONCATENATE("          ", "6004", " - ", "STAFF HOURLY")</f>
        <v xml:space="preserve">          6004 - STAFF HOURLY</v>
      </c>
      <c r="C43" s="11"/>
      <c r="D43" s="7"/>
      <c r="E43" s="2"/>
      <c r="F43" s="6">
        <f t="shared" si="12"/>
        <v>0</v>
      </c>
      <c r="G43" s="2"/>
      <c r="H43" s="7">
        <v>0</v>
      </c>
      <c r="I43" s="2"/>
      <c r="J43" s="6">
        <f t="shared" si="13"/>
        <v>0</v>
      </c>
      <c r="K43" s="2"/>
      <c r="L43" s="7">
        <f t="shared" si="14"/>
        <v>0</v>
      </c>
      <c r="M43" s="2"/>
      <c r="N43" s="6">
        <f t="shared" si="15"/>
        <v>0</v>
      </c>
      <c r="O43" s="11"/>
      <c r="P43" s="7"/>
      <c r="Q43" s="2"/>
      <c r="R43" s="6">
        <f t="shared" si="16"/>
        <v>0</v>
      </c>
      <c r="S43" s="2"/>
      <c r="T43" s="7">
        <v>0</v>
      </c>
      <c r="U43" s="2"/>
      <c r="V43" s="6">
        <f t="shared" si="17"/>
        <v>0</v>
      </c>
      <c r="W43" s="2"/>
      <c r="X43" s="7">
        <f t="shared" si="18"/>
        <v>0</v>
      </c>
      <c r="Y43" s="2"/>
      <c r="Z43" s="6">
        <f t="shared" si="19"/>
        <v>0</v>
      </c>
    </row>
    <row r="44" spans="1:26" s="24" customFormat="1" hidden="1" outlineLevel="2" x14ac:dyDescent="0.25">
      <c r="A44" s="29"/>
      <c r="B44" s="11" t="str">
        <f>CONCATENATE("          ", "6005", " - ", "TEMPORARY WAGES-HOURLY")</f>
        <v xml:space="preserve">          6005 - TEMPORARY WAGES-HOURLY</v>
      </c>
      <c r="C44" s="11"/>
      <c r="D44" s="7"/>
      <c r="E44" s="2"/>
      <c r="F44" s="6">
        <f t="shared" si="12"/>
        <v>0</v>
      </c>
      <c r="G44" s="2"/>
      <c r="H44" s="7">
        <v>0</v>
      </c>
      <c r="I44" s="2"/>
      <c r="J44" s="6">
        <f t="shared" si="13"/>
        <v>0</v>
      </c>
      <c r="K44" s="2"/>
      <c r="L44" s="7">
        <f t="shared" si="14"/>
        <v>0</v>
      </c>
      <c r="M44" s="2"/>
      <c r="N44" s="6">
        <f t="shared" si="15"/>
        <v>0</v>
      </c>
      <c r="O44" s="11"/>
      <c r="P44" s="7">
        <v>383.25</v>
      </c>
      <c r="Q44" s="2"/>
      <c r="R44" s="6">
        <f t="shared" si="16"/>
        <v>5.1216281445393627E-3</v>
      </c>
      <c r="S44" s="2"/>
      <c r="T44" s="7">
        <v>0</v>
      </c>
      <c r="U44" s="2"/>
      <c r="V44" s="6">
        <f t="shared" si="17"/>
        <v>0</v>
      </c>
      <c r="W44" s="2"/>
      <c r="X44" s="7">
        <f t="shared" si="18"/>
        <v>383.25</v>
      </c>
      <c r="Y44" s="2"/>
      <c r="Z44" s="6">
        <f t="shared" si="19"/>
        <v>0</v>
      </c>
    </row>
    <row r="45" spans="1:26" s="24" customFormat="1" hidden="1" outlineLevel="2" x14ac:dyDescent="0.25">
      <c r="A45" s="29"/>
      <c r="B45" s="11" t="str">
        <f>CONCATENATE("          ", "6006", " - ", "TEMPORARY PART TIME")</f>
        <v xml:space="preserve">          6006 - TEMPORARY PART TIME</v>
      </c>
      <c r="C45" s="11"/>
      <c r="D45" s="7"/>
      <c r="E45" s="2"/>
      <c r="F45" s="6">
        <f t="shared" si="12"/>
        <v>0</v>
      </c>
      <c r="G45" s="2"/>
      <c r="H45" s="7">
        <v>0</v>
      </c>
      <c r="I45" s="2"/>
      <c r="J45" s="6">
        <f t="shared" si="13"/>
        <v>0</v>
      </c>
      <c r="K45" s="2"/>
      <c r="L45" s="7">
        <f t="shared" si="14"/>
        <v>0</v>
      </c>
      <c r="M45" s="2"/>
      <c r="N45" s="6">
        <f t="shared" si="15"/>
        <v>0</v>
      </c>
      <c r="O45" s="11"/>
      <c r="P45" s="7"/>
      <c r="Q45" s="2"/>
      <c r="R45" s="6">
        <f t="shared" si="16"/>
        <v>0</v>
      </c>
      <c r="S45" s="2"/>
      <c r="T45" s="7">
        <v>0</v>
      </c>
      <c r="U45" s="2"/>
      <c r="V45" s="6">
        <f t="shared" si="17"/>
        <v>0</v>
      </c>
      <c r="W45" s="2"/>
      <c r="X45" s="7">
        <f t="shared" si="18"/>
        <v>0</v>
      </c>
      <c r="Y45" s="2"/>
      <c r="Z45" s="6">
        <f t="shared" si="19"/>
        <v>0</v>
      </c>
    </row>
    <row r="46" spans="1:26" s="24" customFormat="1" hidden="1" outlineLevel="2" x14ac:dyDescent="0.25">
      <c r="A46" s="29"/>
      <c r="B46" s="11" t="str">
        <f>CONCATENATE("          ", "6007", " - ", "STUDENT HOURLY")</f>
        <v xml:space="preserve">          6007 - STUDENT HOURLY</v>
      </c>
      <c r="C46" s="11"/>
      <c r="D46" s="7">
        <v>331.1</v>
      </c>
      <c r="E46" s="2"/>
      <c r="F46" s="6">
        <f t="shared" si="12"/>
        <v>0.26344475298573372</v>
      </c>
      <c r="G46" s="2"/>
      <c r="H46" s="7">
        <v>0</v>
      </c>
      <c r="I46" s="2"/>
      <c r="J46" s="6">
        <f t="shared" si="13"/>
        <v>0</v>
      </c>
      <c r="K46" s="2"/>
      <c r="L46" s="7">
        <f t="shared" si="14"/>
        <v>331.1</v>
      </c>
      <c r="M46" s="2"/>
      <c r="N46" s="6">
        <f t="shared" si="15"/>
        <v>0</v>
      </c>
      <c r="O46" s="11"/>
      <c r="P46" s="7">
        <v>3849.37</v>
      </c>
      <c r="Q46" s="2"/>
      <c r="R46" s="6">
        <f t="shared" si="16"/>
        <v>5.1441726629472898E-2</v>
      </c>
      <c r="S46" s="2"/>
      <c r="T46" s="7">
        <v>0</v>
      </c>
      <c r="U46" s="2"/>
      <c r="V46" s="6">
        <f t="shared" si="17"/>
        <v>0</v>
      </c>
      <c r="W46" s="2"/>
      <c r="X46" s="7">
        <f t="shared" si="18"/>
        <v>3849.37</v>
      </c>
      <c r="Y46" s="2"/>
      <c r="Z46" s="6">
        <f t="shared" si="19"/>
        <v>0</v>
      </c>
    </row>
    <row r="47" spans="1:26" s="24" customFormat="1" hidden="1" outlineLevel="2" x14ac:dyDescent="0.25">
      <c r="A47" s="29"/>
      <c r="B47" s="11" t="str">
        <f>CONCATENATE("          ", "6008", " - ", "STUDENT HOURLY-FICA EXEMPT")</f>
        <v xml:space="preserve">          6008 - STUDENT HOURLY-FICA EXEMPT</v>
      </c>
      <c r="C47" s="11"/>
      <c r="D47" s="7"/>
      <c r="E47" s="2"/>
      <c r="F47" s="6">
        <f t="shared" si="12"/>
        <v>0</v>
      </c>
      <c r="G47" s="2"/>
      <c r="H47" s="7">
        <v>0</v>
      </c>
      <c r="I47" s="2"/>
      <c r="J47" s="6">
        <f t="shared" si="13"/>
        <v>0</v>
      </c>
      <c r="K47" s="2"/>
      <c r="L47" s="7">
        <f t="shared" si="14"/>
        <v>0</v>
      </c>
      <c r="M47" s="2"/>
      <c r="N47" s="6">
        <f t="shared" si="15"/>
        <v>0</v>
      </c>
      <c r="O47" s="11"/>
      <c r="P47" s="7"/>
      <c r="Q47" s="2"/>
      <c r="R47" s="6">
        <f t="shared" si="16"/>
        <v>0</v>
      </c>
      <c r="S47" s="2"/>
      <c r="T47" s="7">
        <v>0</v>
      </c>
      <c r="U47" s="2"/>
      <c r="V47" s="6">
        <f t="shared" si="17"/>
        <v>0</v>
      </c>
      <c r="W47" s="2"/>
      <c r="X47" s="7">
        <f t="shared" si="18"/>
        <v>0</v>
      </c>
      <c r="Y47" s="2"/>
      <c r="Z47" s="6">
        <f t="shared" si="19"/>
        <v>0</v>
      </c>
    </row>
    <row r="48" spans="1:26" s="24" customFormat="1" hidden="1" outlineLevel="2" x14ac:dyDescent="0.25">
      <c r="A48" s="29"/>
      <c r="B48" s="11" t="str">
        <f>CONCATENATE("          ", "6009", " - ", "TEMPORARY-SEASONAL")</f>
        <v xml:space="preserve">          6009 - TEMPORARY-SEASONAL</v>
      </c>
      <c r="C48" s="11"/>
      <c r="D48" s="7"/>
      <c r="E48" s="2"/>
      <c r="F48" s="6">
        <f t="shared" si="12"/>
        <v>0</v>
      </c>
      <c r="G48" s="2"/>
      <c r="H48" s="7">
        <v>0</v>
      </c>
      <c r="I48" s="2"/>
      <c r="J48" s="6">
        <f t="shared" si="13"/>
        <v>0</v>
      </c>
      <c r="K48" s="2"/>
      <c r="L48" s="7">
        <f t="shared" si="14"/>
        <v>0</v>
      </c>
      <c r="M48" s="2"/>
      <c r="N48" s="6">
        <f t="shared" si="15"/>
        <v>0</v>
      </c>
      <c r="O48" s="11"/>
      <c r="P48" s="7"/>
      <c r="Q48" s="2"/>
      <c r="R48" s="6">
        <f t="shared" si="16"/>
        <v>0</v>
      </c>
      <c r="S48" s="2"/>
      <c r="T48" s="7">
        <v>0</v>
      </c>
      <c r="U48" s="2"/>
      <c r="V48" s="6">
        <f t="shared" si="17"/>
        <v>0</v>
      </c>
      <c r="W48" s="2"/>
      <c r="X48" s="7">
        <f t="shared" si="18"/>
        <v>0</v>
      </c>
      <c r="Y48" s="2"/>
      <c r="Z48" s="6">
        <f t="shared" si="19"/>
        <v>0</v>
      </c>
    </row>
    <row r="49" spans="1:26" s="24" customFormat="1" hidden="1" outlineLevel="2" x14ac:dyDescent="0.25">
      <c r="A49" s="29"/>
      <c r="B49" s="11" t="str">
        <f>CONCATENATE("          ", "6010", " - ", "GRATUITY")</f>
        <v xml:space="preserve">          6010 - GRATUITY</v>
      </c>
      <c r="C49" s="11"/>
      <c r="D49" s="7"/>
      <c r="E49" s="2"/>
      <c r="F49" s="6">
        <f t="shared" si="12"/>
        <v>0</v>
      </c>
      <c r="G49" s="2"/>
      <c r="H49" s="7">
        <v>0</v>
      </c>
      <c r="I49" s="2"/>
      <c r="J49" s="6">
        <f t="shared" si="13"/>
        <v>0</v>
      </c>
      <c r="K49" s="2"/>
      <c r="L49" s="7">
        <f t="shared" si="14"/>
        <v>0</v>
      </c>
      <c r="M49" s="2"/>
      <c r="N49" s="6">
        <f t="shared" si="15"/>
        <v>0</v>
      </c>
      <c r="O49" s="11"/>
      <c r="P49" s="7"/>
      <c r="Q49" s="2"/>
      <c r="R49" s="6">
        <f t="shared" si="16"/>
        <v>0</v>
      </c>
      <c r="S49" s="2"/>
      <c r="T49" s="7">
        <v>0</v>
      </c>
      <c r="U49" s="2"/>
      <c r="V49" s="6">
        <f t="shared" si="17"/>
        <v>0</v>
      </c>
      <c r="W49" s="2"/>
      <c r="X49" s="7">
        <f t="shared" si="18"/>
        <v>0</v>
      </c>
      <c r="Y49" s="2"/>
      <c r="Z49" s="6">
        <f t="shared" si="19"/>
        <v>0</v>
      </c>
    </row>
    <row r="50" spans="1:26" s="28" customFormat="1" outlineLevel="1" collapsed="1" x14ac:dyDescent="0.25">
      <c r="A50" s="27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0</v>
      </c>
      <c r="E50" s="1"/>
      <c r="F50" s="5">
        <f t="shared" ref="F50:F60" si="20">IF(D$12=0,0,D50/D$12)</f>
        <v>0</v>
      </c>
      <c r="G50" s="1"/>
      <c r="H50" s="1">
        <f>SUM(OSRRefH22_2x_0)</f>
        <v>50</v>
      </c>
      <c r="I50" s="1"/>
      <c r="J50" s="5">
        <f t="shared" ref="J50:J60" si="21">IF(H$12=0,0,H50/H$12)</f>
        <v>3.3783783783783786E-3</v>
      </c>
      <c r="K50" s="1"/>
      <c r="L50" s="1">
        <f t="shared" ref="L50:L60" si="22">+D50-H50</f>
        <v>-50</v>
      </c>
      <c r="M50" s="1"/>
      <c r="N50" s="5">
        <f t="shared" ref="N50:N60" si="23">IF(H50=0,0,L50/H50)</f>
        <v>-1</v>
      </c>
      <c r="O50" s="14"/>
      <c r="P50" s="1">
        <f>SUM(OSRRefP22_2x_0)</f>
        <v>0</v>
      </c>
      <c r="Q50" s="1"/>
      <c r="R50" s="5">
        <f t="shared" ref="R50:R60" si="24">IF(P$12=0,0,P50/P$12)</f>
        <v>0</v>
      </c>
      <c r="S50" s="1"/>
      <c r="T50" s="1">
        <f>SUM(OSRRefT22_2x_0)</f>
        <v>300</v>
      </c>
      <c r="U50" s="1"/>
      <c r="V50" s="5">
        <f t="shared" ref="V50:V60" si="25">IF(T$12=0,0,T50/T$12)</f>
        <v>2.2520324592945132E-3</v>
      </c>
      <c r="W50" s="1"/>
      <c r="X50" s="1">
        <f t="shared" ref="X50:X60" si="26">+P50-T50</f>
        <v>-300</v>
      </c>
      <c r="Y50" s="1"/>
      <c r="Z50" s="5">
        <f t="shared" ref="Z50:Z60" si="27">IF(T50=0,0,X50/T50)</f>
        <v>-1</v>
      </c>
    </row>
    <row r="51" spans="1:26" s="24" customFormat="1" hidden="1" outlineLevel="2" x14ac:dyDescent="0.25">
      <c r="A51" s="29"/>
      <c r="B51" s="11" t="str">
        <f>CONCATENATE("          ", "6362", " - ", "ADVERTISING EXPENSE")</f>
        <v xml:space="preserve">          6362 - ADVERTISING EXPENSE</v>
      </c>
      <c r="C51" s="11"/>
      <c r="D51" s="7"/>
      <c r="E51" s="2"/>
      <c r="F51" s="6">
        <f t="shared" si="20"/>
        <v>0</v>
      </c>
      <c r="G51" s="2"/>
      <c r="H51" s="7">
        <v>50</v>
      </c>
      <c r="I51" s="2"/>
      <c r="J51" s="6">
        <f t="shared" si="21"/>
        <v>3.3783783783783786E-3</v>
      </c>
      <c r="K51" s="2"/>
      <c r="L51" s="7">
        <f t="shared" si="22"/>
        <v>-50</v>
      </c>
      <c r="M51" s="2"/>
      <c r="N51" s="6">
        <f t="shared" si="23"/>
        <v>-1</v>
      </c>
      <c r="O51" s="11"/>
      <c r="P51" s="7"/>
      <c r="Q51" s="2"/>
      <c r="R51" s="6">
        <f t="shared" si="24"/>
        <v>0</v>
      </c>
      <c r="S51" s="2"/>
      <c r="T51" s="7">
        <v>300</v>
      </c>
      <c r="U51" s="2"/>
      <c r="V51" s="6">
        <f t="shared" si="25"/>
        <v>2.2520324592945132E-3</v>
      </c>
      <c r="W51" s="2"/>
      <c r="X51" s="7">
        <f t="shared" si="26"/>
        <v>-300</v>
      </c>
      <c r="Y51" s="2"/>
      <c r="Z51" s="6">
        <f t="shared" si="27"/>
        <v>-1</v>
      </c>
    </row>
    <row r="52" spans="1:26" s="28" customFormat="1" outlineLevel="1" collapsed="1" x14ac:dyDescent="0.25">
      <c r="A52" s="27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SUM(OSRRefD22_3x_0)</f>
        <v>169.88</v>
      </c>
      <c r="E52" s="1"/>
      <c r="F52" s="5">
        <f t="shared" si="20"/>
        <v>0.13516760687773011</v>
      </c>
      <c r="G52" s="1"/>
      <c r="H52" s="1">
        <f>SUM(OSRRefH22_3x_0)</f>
        <v>170</v>
      </c>
      <c r="I52" s="1"/>
      <c r="J52" s="5">
        <f t="shared" si="21"/>
        <v>1.1486486486486487E-2</v>
      </c>
      <c r="K52" s="1"/>
      <c r="L52" s="1">
        <f t="shared" si="22"/>
        <v>-0.12000000000000455</v>
      </c>
      <c r="M52" s="1"/>
      <c r="N52" s="5">
        <f t="shared" si="23"/>
        <v>-7.0588235294120319E-4</v>
      </c>
      <c r="O52" s="14"/>
      <c r="P52" s="1">
        <f>SUM(OSRRefP22_3x_0)</f>
        <v>1019.28</v>
      </c>
      <c r="Q52" s="1"/>
      <c r="R52" s="5">
        <f t="shared" si="24"/>
        <v>1.3621325858228525E-2</v>
      </c>
      <c r="S52" s="1"/>
      <c r="T52" s="1">
        <f>SUM(OSRRefT22_3x_0)</f>
        <v>1020</v>
      </c>
      <c r="U52" s="1"/>
      <c r="V52" s="5">
        <f t="shared" si="25"/>
        <v>7.6569103616013455E-3</v>
      </c>
      <c r="W52" s="1"/>
      <c r="X52" s="1">
        <f t="shared" si="26"/>
        <v>-0.72000000000002728</v>
      </c>
      <c r="Y52" s="1"/>
      <c r="Z52" s="5">
        <f t="shared" si="27"/>
        <v>-7.0588235294120319E-4</v>
      </c>
    </row>
    <row r="53" spans="1:26" s="24" customFormat="1" hidden="1" outlineLevel="2" x14ac:dyDescent="0.25">
      <c r="A53" s="29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169.88</v>
      </c>
      <c r="E53" s="2"/>
      <c r="F53" s="6">
        <f t="shared" si="20"/>
        <v>0.13516760687773011</v>
      </c>
      <c r="G53" s="2"/>
      <c r="H53" s="7">
        <v>170</v>
      </c>
      <c r="I53" s="2"/>
      <c r="J53" s="6">
        <f t="shared" si="21"/>
        <v>1.1486486486486487E-2</v>
      </c>
      <c r="K53" s="2"/>
      <c r="L53" s="7">
        <f t="shared" si="22"/>
        <v>-0.12000000000000455</v>
      </c>
      <c r="M53" s="2"/>
      <c r="N53" s="6">
        <f t="shared" si="23"/>
        <v>-7.0588235294120319E-4</v>
      </c>
      <c r="O53" s="11"/>
      <c r="P53" s="7">
        <v>1019.28</v>
      </c>
      <c r="Q53" s="2"/>
      <c r="R53" s="6">
        <f t="shared" si="24"/>
        <v>1.3621325858228525E-2</v>
      </c>
      <c r="S53" s="2"/>
      <c r="T53" s="7">
        <v>1020</v>
      </c>
      <c r="U53" s="2"/>
      <c r="V53" s="6">
        <f t="shared" si="25"/>
        <v>7.6569103616013455E-3</v>
      </c>
      <c r="W53" s="2"/>
      <c r="X53" s="7">
        <f t="shared" si="26"/>
        <v>-0.72000000000002728</v>
      </c>
      <c r="Y53" s="2"/>
      <c r="Z53" s="6">
        <f t="shared" si="27"/>
        <v>-7.0588235294120319E-4</v>
      </c>
    </row>
    <row r="54" spans="1:26" s="28" customFormat="1" outlineLevel="1" collapsed="1" x14ac:dyDescent="0.25">
      <c r="A54" s="27"/>
      <c r="B54" s="14" t="str">
        <f>CONCATENATE("     ","Discounts and Markdowns                           ")</f>
        <v xml:space="preserve">     Discounts and Markdowns                           </v>
      </c>
      <c r="C54" s="14"/>
      <c r="D54" s="1">
        <f>SUM(OSRRefD22_4x_0)</f>
        <v>0</v>
      </c>
      <c r="E54" s="1"/>
      <c r="F54" s="5">
        <f t="shared" si="20"/>
        <v>0</v>
      </c>
      <c r="G54" s="1"/>
      <c r="H54" s="1">
        <f>SUM(OSRRefH22_4x_0)</f>
        <v>50</v>
      </c>
      <c r="I54" s="1"/>
      <c r="J54" s="5">
        <f t="shared" si="21"/>
        <v>3.3783783783783786E-3</v>
      </c>
      <c r="K54" s="1"/>
      <c r="L54" s="1">
        <f t="shared" si="22"/>
        <v>-50</v>
      </c>
      <c r="M54" s="1"/>
      <c r="N54" s="5">
        <f t="shared" si="23"/>
        <v>-1</v>
      </c>
      <c r="O54" s="14"/>
      <c r="P54" s="1">
        <f>SUM(OSRRefP22_4x_0)</f>
        <v>0</v>
      </c>
      <c r="Q54" s="1"/>
      <c r="R54" s="5">
        <f t="shared" si="24"/>
        <v>0</v>
      </c>
      <c r="S54" s="1"/>
      <c r="T54" s="1">
        <f>SUM(OSRRefT22_4x_0)</f>
        <v>300</v>
      </c>
      <c r="U54" s="1"/>
      <c r="V54" s="5">
        <f t="shared" si="25"/>
        <v>2.2520324592945132E-3</v>
      </c>
      <c r="W54" s="1"/>
      <c r="X54" s="1">
        <f t="shared" si="26"/>
        <v>-300</v>
      </c>
      <c r="Y54" s="1"/>
      <c r="Z54" s="5">
        <f t="shared" si="27"/>
        <v>-1</v>
      </c>
    </row>
    <row r="55" spans="1:26" s="24" customFormat="1" hidden="1" outlineLevel="2" x14ac:dyDescent="0.25">
      <c r="A55" s="29"/>
      <c r="B55" s="11" t="str">
        <f>CONCATENATE("          ", "6382", " - ", "DISCOUNTS/MARK DOWNS")</f>
        <v xml:space="preserve">          6382 - DISCOUNTS/MARK DOWNS</v>
      </c>
      <c r="C55" s="11"/>
      <c r="D55" s="7"/>
      <c r="E55" s="2"/>
      <c r="F55" s="6">
        <f t="shared" si="20"/>
        <v>0</v>
      </c>
      <c r="G55" s="2"/>
      <c r="H55" s="7">
        <v>50</v>
      </c>
      <c r="I55" s="2"/>
      <c r="J55" s="6">
        <f t="shared" si="21"/>
        <v>3.3783783783783786E-3</v>
      </c>
      <c r="K55" s="2"/>
      <c r="L55" s="7">
        <f t="shared" si="22"/>
        <v>-50</v>
      </c>
      <c r="M55" s="2"/>
      <c r="N55" s="6">
        <f t="shared" si="23"/>
        <v>-1</v>
      </c>
      <c r="O55" s="11"/>
      <c r="P55" s="7"/>
      <c r="Q55" s="2"/>
      <c r="R55" s="6">
        <f t="shared" si="24"/>
        <v>0</v>
      </c>
      <c r="S55" s="2"/>
      <c r="T55" s="7">
        <v>300</v>
      </c>
      <c r="U55" s="2"/>
      <c r="V55" s="6">
        <f t="shared" si="25"/>
        <v>2.2520324592945132E-3</v>
      </c>
      <c r="W55" s="2"/>
      <c r="X55" s="7">
        <f t="shared" si="26"/>
        <v>-300</v>
      </c>
      <c r="Y55" s="2"/>
      <c r="Z55" s="6">
        <f t="shared" si="27"/>
        <v>-1</v>
      </c>
    </row>
    <row r="56" spans="1:26" s="28" customFormat="1" outlineLevel="1" collapsed="1" x14ac:dyDescent="0.25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SUM(OSRRefD22_5x_0)</f>
        <v>1205.6400000000001</v>
      </c>
      <c r="E56" s="1"/>
      <c r="F56" s="5">
        <f t="shared" si="20"/>
        <v>0.95928581090220477</v>
      </c>
      <c r="G56" s="1"/>
      <c r="H56" s="1">
        <f>SUM(OSRRefH22_5x_0)</f>
        <v>1206</v>
      </c>
      <c r="I56" s="1"/>
      <c r="J56" s="5">
        <f t="shared" si="21"/>
        <v>8.1486486486486487E-2</v>
      </c>
      <c r="K56" s="1"/>
      <c r="L56" s="1">
        <f t="shared" si="22"/>
        <v>-0.35999999999989996</v>
      </c>
      <c r="M56" s="1"/>
      <c r="N56" s="5">
        <f t="shared" si="23"/>
        <v>-2.9850746268648423E-4</v>
      </c>
      <c r="O56" s="14"/>
      <c r="P56" s="1">
        <f>SUM(OSRRefP22_5x_0)</f>
        <v>7233.84</v>
      </c>
      <c r="Q56" s="1"/>
      <c r="R56" s="5">
        <f t="shared" si="24"/>
        <v>9.6670681114402163E-2</v>
      </c>
      <c r="S56" s="1"/>
      <c r="T56" s="1">
        <f>SUM(OSRRefT22_5x_0)</f>
        <v>7236</v>
      </c>
      <c r="U56" s="1"/>
      <c r="V56" s="5">
        <f t="shared" si="25"/>
        <v>5.4319022918183663E-2</v>
      </c>
      <c r="W56" s="1"/>
      <c r="X56" s="1">
        <f t="shared" si="26"/>
        <v>-2.1599999999998545</v>
      </c>
      <c r="Y56" s="1"/>
      <c r="Z56" s="5">
        <f t="shared" si="27"/>
        <v>-2.9850746268654706E-4</v>
      </c>
    </row>
    <row r="57" spans="1:26" s="24" customFormat="1" hidden="1" outlineLevel="2" x14ac:dyDescent="0.25">
      <c r="A57" s="29"/>
      <c r="B57" s="11" t="str">
        <f>CONCATENATE("          ", "6351", " - ", "EQUIPMENT RENTAL")</f>
        <v xml:space="preserve">          6351 - EQUIPMENT RENTAL</v>
      </c>
      <c r="C57" s="11"/>
      <c r="D57" s="7">
        <v>1205.6400000000001</v>
      </c>
      <c r="E57" s="2"/>
      <c r="F57" s="6">
        <f t="shared" si="20"/>
        <v>0.95928581090220477</v>
      </c>
      <c r="G57" s="2"/>
      <c r="H57" s="7">
        <v>1206</v>
      </c>
      <c r="I57" s="2"/>
      <c r="J57" s="6">
        <f t="shared" si="21"/>
        <v>8.1486486486486487E-2</v>
      </c>
      <c r="K57" s="2"/>
      <c r="L57" s="7">
        <f t="shared" si="22"/>
        <v>-0.35999999999989996</v>
      </c>
      <c r="M57" s="2"/>
      <c r="N57" s="6">
        <f t="shared" si="23"/>
        <v>-2.9850746268648423E-4</v>
      </c>
      <c r="O57" s="11"/>
      <c r="P57" s="7">
        <v>7233.84</v>
      </c>
      <c r="Q57" s="2"/>
      <c r="R57" s="6">
        <f t="shared" si="24"/>
        <v>9.6670681114402163E-2</v>
      </c>
      <c r="S57" s="2"/>
      <c r="T57" s="7">
        <v>7236</v>
      </c>
      <c r="U57" s="2"/>
      <c r="V57" s="6">
        <f t="shared" si="25"/>
        <v>5.4319022918183663E-2</v>
      </c>
      <c r="W57" s="2"/>
      <c r="X57" s="7">
        <f t="shared" si="26"/>
        <v>-2.1599999999998545</v>
      </c>
      <c r="Y57" s="2"/>
      <c r="Z57" s="6">
        <f t="shared" si="27"/>
        <v>-2.9850746268654706E-4</v>
      </c>
    </row>
    <row r="58" spans="1:26" s="28" customFormat="1" outlineLevel="1" collapsed="1" x14ac:dyDescent="0.25">
      <c r="A58" s="27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SUM(OSRRefD22_6x_0)</f>
        <v>107.48999999999978</v>
      </c>
      <c r="E58" s="1"/>
      <c r="F58" s="5">
        <f t="shared" si="20"/>
        <v>8.5526054057494583E-2</v>
      </c>
      <c r="G58" s="1"/>
      <c r="H58" s="1">
        <f>SUM(OSRRefH22_6x_0)</f>
        <v>6500</v>
      </c>
      <c r="I58" s="1"/>
      <c r="J58" s="5">
        <f t="shared" si="21"/>
        <v>0.4391891891891892</v>
      </c>
      <c r="K58" s="1"/>
      <c r="L58" s="1">
        <f t="shared" si="22"/>
        <v>-6392.51</v>
      </c>
      <c r="M58" s="1"/>
      <c r="N58" s="5">
        <f t="shared" si="23"/>
        <v>-0.983463076923077</v>
      </c>
      <c r="O58" s="14"/>
      <c r="P58" s="1">
        <f>SUM(OSRRefP22_6x_0)</f>
        <v>-24733.87999999999</v>
      </c>
      <c r="Q58" s="1"/>
      <c r="R58" s="5">
        <f t="shared" si="24"/>
        <v>-0.33053551449878465</v>
      </c>
      <c r="S58" s="1"/>
      <c r="T58" s="1">
        <f>SUM(OSRRefT22_6x_0)</f>
        <v>39310</v>
      </c>
      <c r="U58" s="1"/>
      <c r="V58" s="5">
        <f t="shared" si="25"/>
        <v>0.29509131991622439</v>
      </c>
      <c r="W58" s="1"/>
      <c r="X58" s="1">
        <f t="shared" si="26"/>
        <v>-64043.87999999999</v>
      </c>
      <c r="Y58" s="1"/>
      <c r="Z58" s="5">
        <f t="shared" si="27"/>
        <v>-1.6292007122869496</v>
      </c>
    </row>
    <row r="59" spans="1:26" s="24" customFormat="1" hidden="1" outlineLevel="2" x14ac:dyDescent="0.25">
      <c r="A59" s="29"/>
      <c r="B59" s="11" t="str">
        <f>CONCATENATE("          ", "6305", " - ", "FREIGHT OUT")</f>
        <v xml:space="preserve">          6305 - FREIGHT OUT</v>
      </c>
      <c r="C59" s="11"/>
      <c r="D59" s="7">
        <v>9824.01</v>
      </c>
      <c r="E59" s="2"/>
      <c r="F59" s="6">
        <f t="shared" si="20"/>
        <v>7.8166230376906602</v>
      </c>
      <c r="G59" s="2"/>
      <c r="H59" s="7">
        <v>3000</v>
      </c>
      <c r="I59" s="2"/>
      <c r="J59" s="6">
        <f t="shared" si="21"/>
        <v>0.20270270270270271</v>
      </c>
      <c r="K59" s="2"/>
      <c r="L59" s="7">
        <f t="shared" si="22"/>
        <v>6824.01</v>
      </c>
      <c r="M59" s="2"/>
      <c r="N59" s="6">
        <f t="shared" si="23"/>
        <v>2.27467</v>
      </c>
      <c r="O59" s="11"/>
      <c r="P59" s="7">
        <v>108062.24</v>
      </c>
      <c r="Q59" s="2"/>
      <c r="R59" s="6">
        <f t="shared" si="24"/>
        <v>1.4441085707657335</v>
      </c>
      <c r="S59" s="2"/>
      <c r="T59" s="7">
        <v>20060</v>
      </c>
      <c r="U59" s="2"/>
      <c r="V59" s="6">
        <f t="shared" si="25"/>
        <v>0.15058590377815978</v>
      </c>
      <c r="W59" s="2"/>
      <c r="X59" s="7">
        <f t="shared" si="26"/>
        <v>88002.240000000005</v>
      </c>
      <c r="Y59" s="2"/>
      <c r="Z59" s="6">
        <f t="shared" si="27"/>
        <v>4.3869511465603193</v>
      </c>
    </row>
    <row r="60" spans="1:26" s="24" customFormat="1" hidden="1" outlineLevel="2" x14ac:dyDescent="0.25">
      <c r="A60" s="29"/>
      <c r="B60" s="11" t="str">
        <f>CONCATENATE("          ", "6307", " - ", "POSTAGE")</f>
        <v xml:space="preserve">          6307 - POSTAGE</v>
      </c>
      <c r="C60" s="11"/>
      <c r="D60" s="7">
        <v>-9716.52</v>
      </c>
      <c r="E60" s="2"/>
      <c r="F60" s="6">
        <f t="shared" si="20"/>
        <v>-7.731096983633166</v>
      </c>
      <c r="G60" s="2"/>
      <c r="H60" s="7">
        <v>3500</v>
      </c>
      <c r="I60" s="2"/>
      <c r="J60" s="6">
        <f t="shared" si="21"/>
        <v>0.23648648648648649</v>
      </c>
      <c r="K60" s="2"/>
      <c r="L60" s="7">
        <f t="shared" si="22"/>
        <v>-13216.52</v>
      </c>
      <c r="M60" s="2"/>
      <c r="N60" s="6">
        <f t="shared" si="23"/>
        <v>-3.7761485714285716</v>
      </c>
      <c r="O60" s="11"/>
      <c r="P60" s="7">
        <v>-132796.12</v>
      </c>
      <c r="Q60" s="2"/>
      <c r="R60" s="6">
        <f t="shared" si="24"/>
        <v>-1.7746440852645182</v>
      </c>
      <c r="S60" s="2"/>
      <c r="T60" s="7">
        <v>19250</v>
      </c>
      <c r="U60" s="2"/>
      <c r="V60" s="6">
        <f t="shared" si="25"/>
        <v>0.14450541613806461</v>
      </c>
      <c r="W60" s="2"/>
      <c r="X60" s="7">
        <f t="shared" si="26"/>
        <v>-152046.12</v>
      </c>
      <c r="Y60" s="2"/>
      <c r="Z60" s="6">
        <f t="shared" si="27"/>
        <v>-7.8984997402597399</v>
      </c>
    </row>
    <row r="61" spans="1:26" s="28" customFormat="1" outlineLevel="1" collapsed="1" x14ac:dyDescent="0.25">
      <c r="A61" s="27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SUM(OSRRefD22_7x_0)</f>
        <v>4858.63</v>
      </c>
      <c r="E61" s="1"/>
      <c r="F61" s="5">
        <f t="shared" ref="F61:F63" si="28">IF(D$12=0,0,D61/D$12)</f>
        <v>3.8658428879464672</v>
      </c>
      <c r="G61" s="1"/>
      <c r="H61" s="1">
        <f>SUM(OSRRefH22_7x_0)</f>
        <v>5000</v>
      </c>
      <c r="I61" s="1"/>
      <c r="J61" s="5">
        <f t="shared" ref="J61:J63" si="29">IF(H$12=0,0,H61/H$12)</f>
        <v>0.33783783783783783</v>
      </c>
      <c r="K61" s="1"/>
      <c r="L61" s="1">
        <f t="shared" ref="L61:L63" si="30">+D61-H61</f>
        <v>-141.36999999999989</v>
      </c>
      <c r="M61" s="1"/>
      <c r="N61" s="5">
        <f t="shared" ref="N61:N63" si="31">IF(H61=0,0,L61/H61)</f>
        <v>-2.827399999999998E-2</v>
      </c>
      <c r="O61" s="14"/>
      <c r="P61" s="1">
        <f>SUM(OSRRefP22_7x_0)</f>
        <v>29379.51</v>
      </c>
      <c r="Q61" s="1"/>
      <c r="R61" s="5">
        <f t="shared" ref="R61:R63" si="32">IF(P$12=0,0,P61/P$12)</f>
        <v>0.39261820036210215</v>
      </c>
      <c r="S61" s="1"/>
      <c r="T61" s="1">
        <f>SUM(OSRRefT22_7x_0)</f>
        <v>26700</v>
      </c>
      <c r="U61" s="1"/>
      <c r="V61" s="5">
        <f t="shared" ref="V61:V63" si="33">IF(T$12=0,0,T61/T$12)</f>
        <v>0.20043088887721169</v>
      </c>
      <c r="W61" s="1"/>
      <c r="X61" s="1">
        <f t="shared" ref="X61:X63" si="34">+P61-T61</f>
        <v>2679.5099999999984</v>
      </c>
      <c r="Y61" s="1"/>
      <c r="Z61" s="5">
        <f t="shared" ref="Z61:Z63" si="35">IF(T61=0,0,X61/T61)</f>
        <v>0.10035617977528084</v>
      </c>
    </row>
    <row r="62" spans="1:26" s="24" customFormat="1" hidden="1" outlineLevel="2" x14ac:dyDescent="0.25">
      <c r="A62" s="29"/>
      <c r="B62" s="11" t="str">
        <f>CONCATENATE("          ", "6371", " - ", "COMPUTER SOFTWARE MAINTENANCE")</f>
        <v xml:space="preserve">          6371 - COMPUTER SOFTWARE MAINTENANCE</v>
      </c>
      <c r="C62" s="11"/>
      <c r="D62" s="7"/>
      <c r="E62" s="2"/>
      <c r="F62" s="6">
        <f t="shared" si="28"/>
        <v>0</v>
      </c>
      <c r="G62" s="2"/>
      <c r="H62" s="7"/>
      <c r="I62" s="2"/>
      <c r="J62" s="6">
        <f t="shared" si="29"/>
        <v>0</v>
      </c>
      <c r="K62" s="2"/>
      <c r="L62" s="7">
        <f t="shared" si="30"/>
        <v>0</v>
      </c>
      <c r="M62" s="2"/>
      <c r="N62" s="6">
        <f t="shared" si="31"/>
        <v>0</v>
      </c>
      <c r="O62" s="11"/>
      <c r="P62" s="7">
        <v>7.69</v>
      </c>
      <c r="Q62" s="2"/>
      <c r="R62" s="6">
        <f t="shared" si="32"/>
        <v>1.0276665474626929E-4</v>
      </c>
      <c r="S62" s="2"/>
      <c r="T62" s="7"/>
      <c r="U62" s="2"/>
      <c r="V62" s="6">
        <f t="shared" si="33"/>
        <v>0</v>
      </c>
      <c r="W62" s="2"/>
      <c r="X62" s="7">
        <f t="shared" si="34"/>
        <v>7.69</v>
      </c>
      <c r="Y62" s="2"/>
      <c r="Z62" s="6">
        <f t="shared" si="35"/>
        <v>0</v>
      </c>
    </row>
    <row r="63" spans="1:26" s="24" customFormat="1" hidden="1" outlineLevel="2" x14ac:dyDescent="0.25">
      <c r="A63" s="29"/>
      <c r="B63" s="11" t="str">
        <f>CONCATENATE("          ", "6373", " - ", "MAINTENANCE CONTRACTS")</f>
        <v xml:space="preserve">          6373 - MAINTENANCE CONTRACTS</v>
      </c>
      <c r="C63" s="11"/>
      <c r="D63" s="7">
        <v>4858.63</v>
      </c>
      <c r="E63" s="2"/>
      <c r="F63" s="6">
        <f t="shared" si="28"/>
        <v>3.8658428879464672</v>
      </c>
      <c r="G63" s="2"/>
      <c r="H63" s="7">
        <v>5000</v>
      </c>
      <c r="I63" s="2"/>
      <c r="J63" s="6">
        <f t="shared" si="29"/>
        <v>0.33783783783783783</v>
      </c>
      <c r="K63" s="2"/>
      <c r="L63" s="7">
        <f t="shared" si="30"/>
        <v>-141.36999999999989</v>
      </c>
      <c r="M63" s="2"/>
      <c r="N63" s="6">
        <f t="shared" si="31"/>
        <v>-2.827399999999998E-2</v>
      </c>
      <c r="O63" s="11"/>
      <c r="P63" s="7">
        <v>29371.82</v>
      </c>
      <c r="Q63" s="2"/>
      <c r="R63" s="6">
        <f t="shared" si="32"/>
        <v>0.39251543370735592</v>
      </c>
      <c r="S63" s="2"/>
      <c r="T63" s="7">
        <v>26700</v>
      </c>
      <c r="U63" s="2"/>
      <c r="V63" s="6">
        <f t="shared" si="33"/>
        <v>0.20043088887721169</v>
      </c>
      <c r="W63" s="2"/>
      <c r="X63" s="7">
        <f t="shared" si="34"/>
        <v>2671.8199999999997</v>
      </c>
      <c r="Y63" s="2"/>
      <c r="Z63" s="6">
        <f t="shared" si="35"/>
        <v>0.10006816479400749</v>
      </c>
    </row>
    <row r="64" spans="1:26" s="28" customFormat="1" outlineLevel="1" collapsed="1" x14ac:dyDescent="0.25">
      <c r="A64" s="27"/>
      <c r="B64" s="14" t="str">
        <f>CONCATENATE("     ","Royalty &amp; Commissions                             ")</f>
        <v xml:space="preserve">     Royalty &amp; Commissions                             </v>
      </c>
      <c r="C64" s="14"/>
      <c r="D64" s="1">
        <f>SUM(OSRRefD22_8x_0)</f>
        <v>5.97</v>
      </c>
      <c r="E64" s="1"/>
      <c r="F64" s="5">
        <f t="shared" ref="F64:F71" si="36">IF(D$12=0,0,D64/D$12)</f>
        <v>4.7501213389454242E-3</v>
      </c>
      <c r="G64" s="1"/>
      <c r="H64" s="1">
        <f>SUM(OSRRefH22_8x_0)</f>
        <v>900</v>
      </c>
      <c r="I64" s="1"/>
      <c r="J64" s="5">
        <f t="shared" ref="J64:J71" si="37">IF(H$12=0,0,H64/H$12)</f>
        <v>6.0810810810810814E-2</v>
      </c>
      <c r="K64" s="1"/>
      <c r="L64" s="1">
        <f t="shared" ref="L64:L71" si="38">+D64-H64</f>
        <v>-894.03</v>
      </c>
      <c r="M64" s="1"/>
      <c r="N64" s="5">
        <f t="shared" ref="N64:N71" si="39">IF(H64=0,0,L64/H64)</f>
        <v>-0.99336666666666662</v>
      </c>
      <c r="O64" s="14"/>
      <c r="P64" s="1">
        <f>SUM(OSRRefP22_8x_0)</f>
        <v>10164.26</v>
      </c>
      <c r="Q64" s="1"/>
      <c r="R64" s="5">
        <f t="shared" ref="R64:R71" si="40">IF(P$12=0,0,P64/P$12)</f>
        <v>0.13583185932006697</v>
      </c>
      <c r="S64" s="1"/>
      <c r="T64" s="1">
        <f>SUM(OSRRefT22_8x_0)</f>
        <v>4350</v>
      </c>
      <c r="U64" s="1"/>
      <c r="V64" s="5">
        <f t="shared" ref="V64:V71" si="41">IF(T$12=0,0,T64/T$12)</f>
        <v>3.2654470659770445E-2</v>
      </c>
      <c r="W64" s="1"/>
      <c r="X64" s="1">
        <f t="shared" ref="X64:X71" si="42">+P64-T64</f>
        <v>5814.26</v>
      </c>
      <c r="Y64" s="1"/>
      <c r="Z64" s="5">
        <f t="shared" ref="Z64:Z71" si="43">IF(T64=0,0,X64/T64)</f>
        <v>1.3366114942528735</v>
      </c>
    </row>
    <row r="65" spans="1:26" s="24" customFormat="1" hidden="1" outlineLevel="2" x14ac:dyDescent="0.25">
      <c r="A65" s="29"/>
      <c r="B65" s="11" t="str">
        <f>CONCATENATE("          ", "6259", " - ", "ROYALTY &amp; COMMISSIONS")</f>
        <v xml:space="preserve">          6259 - ROYALTY &amp; COMMISSIONS</v>
      </c>
      <c r="C65" s="11"/>
      <c r="D65" s="7">
        <v>5.97</v>
      </c>
      <c r="E65" s="2"/>
      <c r="F65" s="6">
        <f t="shared" si="36"/>
        <v>4.7501213389454242E-3</v>
      </c>
      <c r="G65" s="2"/>
      <c r="H65" s="7">
        <v>900</v>
      </c>
      <c r="I65" s="2"/>
      <c r="J65" s="6">
        <f t="shared" si="37"/>
        <v>6.0810810810810814E-2</v>
      </c>
      <c r="K65" s="2"/>
      <c r="L65" s="7">
        <f t="shared" si="38"/>
        <v>-894.03</v>
      </c>
      <c r="M65" s="2"/>
      <c r="N65" s="6">
        <f t="shared" si="39"/>
        <v>-0.99336666666666662</v>
      </c>
      <c r="O65" s="11"/>
      <c r="P65" s="7">
        <v>10164.26</v>
      </c>
      <c r="Q65" s="2"/>
      <c r="R65" s="6">
        <f t="shared" si="40"/>
        <v>0.13583185932006697</v>
      </c>
      <c r="S65" s="2"/>
      <c r="T65" s="7">
        <v>4350</v>
      </c>
      <c r="U65" s="2"/>
      <c r="V65" s="6">
        <f t="shared" si="41"/>
        <v>3.2654470659770445E-2</v>
      </c>
      <c r="W65" s="2"/>
      <c r="X65" s="7">
        <f t="shared" si="42"/>
        <v>5814.26</v>
      </c>
      <c r="Y65" s="2"/>
      <c r="Z65" s="6">
        <f t="shared" si="43"/>
        <v>1.3366114942528735</v>
      </c>
    </row>
    <row r="66" spans="1:26" s="28" customFormat="1" outlineLevel="1" collapsed="1" x14ac:dyDescent="0.25">
      <c r="A66" s="27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SUM(OSRRefD22_9x_0)</f>
        <v>1943.62</v>
      </c>
      <c r="E66" s="1"/>
      <c r="F66" s="5">
        <f t="shared" si="36"/>
        <v>1.5464708269348586</v>
      </c>
      <c r="G66" s="1"/>
      <c r="H66" s="1">
        <f>SUM(OSRRefH22_9x_0)</f>
        <v>3600</v>
      </c>
      <c r="I66" s="1"/>
      <c r="J66" s="5">
        <f t="shared" si="37"/>
        <v>0.24324324324324326</v>
      </c>
      <c r="K66" s="1"/>
      <c r="L66" s="1">
        <f t="shared" si="38"/>
        <v>-1656.38</v>
      </c>
      <c r="M66" s="1"/>
      <c r="N66" s="5">
        <f t="shared" si="39"/>
        <v>-0.4601055555555556</v>
      </c>
      <c r="O66" s="14"/>
      <c r="P66" s="1">
        <f>SUM(OSRRefP22_9x_0)</f>
        <v>25817.229999999996</v>
      </c>
      <c r="Q66" s="1"/>
      <c r="R66" s="5">
        <f t="shared" si="40"/>
        <v>0.34501305096424256</v>
      </c>
      <c r="S66" s="1"/>
      <c r="T66" s="1">
        <f>SUM(OSRRefT22_9x_0)</f>
        <v>10250</v>
      </c>
      <c r="U66" s="1"/>
      <c r="V66" s="5">
        <f t="shared" si="41"/>
        <v>7.6944442359229204E-2</v>
      </c>
      <c r="W66" s="1"/>
      <c r="X66" s="1">
        <f t="shared" si="42"/>
        <v>15567.229999999996</v>
      </c>
      <c r="Y66" s="1"/>
      <c r="Z66" s="5">
        <f t="shared" si="43"/>
        <v>1.5187541463414631</v>
      </c>
    </row>
    <row r="67" spans="1:26" s="24" customFormat="1" hidden="1" outlineLevel="2" x14ac:dyDescent="0.25">
      <c r="A67" s="29"/>
      <c r="B67" s="11" t="str">
        <f>CONCATENATE("          ", "6235", " - ", "COVID-19 EXPENSES")</f>
        <v xml:space="preserve">          6235 - COVID-19 EXPENSES</v>
      </c>
      <c r="C67" s="11"/>
      <c r="D67" s="7"/>
      <c r="E67" s="2"/>
      <c r="F67" s="6">
        <f t="shared" si="36"/>
        <v>0</v>
      </c>
      <c r="G67" s="2"/>
      <c r="H67" s="7"/>
      <c r="I67" s="2"/>
      <c r="J67" s="6">
        <f t="shared" si="37"/>
        <v>0</v>
      </c>
      <c r="K67" s="2"/>
      <c r="L67" s="7">
        <f t="shared" si="38"/>
        <v>0</v>
      </c>
      <c r="M67" s="2"/>
      <c r="N67" s="6">
        <f t="shared" si="39"/>
        <v>0</v>
      </c>
      <c r="O67" s="11"/>
      <c r="P67" s="7">
        <v>310.91000000000003</v>
      </c>
      <c r="Q67" s="2"/>
      <c r="R67" s="6">
        <f t="shared" si="40"/>
        <v>4.1548999515165913E-3</v>
      </c>
      <c r="S67" s="2"/>
      <c r="T67" s="7"/>
      <c r="U67" s="2"/>
      <c r="V67" s="6">
        <f t="shared" si="41"/>
        <v>0</v>
      </c>
      <c r="W67" s="2"/>
      <c r="X67" s="7">
        <f t="shared" si="42"/>
        <v>310.91000000000003</v>
      </c>
      <c r="Y67" s="2"/>
      <c r="Z67" s="6">
        <f t="shared" si="43"/>
        <v>0</v>
      </c>
    </row>
    <row r="68" spans="1:26" s="24" customFormat="1" hidden="1" outlineLevel="2" x14ac:dyDescent="0.25">
      <c r="A68" s="29"/>
      <c r="B68" s="11" t="str">
        <f>CONCATENATE("          ", "6241", " - ", "OFFICE EXPENSE")</f>
        <v xml:space="preserve">          6241 - OFFICE EXPENSE</v>
      </c>
      <c r="C68" s="11"/>
      <c r="D68" s="7"/>
      <c r="E68" s="2"/>
      <c r="F68" s="6">
        <f t="shared" si="36"/>
        <v>0</v>
      </c>
      <c r="G68" s="2"/>
      <c r="H68" s="7"/>
      <c r="I68" s="2"/>
      <c r="J68" s="6">
        <f t="shared" si="37"/>
        <v>0</v>
      </c>
      <c r="K68" s="2"/>
      <c r="L68" s="7">
        <f t="shared" si="38"/>
        <v>0</v>
      </c>
      <c r="M68" s="2"/>
      <c r="N68" s="6">
        <f t="shared" si="39"/>
        <v>0</v>
      </c>
      <c r="O68" s="11"/>
      <c r="P68" s="7">
        <v>4596.8599999999997</v>
      </c>
      <c r="Q68" s="2"/>
      <c r="R68" s="6">
        <f t="shared" si="40"/>
        <v>6.143093947164309E-2</v>
      </c>
      <c r="S68" s="2"/>
      <c r="T68" s="7"/>
      <c r="U68" s="2"/>
      <c r="V68" s="6">
        <f t="shared" si="41"/>
        <v>0</v>
      </c>
      <c r="W68" s="2"/>
      <c r="X68" s="7">
        <f t="shared" si="42"/>
        <v>4596.8599999999997</v>
      </c>
      <c r="Y68" s="2"/>
      <c r="Z68" s="6">
        <f t="shared" si="43"/>
        <v>0</v>
      </c>
    </row>
    <row r="69" spans="1:26" s="24" customFormat="1" hidden="1" outlineLevel="2" x14ac:dyDescent="0.25">
      <c r="A69" s="29"/>
      <c r="B69" s="11" t="str">
        <f>CONCATENATE("          ", "6243", " - ", "PAPER SUPPLIES")</f>
        <v xml:space="preserve">          6243 - PAPER SUPPLIES</v>
      </c>
      <c r="C69" s="11"/>
      <c r="D69" s="7">
        <v>411.1</v>
      </c>
      <c r="E69" s="2"/>
      <c r="F69" s="6">
        <f t="shared" si="36"/>
        <v>0.32709797025803422</v>
      </c>
      <c r="G69" s="2"/>
      <c r="H69" s="7">
        <v>3300</v>
      </c>
      <c r="I69" s="2"/>
      <c r="J69" s="6">
        <f t="shared" si="37"/>
        <v>0.22297297297297297</v>
      </c>
      <c r="K69" s="2"/>
      <c r="L69" s="7">
        <f t="shared" si="38"/>
        <v>-2888.9</v>
      </c>
      <c r="M69" s="2"/>
      <c r="N69" s="6">
        <f t="shared" si="39"/>
        <v>-0.87542424242424244</v>
      </c>
      <c r="O69" s="11"/>
      <c r="P69" s="7">
        <v>5093.3999999999996</v>
      </c>
      <c r="Q69" s="2"/>
      <c r="R69" s="6">
        <f t="shared" si="40"/>
        <v>6.8066538268484772E-2</v>
      </c>
      <c r="S69" s="2"/>
      <c r="T69" s="7">
        <v>8400</v>
      </c>
      <c r="U69" s="2"/>
      <c r="V69" s="6">
        <f t="shared" si="41"/>
        <v>6.3056908860246369E-2</v>
      </c>
      <c r="W69" s="2"/>
      <c r="X69" s="7">
        <f t="shared" si="42"/>
        <v>-3306.6000000000004</v>
      </c>
      <c r="Y69" s="2"/>
      <c r="Z69" s="6">
        <f t="shared" si="43"/>
        <v>-0.39364285714285718</v>
      </c>
    </row>
    <row r="70" spans="1:26" s="24" customFormat="1" hidden="1" outlineLevel="2" x14ac:dyDescent="0.25">
      <c r="A70" s="29"/>
      <c r="B70" s="11" t="str">
        <f>CONCATENATE("          ", "6245", " - ", "PRINTING")</f>
        <v xml:space="preserve">          6245 - PRINTING</v>
      </c>
      <c r="C70" s="11"/>
      <c r="D70" s="7"/>
      <c r="E70" s="2"/>
      <c r="F70" s="6">
        <f t="shared" si="36"/>
        <v>0</v>
      </c>
      <c r="G70" s="2"/>
      <c r="H70" s="7">
        <v>200</v>
      </c>
      <c r="I70" s="2"/>
      <c r="J70" s="6">
        <f t="shared" si="37"/>
        <v>1.3513513513513514E-2</v>
      </c>
      <c r="K70" s="2"/>
      <c r="L70" s="7">
        <f t="shared" si="38"/>
        <v>-200</v>
      </c>
      <c r="M70" s="2"/>
      <c r="N70" s="6">
        <f t="shared" si="39"/>
        <v>-1</v>
      </c>
      <c r="O70" s="11"/>
      <c r="P70" s="7">
        <v>439.61</v>
      </c>
      <c r="Q70" s="2"/>
      <c r="R70" s="6">
        <f t="shared" si="40"/>
        <v>5.8748048235380285E-3</v>
      </c>
      <c r="S70" s="2"/>
      <c r="T70" s="7">
        <v>1300</v>
      </c>
      <c r="U70" s="2"/>
      <c r="V70" s="6">
        <f t="shared" si="41"/>
        <v>9.7588073236095571E-3</v>
      </c>
      <c r="W70" s="2"/>
      <c r="X70" s="7">
        <f t="shared" si="42"/>
        <v>-860.39</v>
      </c>
      <c r="Y70" s="2"/>
      <c r="Z70" s="6">
        <f t="shared" si="43"/>
        <v>-0.66183846153846149</v>
      </c>
    </row>
    <row r="71" spans="1:26" s="24" customFormat="1" hidden="1" outlineLevel="2" x14ac:dyDescent="0.25">
      <c r="A71" s="29"/>
      <c r="B71" s="11" t="str">
        <f>CONCATENATE("          ", "6247", " - ", "STORE SUPPLIES")</f>
        <v xml:space="preserve">          6247 - STORE SUPPLIES</v>
      </c>
      <c r="C71" s="11"/>
      <c r="D71" s="7">
        <v>1532.52</v>
      </c>
      <c r="E71" s="2"/>
      <c r="F71" s="6">
        <f t="shared" si="36"/>
        <v>1.2193728566768245</v>
      </c>
      <c r="G71" s="2"/>
      <c r="H71" s="7">
        <v>100</v>
      </c>
      <c r="I71" s="2"/>
      <c r="J71" s="6">
        <f t="shared" si="37"/>
        <v>6.7567567567567571E-3</v>
      </c>
      <c r="K71" s="2"/>
      <c r="L71" s="7">
        <f t="shared" si="38"/>
        <v>1432.52</v>
      </c>
      <c r="M71" s="2"/>
      <c r="N71" s="6">
        <f t="shared" si="39"/>
        <v>14.325200000000001</v>
      </c>
      <c r="O71" s="11"/>
      <c r="P71" s="7">
        <v>15376.449999999999</v>
      </c>
      <c r="Q71" s="2"/>
      <c r="R71" s="6">
        <f t="shared" si="40"/>
        <v>0.20548586844906011</v>
      </c>
      <c r="S71" s="2"/>
      <c r="T71" s="7">
        <v>550</v>
      </c>
      <c r="U71" s="2"/>
      <c r="V71" s="6">
        <f t="shared" si="41"/>
        <v>4.1287261753732742E-3</v>
      </c>
      <c r="W71" s="2"/>
      <c r="X71" s="7">
        <f t="shared" si="42"/>
        <v>14826.449999999999</v>
      </c>
      <c r="Y71" s="2"/>
      <c r="Z71" s="6">
        <f t="shared" si="43"/>
        <v>26.957181818181816</v>
      </c>
    </row>
    <row r="72" spans="1:26" s="28" customFormat="1" outlineLevel="1" collapsed="1" x14ac:dyDescent="0.25">
      <c r="A72" s="27"/>
      <c r="B72" s="14" t="str">
        <f>CONCATENATE("     ","Telephone/Data Lines                              ")</f>
        <v xml:space="preserve">     Telephone/Data Lines                              </v>
      </c>
      <c r="C72" s="14"/>
      <c r="D72" s="1">
        <f>SUM(OSRRefD22_10x_0)</f>
        <v>183.3</v>
      </c>
      <c r="E72" s="1"/>
      <c r="F72" s="5">
        <f t="shared" ref="F72:F75" si="44">IF(D$12=0,0,D72/D$12)</f>
        <v>0.14584543407515851</v>
      </c>
      <c r="G72" s="1"/>
      <c r="H72" s="1">
        <f>SUM(OSRRefH22_10x_0)</f>
        <v>165</v>
      </c>
      <c r="I72" s="1"/>
      <c r="J72" s="5">
        <f t="shared" ref="J72:J75" si="45">IF(H$12=0,0,H72/H$12)</f>
        <v>1.1148648648648649E-2</v>
      </c>
      <c r="K72" s="1"/>
      <c r="L72" s="1">
        <f t="shared" ref="L72:L75" si="46">+D72-H72</f>
        <v>18.300000000000011</v>
      </c>
      <c r="M72" s="1"/>
      <c r="N72" s="5">
        <f t="shared" ref="N72:N75" si="47">IF(H72=0,0,L72/H72)</f>
        <v>0.11090909090909098</v>
      </c>
      <c r="O72" s="14"/>
      <c r="P72" s="1">
        <f>SUM(OSRRefP22_10x_0)</f>
        <v>1257</v>
      </c>
      <c r="Q72" s="1"/>
      <c r="R72" s="5">
        <f t="shared" ref="R72:R75" si="48">IF(P$12=0,0,P72/P$12)</f>
        <v>1.6798138493635956E-2</v>
      </c>
      <c r="S72" s="1"/>
      <c r="T72" s="1">
        <f>SUM(OSRRefT22_10x_0)</f>
        <v>990</v>
      </c>
      <c r="U72" s="1"/>
      <c r="V72" s="5">
        <f t="shared" ref="V72:V75" si="49">IF(T$12=0,0,T72/T$12)</f>
        <v>7.431707115671894E-3</v>
      </c>
      <c r="W72" s="1"/>
      <c r="X72" s="1">
        <f t="shared" ref="X72:X75" si="50">+P72-T72</f>
        <v>267</v>
      </c>
      <c r="Y72" s="1"/>
      <c r="Z72" s="5">
        <f t="shared" ref="Z72:Z75" si="51">IF(T72=0,0,X72/T72)</f>
        <v>0.26969696969696971</v>
      </c>
    </row>
    <row r="73" spans="1:26" s="24" customFormat="1" hidden="1" outlineLevel="2" x14ac:dyDescent="0.25">
      <c r="A73" s="29"/>
      <c r="B73" s="11" t="str">
        <f>CONCATENATE("          ", "6309", " - ", "TELEPHONE")</f>
        <v xml:space="preserve">          6309 - TELEPHONE</v>
      </c>
      <c r="C73" s="11"/>
      <c r="D73" s="7">
        <v>183.3</v>
      </c>
      <c r="E73" s="2"/>
      <c r="F73" s="6">
        <f t="shared" si="44"/>
        <v>0.14584543407515851</v>
      </c>
      <c r="G73" s="2"/>
      <c r="H73" s="7">
        <v>165</v>
      </c>
      <c r="I73" s="2"/>
      <c r="J73" s="6">
        <f t="shared" si="45"/>
        <v>1.1148648648648649E-2</v>
      </c>
      <c r="K73" s="2"/>
      <c r="L73" s="7">
        <f t="shared" si="46"/>
        <v>18.300000000000011</v>
      </c>
      <c r="M73" s="2"/>
      <c r="N73" s="6">
        <f t="shared" si="47"/>
        <v>0.11090909090909098</v>
      </c>
      <c r="O73" s="11"/>
      <c r="P73" s="7">
        <v>1257</v>
      </c>
      <c r="Q73" s="2"/>
      <c r="R73" s="6">
        <f t="shared" si="48"/>
        <v>1.6798138493635956E-2</v>
      </c>
      <c r="S73" s="2"/>
      <c r="T73" s="7">
        <v>990</v>
      </c>
      <c r="U73" s="2"/>
      <c r="V73" s="6">
        <f t="shared" si="49"/>
        <v>7.431707115671894E-3</v>
      </c>
      <c r="W73" s="2"/>
      <c r="X73" s="7">
        <f t="shared" si="50"/>
        <v>267</v>
      </c>
      <c r="Y73" s="2"/>
      <c r="Z73" s="6">
        <f t="shared" si="51"/>
        <v>0.26969696969696971</v>
      </c>
    </row>
    <row r="74" spans="1:26" s="28" customFormat="1" outlineLevel="1" collapsed="1" x14ac:dyDescent="0.25">
      <c r="A74" s="27"/>
      <c r="B74" s="14" t="str">
        <f>CONCATENATE("     ","Utilities                                         ")</f>
        <v xml:space="preserve">     Utilities                                         </v>
      </c>
      <c r="C74" s="14"/>
      <c r="D74" s="1">
        <f>SUM(OSRRefD22_11x_0)</f>
        <v>0</v>
      </c>
      <c r="E74" s="1"/>
      <c r="F74" s="5">
        <f t="shared" si="44"/>
        <v>0</v>
      </c>
      <c r="G74" s="1"/>
      <c r="H74" s="1">
        <f>SUM(OSRRefH22_11x_0)</f>
        <v>0</v>
      </c>
      <c r="I74" s="1"/>
      <c r="J74" s="5">
        <f t="shared" si="45"/>
        <v>0</v>
      </c>
      <c r="K74" s="1"/>
      <c r="L74" s="1">
        <f t="shared" si="46"/>
        <v>0</v>
      </c>
      <c r="M74" s="1"/>
      <c r="N74" s="5">
        <f t="shared" si="47"/>
        <v>0</v>
      </c>
      <c r="O74" s="14"/>
      <c r="P74" s="1">
        <f>SUM(OSRRefP22_11x_0)</f>
        <v>15.02</v>
      </c>
      <c r="Q74" s="1"/>
      <c r="R74" s="5">
        <f t="shared" si="48"/>
        <v>2.0072238677359746E-4</v>
      </c>
      <c r="S74" s="1"/>
      <c r="T74" s="1">
        <f>SUM(OSRRefT22_11x_0)</f>
        <v>0</v>
      </c>
      <c r="U74" s="1"/>
      <c r="V74" s="5">
        <f t="shared" si="49"/>
        <v>0</v>
      </c>
      <c r="W74" s="1"/>
      <c r="X74" s="1">
        <f t="shared" si="50"/>
        <v>15.02</v>
      </c>
      <c r="Y74" s="1"/>
      <c r="Z74" s="5">
        <f t="shared" si="51"/>
        <v>0</v>
      </c>
    </row>
    <row r="75" spans="1:26" s="24" customFormat="1" hidden="1" outlineLevel="2" x14ac:dyDescent="0.25">
      <c r="A75" s="29"/>
      <c r="B75" s="11" t="str">
        <f>CONCATENATE("          ", "6274", " - ", "UTILITIES")</f>
        <v xml:space="preserve">          6274 - UTILITIES</v>
      </c>
      <c r="C75" s="11"/>
      <c r="D75" s="7"/>
      <c r="E75" s="2"/>
      <c r="F75" s="6">
        <f t="shared" si="44"/>
        <v>0</v>
      </c>
      <c r="G75" s="2"/>
      <c r="H75" s="7"/>
      <c r="I75" s="2"/>
      <c r="J75" s="6">
        <f t="shared" si="45"/>
        <v>0</v>
      </c>
      <c r="K75" s="2"/>
      <c r="L75" s="7">
        <f t="shared" si="46"/>
        <v>0</v>
      </c>
      <c r="M75" s="2"/>
      <c r="N75" s="6">
        <f t="shared" si="47"/>
        <v>0</v>
      </c>
      <c r="O75" s="11"/>
      <c r="P75" s="7">
        <v>15.02</v>
      </c>
      <c r="Q75" s="2"/>
      <c r="R75" s="6">
        <f t="shared" si="48"/>
        <v>2.0072238677359746E-4</v>
      </c>
      <c r="S75" s="2"/>
      <c r="T75" s="7"/>
      <c r="U75" s="2"/>
      <c r="V75" s="6">
        <f t="shared" si="49"/>
        <v>0</v>
      </c>
      <c r="W75" s="2"/>
      <c r="X75" s="7">
        <f t="shared" si="50"/>
        <v>15.02</v>
      </c>
      <c r="Y75" s="2"/>
      <c r="Z75" s="6">
        <f t="shared" si="51"/>
        <v>0</v>
      </c>
    </row>
    <row r="76" spans="1:26" s="53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collapsed="1" x14ac:dyDescent="0.25">
      <c r="A77" s="10"/>
      <c r="B77" s="26" t="s">
        <v>0</v>
      </c>
      <c r="C77" s="10"/>
      <c r="D77" s="4">
        <f>SUM(OSRRefD25x_0)</f>
        <v>6782</v>
      </c>
      <c r="E77" s="4"/>
      <c r="F77" s="12">
        <f t="shared" ref="F77:F78" si="52">IF(D$12=0,0,D77/D$12)</f>
        <v>5.3962014942592749</v>
      </c>
      <c r="G77" s="4"/>
      <c r="H77" s="4">
        <f>SUM(OSRRefH25x_0)</f>
        <v>6875</v>
      </c>
      <c r="I77" s="4"/>
      <c r="J77" s="12">
        <f t="shared" ref="J77:J78" si="53">IF(H$12=0,0,H77/H$12)</f>
        <v>0.46452702702702703</v>
      </c>
      <c r="K77" s="4"/>
      <c r="L77" s="4">
        <f t="shared" ref="L77:L78" si="54">+D77-H77</f>
        <v>-93</v>
      </c>
      <c r="M77" s="4"/>
      <c r="N77" s="12">
        <f t="shared" ref="N77:N78" si="55">IF(H77=0,0,L77/H77)</f>
        <v>-1.3527272727272728E-2</v>
      </c>
      <c r="O77" s="10"/>
      <c r="P77" s="4">
        <f>SUM(OSRRefP25x_0)</f>
        <v>40692</v>
      </c>
      <c r="Q77" s="4"/>
      <c r="R77" s="12">
        <f t="shared" ref="R77:R78" si="56">IF(P$12=0,0,P77/P$12)</f>
        <v>0.54379463133097394</v>
      </c>
      <c r="S77" s="4"/>
      <c r="T77" s="4">
        <f>SUM(OSRRefT25x_0)</f>
        <v>41250</v>
      </c>
      <c r="U77" s="4"/>
      <c r="V77" s="12">
        <f t="shared" ref="V77:V78" si="57">IF(T$12=0,0,T77/T$12)</f>
        <v>0.30965446315299555</v>
      </c>
      <c r="W77" s="4"/>
      <c r="X77" s="4">
        <f t="shared" ref="X77:X78" si="58">+P77-T77</f>
        <v>-558</v>
      </c>
      <c r="Y77" s="4"/>
      <c r="Z77" s="12">
        <f t="shared" ref="Z77:Z78" si="59">IF(T77=0,0,X77/T77)</f>
        <v>-1.3527272727272728E-2</v>
      </c>
    </row>
    <row r="78" spans="1:26" s="24" customFormat="1" hidden="1" outlineLevel="1" x14ac:dyDescent="0.25">
      <c r="A78" s="51"/>
      <c r="B78" s="11" t="str">
        <f>CONCATENATE("          ", "9150", " - ", "MISC. INCOME")</f>
        <v xml:space="preserve">          9150 - MISC. INCOME</v>
      </c>
      <c r="C78" s="11"/>
      <c r="D78" s="2">
        <f>--6782</f>
        <v>6782</v>
      </c>
      <c r="E78" s="2"/>
      <c r="F78" s="22">
        <f t="shared" si="52"/>
        <v>5.3962014942592749</v>
      </c>
      <c r="G78" s="2"/>
      <c r="H78" s="2">
        <v>6875</v>
      </c>
      <c r="I78" s="2"/>
      <c r="J78" s="22">
        <f t="shared" si="53"/>
        <v>0.46452702702702703</v>
      </c>
      <c r="K78" s="2"/>
      <c r="L78" s="2">
        <f t="shared" si="54"/>
        <v>-93</v>
      </c>
      <c r="M78" s="2"/>
      <c r="N78" s="22">
        <f t="shared" si="55"/>
        <v>-1.3527272727272728E-2</v>
      </c>
      <c r="O78" s="11"/>
      <c r="P78" s="2">
        <f>--40692</f>
        <v>40692</v>
      </c>
      <c r="Q78" s="2"/>
      <c r="R78" s="22">
        <f t="shared" si="56"/>
        <v>0.54379463133097394</v>
      </c>
      <c r="S78" s="2"/>
      <c r="T78" s="2">
        <v>41250</v>
      </c>
      <c r="U78" s="2"/>
      <c r="V78" s="22">
        <f t="shared" si="57"/>
        <v>0.30965446315299555</v>
      </c>
      <c r="W78" s="2"/>
      <c r="X78" s="2">
        <f t="shared" si="58"/>
        <v>-558</v>
      </c>
      <c r="Y78" s="2"/>
      <c r="Z78" s="22">
        <f t="shared" si="59"/>
        <v>-1.3527272727272728E-2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5" t="s">
        <v>3</v>
      </c>
      <c r="C80" s="25"/>
      <c r="D80" s="21">
        <f>+D26-D28+D77</f>
        <v>-23899.91</v>
      </c>
      <c r="E80" s="13"/>
      <c r="F80" s="19">
        <f>IF(D$12=0,0,D80/D$12)</f>
        <v>-19.016327050230341</v>
      </c>
      <c r="G80" s="13"/>
      <c r="H80" s="21">
        <f>+H26-H28+H77</f>
        <v>-12564.053016992344</v>
      </c>
      <c r="I80" s="13"/>
      <c r="J80" s="19">
        <f>IF(H$12=0,0,H80/H$12)</f>
        <v>-0.84892250114813139</v>
      </c>
      <c r="K80" s="16"/>
      <c r="L80" s="21">
        <f>+D80-H80</f>
        <v>-11335.856983007656</v>
      </c>
      <c r="M80" s="16"/>
      <c r="N80" s="19">
        <f>IF(H80=0,0,L80/H80)</f>
        <v>0.9022452362845329</v>
      </c>
      <c r="O80" s="26"/>
      <c r="P80" s="21">
        <f>+P26-P28+P77</f>
        <v>-76602.740000000005</v>
      </c>
      <c r="Q80" s="13"/>
      <c r="R80" s="19">
        <f>IF(P$12=0,0,P80/P$12)</f>
        <v>-1.0236940616642696</v>
      </c>
      <c r="S80" s="13"/>
      <c r="T80" s="21">
        <f>+T26-T28+T77</f>
        <v>-22592.300740450184</v>
      </c>
      <c r="U80" s="13"/>
      <c r="V80" s="19">
        <f>IF(T$12=0,0,T80/T$12)</f>
        <v>-0.1695953153254576</v>
      </c>
      <c r="W80" s="16"/>
      <c r="X80" s="21">
        <f>+P80-T80</f>
        <v>-54010.439259549821</v>
      </c>
      <c r="Y80" s="16"/>
      <c r="Z80" s="19">
        <f>IF(T80=0,0,X80/T80)</f>
        <v>2.3906568826275985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14</v>
      </c>
      <c r="C82" s="10"/>
      <c r="D82" s="4">
        <v>2154.34</v>
      </c>
      <c r="E82" s="4"/>
      <c r="F82" s="12">
        <f>IF(D$12=0,0,D82/D$12)</f>
        <v>1.7141334012300984</v>
      </c>
      <c r="G82" s="4"/>
      <c r="H82" s="4">
        <v>4150</v>
      </c>
      <c r="I82" s="4"/>
      <c r="J82" s="12">
        <f>IF(H$12=0,0,H82/H$12)</f>
        <v>0.28040540540540543</v>
      </c>
      <c r="K82" s="4"/>
      <c r="L82" s="4">
        <f>+D82-H82</f>
        <v>-1995.6599999999999</v>
      </c>
      <c r="M82" s="4"/>
      <c r="N82" s="12">
        <f>IF(H82=0,0,L82/H82)</f>
        <v>-0.48088192771084332</v>
      </c>
      <c r="O82" s="10"/>
      <c r="P82" s="4">
        <v>13845.08</v>
      </c>
      <c r="Q82" s="4"/>
      <c r="R82" s="12">
        <f>IF(P$12=0,0,P82/P$12)</f>
        <v>0.1850211386598801</v>
      </c>
      <c r="S82" s="4"/>
      <c r="T82" s="4">
        <v>25268</v>
      </c>
      <c r="U82" s="4"/>
      <c r="V82" s="12">
        <f>IF(T$12=0,0,T82/T$12)</f>
        <v>0.18968118727151254</v>
      </c>
      <c r="W82" s="4"/>
      <c r="X82" s="4">
        <f>+P82-T82</f>
        <v>-11422.92</v>
      </c>
      <c r="Y82" s="4"/>
      <c r="Z82" s="12">
        <f>IF(T82=0,0,X82/T82)</f>
        <v>-0.45207060313439923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5" t="s">
        <v>4</v>
      </c>
      <c r="C84" s="25"/>
      <c r="D84" s="34">
        <f>+D80-D82</f>
        <v>-26054.25</v>
      </c>
      <c r="E84" s="13"/>
      <c r="F84" s="31">
        <f>IF(D$12=0,0,D84/D$12)</f>
        <v>-20.730460451460441</v>
      </c>
      <c r="G84" s="13"/>
      <c r="H84" s="34">
        <f>+H80-H82</f>
        <v>-16714.053016992344</v>
      </c>
      <c r="I84" s="13"/>
      <c r="J84" s="31">
        <f>IF(H$12=0,0,H84/H$12)</f>
        <v>-1.1293279065535367</v>
      </c>
      <c r="K84" s="16"/>
      <c r="L84" s="34">
        <f>D84-H84</f>
        <v>-9340.1969830076559</v>
      </c>
      <c r="M84" s="16"/>
      <c r="N84" s="31">
        <f>IF(H84=0,0,L84/H84)</f>
        <v>0.55882298407884334</v>
      </c>
      <c r="O84" s="26"/>
      <c r="P84" s="34">
        <f>+P80-P82</f>
        <v>-90447.82</v>
      </c>
      <c r="Q84" s="13"/>
      <c r="R84" s="31">
        <f>IF(P$12=0,0,P84/P$12)</f>
        <v>-1.2087152003241497</v>
      </c>
      <c r="S84" s="13"/>
      <c r="T84" s="34">
        <f>+T80-T82</f>
        <v>-47860.300740450184</v>
      </c>
      <c r="U84" s="13"/>
      <c r="V84" s="31">
        <f>IF(T$12=0,0,T84/T$12)</f>
        <v>-0.35927650259697014</v>
      </c>
      <c r="W84" s="16"/>
      <c r="X84" s="34">
        <f>P84-T84</f>
        <v>-42587.519259549823</v>
      </c>
      <c r="Y84" s="16"/>
      <c r="Z84" s="31">
        <f>IF(T84=0,0,X84/T84)</f>
        <v>0.88982974617115274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5" t="s">
        <v>5</v>
      </c>
      <c r="C87" s="25"/>
      <c r="D87" s="33">
        <f>SUM(D84:D86)</f>
        <v>-26054.25</v>
      </c>
      <c r="E87" s="13"/>
      <c r="F87" s="32">
        <f>IF(D$12=0,0,D87/D$12)</f>
        <v>-20.730460451460441</v>
      </c>
      <c r="G87" s="13"/>
      <c r="H87" s="33">
        <f>SUM(H84:H86)</f>
        <v>-16714.053016992344</v>
      </c>
      <c r="I87" s="13"/>
      <c r="J87" s="32">
        <f>IF(H$12=0,0,H87/H$12)</f>
        <v>-1.1293279065535367</v>
      </c>
      <c r="K87" s="16"/>
      <c r="L87" s="33">
        <f>+D87-H87</f>
        <v>-9340.1969830076559</v>
      </c>
      <c r="M87" s="16"/>
      <c r="N87" s="32">
        <f>IF(H87=0,0,L87/H87)</f>
        <v>0.55882298407884334</v>
      </c>
      <c r="O87" s="26"/>
      <c r="P87" s="33">
        <f>SUM(P84:P86)</f>
        <v>-90447.82</v>
      </c>
      <c r="Q87" s="13"/>
      <c r="R87" s="32">
        <f>IF(P$12=0,0,P87/P$12)</f>
        <v>-1.2087152003241497</v>
      </c>
      <c r="S87" s="13"/>
      <c r="T87" s="33">
        <f>SUM(T84:T86)</f>
        <v>-47860.300740450184</v>
      </c>
      <c r="U87" s="13"/>
      <c r="V87" s="32">
        <f>IF(T$12=0,0,T87/T$12)</f>
        <v>-0.35927650259697014</v>
      </c>
      <c r="W87" s="16"/>
      <c r="X87" s="33">
        <f>+P87-T87</f>
        <v>-42587.519259549823</v>
      </c>
      <c r="Y87" s="16"/>
      <c r="Z87" s="32">
        <f>IF(T87=0,0,X87/T87)</f>
        <v>0.88982974617115274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63">
        <v>44209.518160532411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60" t="s">
        <v>314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8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","316", " - ", "Campus Copy Center")</f>
        <v>Department 316 - Campus Copy Center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1256.8100000000002</v>
      </c>
      <c r="E12" s="4"/>
      <c r="F12" s="12"/>
      <c r="G12" s="4"/>
      <c r="H12" s="4">
        <f>SUM(OSRRefH13x_0)</f>
        <v>14800</v>
      </c>
      <c r="I12" s="4"/>
      <c r="J12" s="12"/>
      <c r="K12" s="4"/>
      <c r="L12" s="4">
        <f t="shared" ref="L12:L22" si="0">+D12-H12</f>
        <v>-13543.19</v>
      </c>
      <c r="M12" s="4"/>
      <c r="N12" s="12">
        <f t="shared" ref="N12:N22" si="1">IF(H12=0,0,L12/H12)</f>
        <v>-0.91508040540540547</v>
      </c>
      <c r="O12" s="10"/>
      <c r="P12" s="4">
        <f>SUM(OSRRefP13x_0)</f>
        <v>74829.719999999987</v>
      </c>
      <c r="Q12" s="4"/>
      <c r="R12" s="12"/>
      <c r="S12" s="4"/>
      <c r="T12" s="4">
        <f>SUM(OSRRefT13x_0)</f>
        <v>133213</v>
      </c>
      <c r="U12" s="4"/>
      <c r="V12" s="12"/>
      <c r="W12" s="4"/>
      <c r="X12" s="4">
        <f t="shared" ref="X12:X22" si="2">+P12-T12</f>
        <v>-58383.280000000013</v>
      </c>
      <c r="Y12" s="4"/>
      <c r="Z12" s="12">
        <f t="shared" ref="Z12:Z22" si="3">IF(T12=0,0,X12/T12)</f>
        <v>-0.43827013880026733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11800</v>
      </c>
      <c r="I13" s="2"/>
      <c r="J13" s="22"/>
      <c r="K13" s="2"/>
      <c r="L13" s="2">
        <f t="shared" si="0"/>
        <v>-11800</v>
      </c>
      <c r="M13" s="2"/>
      <c r="N13" s="22">
        <f t="shared" si="1"/>
        <v>-1</v>
      </c>
      <c r="O13" s="11"/>
      <c r="P13" s="2">
        <f>-8.65</f>
        <v>-8.65</v>
      </c>
      <c r="Q13" s="2"/>
      <c r="R13" s="22"/>
      <c r="S13" s="2"/>
      <c r="T13" s="2">
        <v>118713</v>
      </c>
      <c r="U13" s="2"/>
      <c r="V13" s="22"/>
      <c r="W13" s="2"/>
      <c r="X13" s="2">
        <f t="shared" si="2"/>
        <v>-118721.65</v>
      </c>
      <c r="Y13" s="2"/>
      <c r="Z13" s="22">
        <f t="shared" si="3"/>
        <v>-1.0000728648084034</v>
      </c>
    </row>
    <row r="14" spans="1:26" s="24" customFormat="1" hidden="1" outlineLevel="1" x14ac:dyDescent="0.25">
      <c r="A14" s="51"/>
      <c r="B14" s="11" t="str">
        <f>CONCATENATE("          ", "4041", " - ", "TAXABLE SALES-LOGO GIFTS")</f>
        <v xml:space="preserve">          4041 - TAXABLE SALES-LOGO GIFTS</v>
      </c>
      <c r="C14" s="11"/>
      <c r="D14" s="2">
        <f>--251.9</f>
        <v>251.9</v>
      </c>
      <c r="E14" s="2"/>
      <c r="F14" s="22"/>
      <c r="G14" s="2"/>
      <c r="H14" s="2"/>
      <c r="I14" s="2"/>
      <c r="J14" s="22"/>
      <c r="K14" s="2"/>
      <c r="L14" s="2">
        <f t="shared" si="0"/>
        <v>251.9</v>
      </c>
      <c r="M14" s="2"/>
      <c r="N14" s="22">
        <f t="shared" si="1"/>
        <v>0</v>
      </c>
      <c r="O14" s="11"/>
      <c r="P14" s="2">
        <f>--60944.27</f>
        <v>60944.27</v>
      </c>
      <c r="Q14" s="2"/>
      <c r="R14" s="22"/>
      <c r="S14" s="2"/>
      <c r="T14" s="2"/>
      <c r="U14" s="2"/>
      <c r="V14" s="22"/>
      <c r="W14" s="2"/>
      <c r="X14" s="2">
        <f t="shared" si="2"/>
        <v>60944.27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--964.03</f>
        <v>964.03</v>
      </c>
      <c r="E15" s="2"/>
      <c r="F15" s="22"/>
      <c r="G15" s="2"/>
      <c r="H15" s="2"/>
      <c r="I15" s="2"/>
      <c r="J15" s="22"/>
      <c r="K15" s="2"/>
      <c r="L15" s="2">
        <f t="shared" si="0"/>
        <v>964.03</v>
      </c>
      <c r="M15" s="2"/>
      <c r="N15" s="22">
        <f t="shared" si="1"/>
        <v>0</v>
      </c>
      <c r="O15" s="11"/>
      <c r="P15" s="2">
        <f>--12853.85</f>
        <v>12853.85</v>
      </c>
      <c r="Q15" s="2"/>
      <c r="R15" s="22"/>
      <c r="S15" s="2"/>
      <c r="T15" s="2"/>
      <c r="U15" s="2"/>
      <c r="V15" s="22"/>
      <c r="W15" s="2"/>
      <c r="X15" s="2">
        <f t="shared" si="2"/>
        <v>12853.85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"4043", " - ", "TAXABLE SALES-CARDS")</f>
        <v xml:space="preserve">          4043 - TAXABLE SALES-CARDS</v>
      </c>
      <c r="C16" s="11"/>
      <c r="D16" s="2">
        <f>--7.98</f>
        <v>7.98</v>
      </c>
      <c r="E16" s="2"/>
      <c r="F16" s="22"/>
      <c r="G16" s="2"/>
      <c r="H16" s="2"/>
      <c r="I16" s="2"/>
      <c r="J16" s="22"/>
      <c r="K16" s="2"/>
      <c r="L16" s="2">
        <f t="shared" si="0"/>
        <v>7.98</v>
      </c>
      <c r="M16" s="2"/>
      <c r="N16" s="22">
        <f t="shared" si="1"/>
        <v>0</v>
      </c>
      <c r="O16" s="11"/>
      <c r="P16" s="2">
        <f>--15.96</f>
        <v>15.96</v>
      </c>
      <c r="Q16" s="2"/>
      <c r="R16" s="22"/>
      <c r="S16" s="2"/>
      <c r="T16" s="2"/>
      <c r="U16" s="2"/>
      <c r="V16" s="22"/>
      <c r="W16" s="2"/>
      <c r="X16" s="2">
        <f t="shared" si="2"/>
        <v>15.96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>0</f>
        <v>0</v>
      </c>
      <c r="E17" s="2"/>
      <c r="F17" s="22"/>
      <c r="G17" s="2"/>
      <c r="H17" s="2">
        <v>3000</v>
      </c>
      <c r="I17" s="2"/>
      <c r="J17" s="22"/>
      <c r="K17" s="2"/>
      <c r="L17" s="2">
        <f t="shared" si="0"/>
        <v>-3000</v>
      </c>
      <c r="M17" s="2"/>
      <c r="N17" s="22">
        <f t="shared" si="1"/>
        <v>-1</v>
      </c>
      <c r="O17" s="11"/>
      <c r="P17" s="2">
        <f>0</f>
        <v>0</v>
      </c>
      <c r="Q17" s="2"/>
      <c r="R17" s="22"/>
      <c r="S17" s="2"/>
      <c r="T17" s="2">
        <v>14500</v>
      </c>
      <c r="U17" s="2"/>
      <c r="V17" s="22"/>
      <c r="W17" s="2"/>
      <c r="X17" s="2">
        <f t="shared" si="2"/>
        <v>-14500</v>
      </c>
      <c r="Y17" s="2"/>
      <c r="Z17" s="22">
        <f t="shared" si="3"/>
        <v>-1</v>
      </c>
    </row>
    <row r="18" spans="1:26" s="24" customFormat="1" hidden="1" outlineLevel="1" x14ac:dyDescent="0.25">
      <c r="A18" s="51"/>
      <c r="B18" s="11" t="str">
        <f>CONCATENATE("          ", "4141", " - ", "NON-TAXABLE SALES-LOGO GIFTS")</f>
        <v xml:space="preserve">          4141 - NON-TAXABLE SALES-LOGO GIFTS</v>
      </c>
      <c r="C18" s="11"/>
      <c r="D18" s="2">
        <f>--8.15</f>
        <v>8.15</v>
      </c>
      <c r="E18" s="2"/>
      <c r="F18" s="22"/>
      <c r="G18" s="2"/>
      <c r="H18" s="2"/>
      <c r="I18" s="2"/>
      <c r="J18" s="22"/>
      <c r="K18" s="2"/>
      <c r="L18" s="2">
        <f t="shared" si="0"/>
        <v>8.15</v>
      </c>
      <c r="M18" s="2"/>
      <c r="N18" s="22">
        <f t="shared" si="1"/>
        <v>0</v>
      </c>
      <c r="O18" s="11"/>
      <c r="P18" s="2">
        <f>--519.65</f>
        <v>519.65</v>
      </c>
      <c r="Q18" s="2"/>
      <c r="R18" s="22"/>
      <c r="S18" s="2"/>
      <c r="T18" s="2"/>
      <c r="U18" s="2"/>
      <c r="V18" s="22"/>
      <c r="W18" s="2"/>
      <c r="X18" s="2">
        <f t="shared" si="2"/>
        <v>519.65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0</f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--1110.59</f>
        <v>1110.5899999999999</v>
      </c>
      <c r="Q19" s="2"/>
      <c r="R19" s="22"/>
      <c r="S19" s="2"/>
      <c r="T19" s="2"/>
      <c r="U19" s="2"/>
      <c r="V19" s="22"/>
      <c r="W19" s="2"/>
      <c r="X19" s="2">
        <f t="shared" si="2"/>
        <v>1110.5899999999999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--19.9</f>
        <v>19.899999999999999</v>
      </c>
      <c r="E20" s="2"/>
      <c r="F20" s="22"/>
      <c r="G20" s="2"/>
      <c r="H20" s="2"/>
      <c r="I20" s="2"/>
      <c r="J20" s="22"/>
      <c r="K20" s="2"/>
      <c r="L20" s="2">
        <f t="shared" si="0"/>
        <v>19.899999999999999</v>
      </c>
      <c r="M20" s="2"/>
      <c r="N20" s="22">
        <f t="shared" si="1"/>
        <v>0</v>
      </c>
      <c r="O20" s="11"/>
      <c r="P20" s="2">
        <f>--127.9</f>
        <v>127.9</v>
      </c>
      <c r="Q20" s="2"/>
      <c r="R20" s="22"/>
      <c r="S20" s="2"/>
      <c r="T20" s="2"/>
      <c r="U20" s="2"/>
      <c r="V20" s="22"/>
      <c r="W20" s="2"/>
      <c r="X20" s="2">
        <f t="shared" si="2"/>
        <v>127.9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"4147", " - ", "NON-TAXABLE SALES-MISC")</f>
        <v xml:space="preserve">          4147 - NON-TAXABLE SALES-MISC</v>
      </c>
      <c r="C21" s="11"/>
      <c r="D21" s="2">
        <f>--13</f>
        <v>13</v>
      </c>
      <c r="E21" s="2"/>
      <c r="F21" s="22"/>
      <c r="G21" s="2"/>
      <c r="H21" s="2"/>
      <c r="I21" s="2"/>
      <c r="J21" s="22"/>
      <c r="K21" s="2"/>
      <c r="L21" s="2">
        <f t="shared" si="0"/>
        <v>13</v>
      </c>
      <c r="M21" s="2"/>
      <c r="N21" s="22">
        <f t="shared" si="1"/>
        <v>0</v>
      </c>
      <c r="O21" s="11"/>
      <c r="P21" s="2">
        <f>--104.5</f>
        <v>104.5</v>
      </c>
      <c r="Q21" s="2"/>
      <c r="R21" s="22"/>
      <c r="S21" s="2"/>
      <c r="T21" s="2"/>
      <c r="U21" s="2"/>
      <c r="V21" s="22"/>
      <c r="W21" s="2"/>
      <c r="X21" s="2">
        <f t="shared" si="2"/>
        <v>104.5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>-8.15</f>
        <v>-8.15</v>
      </c>
      <c r="E22" s="2"/>
      <c r="F22" s="22"/>
      <c r="G22" s="2"/>
      <c r="H22" s="2"/>
      <c r="I22" s="2"/>
      <c r="J22" s="22"/>
      <c r="K22" s="2"/>
      <c r="L22" s="2">
        <f t="shared" si="0"/>
        <v>-8.15</v>
      </c>
      <c r="M22" s="2"/>
      <c r="N22" s="22">
        <f t="shared" si="1"/>
        <v>0</v>
      </c>
      <c r="O22" s="11"/>
      <c r="P22" s="2">
        <f>-838.35</f>
        <v>-838.35</v>
      </c>
      <c r="Q22" s="2"/>
      <c r="R22" s="22"/>
      <c r="S22" s="2"/>
      <c r="T22" s="2"/>
      <c r="U22" s="2"/>
      <c r="V22" s="22"/>
      <c r="W22" s="2"/>
      <c r="X22" s="2">
        <f t="shared" si="2"/>
        <v>-838.35</v>
      </c>
      <c r="Y22" s="2"/>
      <c r="Z22" s="22">
        <f t="shared" si="3"/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8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5" t="s">
        <v>6</v>
      </c>
      <c r="C26" s="25"/>
      <c r="D26" s="21">
        <f>D12-D24</f>
        <v>1256.8100000000002</v>
      </c>
      <c r="E26" s="13"/>
      <c r="F26" s="19">
        <f>IF(D$12=0,0,D26/D$12)</f>
        <v>1</v>
      </c>
      <c r="G26" s="13"/>
      <c r="H26" s="21">
        <f>H12-H24</f>
        <v>14800</v>
      </c>
      <c r="I26" s="13"/>
      <c r="J26" s="19">
        <f>IF(H$12=0,0,H26/H$12)</f>
        <v>1</v>
      </c>
      <c r="K26" s="16"/>
      <c r="L26" s="21">
        <f>+D26-H26</f>
        <v>-13543.19</v>
      </c>
      <c r="M26" s="16"/>
      <c r="N26" s="19">
        <f>IF(H26=0,0,L26/H26)</f>
        <v>-0.91508040540540547</v>
      </c>
      <c r="O26" s="26"/>
      <c r="P26" s="21">
        <f>P12-P24</f>
        <v>74829.719999999987</v>
      </c>
      <c r="Q26" s="13"/>
      <c r="R26" s="19">
        <f>IF(P$12=0,0,P26/P$12)</f>
        <v>1</v>
      </c>
      <c r="S26" s="13"/>
      <c r="T26" s="21">
        <f>T12-T24</f>
        <v>133213</v>
      </c>
      <c r="U26" s="13"/>
      <c r="V26" s="19">
        <f>IF(T$12=0,0,T26/T$12)</f>
        <v>1</v>
      </c>
      <c r="W26" s="16"/>
      <c r="X26" s="21">
        <f>+P26-T26</f>
        <v>-58383.280000000013</v>
      </c>
      <c r="Y26" s="16"/>
      <c r="Z26" s="19">
        <f>IF(T26=0,0,X26/T26)</f>
        <v>-0.43827013880026733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6" t="s">
        <v>9</v>
      </c>
      <c r="C28" s="10"/>
      <c r="D28" s="20">
        <f>SUM(OSRRefD22x_0)</f>
        <v>31938.720000000001</v>
      </c>
      <c r="E28" s="20"/>
      <c r="F28" s="30">
        <f t="shared" ref="F28:F38" si="4">IF(D$12=0,0,D28/D$12)</f>
        <v>25.412528544489618</v>
      </c>
      <c r="G28" s="20"/>
      <c r="H28" s="20">
        <f>SUM(OSRRefH22x_0)</f>
        <v>34239.053016992344</v>
      </c>
      <c r="I28" s="20"/>
      <c r="J28" s="30">
        <f t="shared" ref="J28:J38" si="5">IF(H$12=0,0,H28/H$12)</f>
        <v>2.3134495281751586</v>
      </c>
      <c r="K28" s="4"/>
      <c r="L28" s="20">
        <f t="shared" ref="L28:L38" si="6">+D28-H28</f>
        <v>-2300.3330169923429</v>
      </c>
      <c r="M28" s="4"/>
      <c r="N28" s="30">
        <f t="shared" ref="N28:N38" si="7">IF(H28=0,0,L28/H28)</f>
        <v>-6.7184481295400347E-2</v>
      </c>
      <c r="O28" s="10"/>
      <c r="P28" s="20">
        <f>SUM(OSRRefP22x_0)</f>
        <v>192124.46</v>
      </c>
      <c r="Q28" s="20"/>
      <c r="R28" s="30">
        <f t="shared" ref="R28:R38" si="8">IF(P$12=0,0,P28/P$12)</f>
        <v>2.5674886929952434</v>
      </c>
      <c r="S28" s="20"/>
      <c r="T28" s="20">
        <f>SUM(OSRRefT22x_0)</f>
        <v>197055.30074045018</v>
      </c>
      <c r="U28" s="20"/>
      <c r="V28" s="30">
        <f t="shared" ref="V28:V38" si="9">IF(T$12=0,0,T28/T$12)</f>
        <v>1.4792497784784533</v>
      </c>
      <c r="W28" s="4"/>
      <c r="X28" s="20">
        <f t="shared" ref="X28:X38" si="10">+P28-T28</f>
        <v>-4930.8407404501922</v>
      </c>
      <c r="Y28" s="4"/>
      <c r="Z28" s="30">
        <f t="shared" ref="Z28:Z38" si="11">IF(T28=0,0,X28/T28)</f>
        <v>-2.5022624217273959E-2</v>
      </c>
    </row>
    <row r="29" spans="1:26" s="28" customFormat="1" outlineLevel="1" collapsed="1" x14ac:dyDescent="0.25">
      <c r="A29" s="27"/>
      <c r="B29" s="14" t="str">
        <f>CONCATENATE("     ","*Benefits                                         ")</f>
        <v xml:space="preserve">     *Benefits                                         </v>
      </c>
      <c r="C29" s="14"/>
      <c r="D29" s="1">
        <f>SUM(OSRRefD22_0x_0)</f>
        <v>8896.2999999999993</v>
      </c>
      <c r="E29" s="1"/>
      <c r="F29" s="5">
        <f t="shared" si="4"/>
        <v>7.0784764602445858</v>
      </c>
      <c r="G29" s="1"/>
      <c r="H29" s="1">
        <f>SUM(OSRRefH22_0x_0)</f>
        <v>6400.5444554538444</v>
      </c>
      <c r="I29" s="1"/>
      <c r="J29" s="5">
        <f t="shared" si="5"/>
        <v>0.43246921996309762</v>
      </c>
      <c r="K29" s="1"/>
      <c r="L29" s="1">
        <f t="shared" si="6"/>
        <v>2495.7555445461549</v>
      </c>
      <c r="M29" s="1"/>
      <c r="N29" s="5">
        <f t="shared" si="7"/>
        <v>0.38992863215246398</v>
      </c>
      <c r="O29" s="14"/>
      <c r="P29" s="1">
        <f>SUM(OSRRefP22_0x_0)</f>
        <v>54708.87</v>
      </c>
      <c r="Q29" s="1"/>
      <c r="R29" s="5">
        <f t="shared" si="8"/>
        <v>0.73111151558498433</v>
      </c>
      <c r="S29" s="1"/>
      <c r="T29" s="1">
        <f>SUM(OSRRefT22_0x_0)</f>
        <v>40315.495090449978</v>
      </c>
      <c r="U29" s="1"/>
      <c r="V29" s="5">
        <f t="shared" si="9"/>
        <v>0.30263934518740648</v>
      </c>
      <c r="W29" s="1"/>
      <c r="X29" s="1">
        <f t="shared" si="10"/>
        <v>14393.374909550024</v>
      </c>
      <c r="Y29" s="1"/>
      <c r="Z29" s="5">
        <f t="shared" si="11"/>
        <v>0.35701843366322839</v>
      </c>
    </row>
    <row r="30" spans="1:26" s="24" customFormat="1" hidden="1" outlineLevel="2" x14ac:dyDescent="0.25">
      <c r="A30" s="29"/>
      <c r="B30" s="11" t="str">
        <f>CONCATENATE("          ", "6111", " - ", "F.I.C.A.")</f>
        <v xml:space="preserve">          6111 - F.I.C.A.</v>
      </c>
      <c r="C30" s="11"/>
      <c r="D30" s="7">
        <v>1206.3</v>
      </c>
      <c r="E30" s="2"/>
      <c r="F30" s="6">
        <f t="shared" si="4"/>
        <v>0.95981094994470106</v>
      </c>
      <c r="G30" s="2"/>
      <c r="H30" s="7">
        <v>1050.30025137692</v>
      </c>
      <c r="I30" s="2"/>
      <c r="J30" s="6">
        <f t="shared" si="5"/>
        <v>7.0966233201143245E-2</v>
      </c>
      <c r="K30" s="2"/>
      <c r="L30" s="7">
        <f t="shared" si="6"/>
        <v>155.99974862308</v>
      </c>
      <c r="M30" s="2"/>
      <c r="N30" s="6">
        <f t="shared" si="7"/>
        <v>0.14852871682984731</v>
      </c>
      <c r="O30" s="11"/>
      <c r="P30" s="7">
        <v>7826.77</v>
      </c>
      <c r="Q30" s="2"/>
      <c r="R30" s="6">
        <f t="shared" si="8"/>
        <v>0.10459440446924032</v>
      </c>
      <c r="S30" s="2"/>
      <c r="T30" s="7">
        <v>6872.56351394998</v>
      </c>
      <c r="U30" s="2"/>
      <c r="V30" s="6">
        <f t="shared" si="9"/>
        <v>5.1590787039928386E-2</v>
      </c>
      <c r="W30" s="2"/>
      <c r="X30" s="7">
        <f t="shared" si="10"/>
        <v>954.20648605002043</v>
      </c>
      <c r="Y30" s="2"/>
      <c r="Z30" s="6">
        <f t="shared" si="11"/>
        <v>0.13884287633183237</v>
      </c>
    </row>
    <row r="31" spans="1:26" s="24" customFormat="1" hidden="1" outlineLevel="2" x14ac:dyDescent="0.25">
      <c r="A31" s="29"/>
      <c r="B31" s="11" t="str">
        <f>CONCATENATE("          ", "6112", " - ", "COMPENSATION INSURANCE")</f>
        <v xml:space="preserve">          6112 - COMPENSATION INSURANCE</v>
      </c>
      <c r="C31" s="11"/>
      <c r="D31" s="7">
        <v>556.65</v>
      </c>
      <c r="E31" s="2"/>
      <c r="F31" s="6">
        <f t="shared" si="4"/>
        <v>0.44290704243282586</v>
      </c>
      <c r="G31" s="2"/>
      <c r="H31" s="7">
        <v>271.69161192307701</v>
      </c>
      <c r="I31" s="2"/>
      <c r="J31" s="6">
        <f t="shared" si="5"/>
        <v>1.835754134615385E-2</v>
      </c>
      <c r="K31" s="2"/>
      <c r="L31" s="7">
        <f t="shared" si="6"/>
        <v>284.95838807692297</v>
      </c>
      <c r="M31" s="2"/>
      <c r="N31" s="6">
        <f t="shared" si="7"/>
        <v>1.0488302751047101</v>
      </c>
      <c r="O31" s="11"/>
      <c r="P31" s="7">
        <v>2343.9499999999998</v>
      </c>
      <c r="Q31" s="2"/>
      <c r="R31" s="6">
        <f t="shared" si="8"/>
        <v>3.1323784186283204E-2</v>
      </c>
      <c r="S31" s="2"/>
      <c r="T31" s="7">
        <v>1774.2557275000001</v>
      </c>
      <c r="U31" s="2"/>
      <c r="V31" s="6">
        <f t="shared" si="9"/>
        <v>1.3318938298064005E-2</v>
      </c>
      <c r="W31" s="2"/>
      <c r="X31" s="7">
        <f t="shared" si="10"/>
        <v>569.69427249999967</v>
      </c>
      <c r="Y31" s="2"/>
      <c r="Z31" s="6">
        <f t="shared" si="11"/>
        <v>0.32108915511447861</v>
      </c>
    </row>
    <row r="32" spans="1:26" s="24" customFormat="1" hidden="1" outlineLevel="2" x14ac:dyDescent="0.25">
      <c r="A32" s="29"/>
      <c r="B32" s="11" t="str">
        <f>CONCATENATE("          ", "6113", " - ", "GROUP INSURANCE")</f>
        <v xml:space="preserve">          6113 - GROUP INSURANCE</v>
      </c>
      <c r="C32" s="11"/>
      <c r="D32" s="7">
        <v>3423.78</v>
      </c>
      <c r="E32" s="2"/>
      <c r="F32" s="6">
        <f t="shared" si="4"/>
        <v>2.7241826529069626</v>
      </c>
      <c r="G32" s="2"/>
      <c r="H32" s="7">
        <v>2645</v>
      </c>
      <c r="I32" s="2"/>
      <c r="J32" s="6">
        <f t="shared" si="5"/>
        <v>0.17871621621621622</v>
      </c>
      <c r="K32" s="2"/>
      <c r="L32" s="7">
        <f t="shared" si="6"/>
        <v>778.7800000000002</v>
      </c>
      <c r="M32" s="2"/>
      <c r="N32" s="6">
        <f t="shared" si="7"/>
        <v>0.29443478260869571</v>
      </c>
      <c r="O32" s="11"/>
      <c r="P32" s="7">
        <v>19741.329999999998</v>
      </c>
      <c r="Q32" s="2"/>
      <c r="R32" s="6">
        <f t="shared" si="8"/>
        <v>0.26381670277531444</v>
      </c>
      <c r="S32" s="2"/>
      <c r="T32" s="7">
        <v>15870</v>
      </c>
      <c r="U32" s="2"/>
      <c r="V32" s="6">
        <f t="shared" si="9"/>
        <v>0.11913251709667975</v>
      </c>
      <c r="W32" s="2"/>
      <c r="X32" s="7">
        <f t="shared" si="10"/>
        <v>3871.3299999999981</v>
      </c>
      <c r="Y32" s="2"/>
      <c r="Z32" s="6">
        <f t="shared" si="11"/>
        <v>0.2439401386263389</v>
      </c>
    </row>
    <row r="33" spans="1:26" s="24" customFormat="1" hidden="1" outlineLevel="2" x14ac:dyDescent="0.25">
      <c r="A33" s="29"/>
      <c r="B33" s="11" t="str">
        <f>CONCATENATE("          ", "6114", " - ", "STATE UNEMPLOYMENT INSURANCE")</f>
        <v xml:space="preserve">          6114 - STATE UNEMPLOYMENT INSURANCE</v>
      </c>
      <c r="C33" s="11"/>
      <c r="D33" s="7"/>
      <c r="E33" s="2"/>
      <c r="F33" s="6">
        <f t="shared" si="4"/>
        <v>0</v>
      </c>
      <c r="G33" s="2"/>
      <c r="H33" s="7">
        <v>42.476286000000002</v>
      </c>
      <c r="I33" s="2"/>
      <c r="J33" s="6">
        <f t="shared" si="5"/>
        <v>2.8700193243243245E-3</v>
      </c>
      <c r="K33" s="2"/>
      <c r="L33" s="7">
        <f t="shared" si="6"/>
        <v>-42.476286000000002</v>
      </c>
      <c r="M33" s="2"/>
      <c r="N33" s="6">
        <f t="shared" si="7"/>
        <v>-1</v>
      </c>
      <c r="O33" s="11"/>
      <c r="P33" s="7">
        <v>251.18</v>
      </c>
      <c r="Q33" s="2"/>
      <c r="R33" s="6">
        <f t="shared" si="8"/>
        <v>3.3566876903989491E-3</v>
      </c>
      <c r="S33" s="2"/>
      <c r="T33" s="7">
        <v>270.47985899999998</v>
      </c>
      <c r="U33" s="2"/>
      <c r="V33" s="6">
        <f t="shared" si="9"/>
        <v>2.0304314068446769E-3</v>
      </c>
      <c r="W33" s="2"/>
      <c r="X33" s="7">
        <f t="shared" si="10"/>
        <v>-19.299858999999969</v>
      </c>
      <c r="Y33" s="2"/>
      <c r="Z33" s="6">
        <f t="shared" si="11"/>
        <v>-7.1354144709162876E-2</v>
      </c>
    </row>
    <row r="34" spans="1:26" s="24" customFormat="1" hidden="1" outlineLevel="2" x14ac:dyDescent="0.25">
      <c r="A34" s="29"/>
      <c r="B34" s="11" t="str">
        <f>CONCATENATE("          ", "6115", " - ", "P.E.R.S.")</f>
        <v xml:space="preserve">          6115 - P.E.R.S.</v>
      </c>
      <c r="C34" s="11"/>
      <c r="D34" s="7">
        <v>1385.13</v>
      </c>
      <c r="E34" s="2"/>
      <c r="F34" s="6">
        <f t="shared" si="4"/>
        <v>1.10209976050477</v>
      </c>
      <c r="G34" s="2"/>
      <c r="H34" s="7">
        <v>991.92684461538511</v>
      </c>
      <c r="I34" s="2"/>
      <c r="J34" s="6">
        <f t="shared" si="5"/>
        <v>6.7022084095634135E-2</v>
      </c>
      <c r="K34" s="2"/>
      <c r="L34" s="7">
        <f t="shared" si="6"/>
        <v>393.203155384615</v>
      </c>
      <c r="M34" s="2"/>
      <c r="N34" s="6">
        <f t="shared" si="7"/>
        <v>0.39640338147827592</v>
      </c>
      <c r="O34" s="11"/>
      <c r="P34" s="7">
        <v>10064.209999999999</v>
      </c>
      <c r="Q34" s="2"/>
      <c r="R34" s="6">
        <f t="shared" si="8"/>
        <v>0.13449482371442792</v>
      </c>
      <c r="S34" s="2"/>
      <c r="T34" s="7">
        <v>6447.5244899999998</v>
      </c>
      <c r="U34" s="2"/>
      <c r="V34" s="6">
        <f t="shared" si="9"/>
        <v>4.8400114778587675E-2</v>
      </c>
      <c r="W34" s="2"/>
      <c r="X34" s="7">
        <f t="shared" si="10"/>
        <v>3616.6855099999993</v>
      </c>
      <c r="Y34" s="2"/>
      <c r="Z34" s="6">
        <f t="shared" si="11"/>
        <v>0.56094172509300533</v>
      </c>
    </row>
    <row r="35" spans="1:26" s="24" customFormat="1" hidden="1" outlineLevel="2" x14ac:dyDescent="0.25">
      <c r="A35" s="29"/>
      <c r="B35" s="11" t="str">
        <f>CONCATENATE("          ", "6116", " - ", "EDUCATIONAL BENEFITS")</f>
        <v xml:space="preserve">          6116 - EDUCATIONAL BENEFITS</v>
      </c>
      <c r="C35" s="11"/>
      <c r="D35" s="7"/>
      <c r="E35" s="2"/>
      <c r="F35" s="6">
        <f t="shared" si="4"/>
        <v>0</v>
      </c>
      <c r="G35" s="2"/>
      <c r="H35" s="7">
        <v>0</v>
      </c>
      <c r="I35" s="2"/>
      <c r="J35" s="6">
        <f t="shared" si="5"/>
        <v>0</v>
      </c>
      <c r="K35" s="2"/>
      <c r="L35" s="7">
        <f t="shared" si="6"/>
        <v>0</v>
      </c>
      <c r="M35" s="2"/>
      <c r="N35" s="6">
        <f t="shared" si="7"/>
        <v>0</v>
      </c>
      <c r="O35" s="11"/>
      <c r="P35" s="7"/>
      <c r="Q35" s="2"/>
      <c r="R35" s="6">
        <f t="shared" si="8"/>
        <v>0</v>
      </c>
      <c r="S35" s="2"/>
      <c r="T35" s="7">
        <v>0</v>
      </c>
      <c r="U35" s="2"/>
      <c r="V35" s="6">
        <f t="shared" si="9"/>
        <v>0</v>
      </c>
      <c r="W35" s="2"/>
      <c r="X35" s="7">
        <f t="shared" si="10"/>
        <v>0</v>
      </c>
      <c r="Y35" s="2"/>
      <c r="Z35" s="6">
        <f t="shared" si="11"/>
        <v>0</v>
      </c>
    </row>
    <row r="36" spans="1:26" s="24" customFormat="1" hidden="1" outlineLevel="2" x14ac:dyDescent="0.25">
      <c r="A36" s="29"/>
      <c r="B36" s="11" t="str">
        <f>CONCATENATE("          ", "6118", " - ", "VACATION")</f>
        <v xml:space="preserve">          6118 - VACATION</v>
      </c>
      <c r="C36" s="11"/>
      <c r="D36" s="7">
        <v>1216.0999999999999</v>
      </c>
      <c r="E36" s="2"/>
      <c r="F36" s="6">
        <f t="shared" si="4"/>
        <v>0.96760846906055786</v>
      </c>
      <c r="G36" s="2"/>
      <c r="H36" s="7">
        <v>956.61308461538511</v>
      </c>
      <c r="I36" s="2"/>
      <c r="J36" s="6">
        <f t="shared" si="5"/>
        <v>6.4636019230769268E-2</v>
      </c>
      <c r="K36" s="2"/>
      <c r="L36" s="7">
        <f t="shared" si="6"/>
        <v>259.4869153846148</v>
      </c>
      <c r="M36" s="2"/>
      <c r="N36" s="6">
        <f t="shared" si="7"/>
        <v>0.27125587090306613</v>
      </c>
      <c r="O36" s="11"/>
      <c r="P36" s="7">
        <v>7667.43</v>
      </c>
      <c r="Q36" s="2"/>
      <c r="R36" s="6">
        <f t="shared" si="8"/>
        <v>0.10246503661914012</v>
      </c>
      <c r="S36" s="2"/>
      <c r="T36" s="7">
        <v>6217.9850500000002</v>
      </c>
      <c r="U36" s="2"/>
      <c r="V36" s="6">
        <f t="shared" si="9"/>
        <v>4.6677013880026728E-2</v>
      </c>
      <c r="W36" s="2"/>
      <c r="X36" s="7">
        <f t="shared" si="10"/>
        <v>1449.4449500000001</v>
      </c>
      <c r="Y36" s="2"/>
      <c r="Z36" s="6">
        <f t="shared" si="11"/>
        <v>0.23310524845986885</v>
      </c>
    </row>
    <row r="37" spans="1:26" s="24" customFormat="1" hidden="1" outlineLevel="2" x14ac:dyDescent="0.25">
      <c r="A37" s="29"/>
      <c r="B37" s="11" t="str">
        <f>CONCATENATE("          ", "6119", " - ", "SICK LEAVE")</f>
        <v xml:space="preserve">          6119 - SICK LEAVE</v>
      </c>
      <c r="C37" s="11"/>
      <c r="D37" s="7">
        <v>738.5</v>
      </c>
      <c r="E37" s="2"/>
      <c r="F37" s="6">
        <f t="shared" si="4"/>
        <v>0.587598761944924</v>
      </c>
      <c r="G37" s="2"/>
      <c r="H37" s="7">
        <v>442.536376923077</v>
      </c>
      <c r="I37" s="2"/>
      <c r="J37" s="6">
        <f t="shared" si="5"/>
        <v>2.9901106548856554E-2</v>
      </c>
      <c r="K37" s="2"/>
      <c r="L37" s="7">
        <f t="shared" si="6"/>
        <v>295.963623076923</v>
      </c>
      <c r="M37" s="2"/>
      <c r="N37" s="6">
        <f t="shared" si="7"/>
        <v>0.66878936627704233</v>
      </c>
      <c r="O37" s="11"/>
      <c r="P37" s="7">
        <v>4694.2700000000004</v>
      </c>
      <c r="Q37" s="2"/>
      <c r="R37" s="6">
        <f t="shared" si="8"/>
        <v>6.273269497734324E-2</v>
      </c>
      <c r="S37" s="2"/>
      <c r="T37" s="7">
        <v>2862.6864499999997</v>
      </c>
      <c r="U37" s="2"/>
      <c r="V37" s="6">
        <f t="shared" si="9"/>
        <v>2.1489542687275265E-2</v>
      </c>
      <c r="W37" s="2"/>
      <c r="X37" s="7">
        <f t="shared" si="10"/>
        <v>1831.5835500000007</v>
      </c>
      <c r="Y37" s="2"/>
      <c r="Z37" s="6">
        <f t="shared" si="11"/>
        <v>0.6398128408369701</v>
      </c>
    </row>
    <row r="38" spans="1:26" s="24" customFormat="1" hidden="1" outlineLevel="2" x14ac:dyDescent="0.25">
      <c r="A38" s="29"/>
      <c r="B38" s="11" t="str">
        <f>CONCATENATE("          ", "6156", " - ", "EMPLOYEE MEALS")</f>
        <v xml:space="preserve">          6156 - EMPLOYEE MEALS</v>
      </c>
      <c r="C38" s="11"/>
      <c r="D38" s="7">
        <v>369.84</v>
      </c>
      <c r="E38" s="2"/>
      <c r="F38" s="6">
        <f t="shared" si="4"/>
        <v>0.29426882344984517</v>
      </c>
      <c r="G38" s="2"/>
      <c r="H38" s="7"/>
      <c r="I38" s="2"/>
      <c r="J38" s="6">
        <f t="shared" si="5"/>
        <v>0</v>
      </c>
      <c r="K38" s="2"/>
      <c r="L38" s="7">
        <f t="shared" si="6"/>
        <v>369.84</v>
      </c>
      <c r="M38" s="2"/>
      <c r="N38" s="6">
        <f t="shared" si="7"/>
        <v>0</v>
      </c>
      <c r="O38" s="11"/>
      <c r="P38" s="7">
        <v>2119.73</v>
      </c>
      <c r="Q38" s="2"/>
      <c r="R38" s="6">
        <f t="shared" si="8"/>
        <v>2.8327381152836072E-2</v>
      </c>
      <c r="S38" s="2"/>
      <c r="T38" s="7"/>
      <c r="U38" s="2"/>
      <c r="V38" s="6">
        <f t="shared" si="9"/>
        <v>0</v>
      </c>
      <c r="W38" s="2"/>
      <c r="X38" s="7">
        <f t="shared" si="10"/>
        <v>2119.73</v>
      </c>
      <c r="Y38" s="2"/>
      <c r="Z38" s="6">
        <f t="shared" si="11"/>
        <v>0</v>
      </c>
    </row>
    <row r="39" spans="1:26" s="28" customFormat="1" outlineLevel="1" collapsed="1" x14ac:dyDescent="0.25">
      <c r="A39" s="27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14567.890000000001</v>
      </c>
      <c r="E39" s="1"/>
      <c r="F39" s="5">
        <f t="shared" ref="F39:F49" si="12">IF(D$12=0,0,D39/D$12)</f>
        <v>11.591163342112173</v>
      </c>
      <c r="G39" s="1"/>
      <c r="H39" s="1">
        <f>SUM(OSRRefH22_1x_0)</f>
        <v>10197.5085615385</v>
      </c>
      <c r="I39" s="1"/>
      <c r="J39" s="5">
        <f t="shared" ref="J39:J49" si="13">IF(H$12=0,0,H39/H$12)</f>
        <v>0.68902084875260128</v>
      </c>
      <c r="K39" s="1"/>
      <c r="L39" s="1">
        <f t="shared" ref="L39:L49" si="14">+D39-H39</f>
        <v>4370.3814384615016</v>
      </c>
      <c r="M39" s="1"/>
      <c r="N39" s="5">
        <f t="shared" ref="N39:N49" si="15">IF(H39=0,0,L39/H39)</f>
        <v>0.42857345125897511</v>
      </c>
      <c r="O39" s="14"/>
      <c r="P39" s="1">
        <f>SUM(OSRRefP22_1x_0)</f>
        <v>87263.33</v>
      </c>
      <c r="Q39" s="1"/>
      <c r="R39" s="5">
        <f t="shared" ref="R39:R49" si="16">IF(P$12=0,0,P39/P$12)</f>
        <v>1.1661587134095921</v>
      </c>
      <c r="S39" s="1"/>
      <c r="T39" s="1">
        <f>SUM(OSRRefT22_1x_0)</f>
        <v>66283.805650000199</v>
      </c>
      <c r="U39" s="1"/>
      <c r="V39" s="5">
        <f t="shared" ref="V39:V49" si="17">IF(T$12=0,0,T39/T$12)</f>
        <v>0.49757760616456503</v>
      </c>
      <c r="W39" s="1"/>
      <c r="X39" s="1">
        <f t="shared" ref="X39:X49" si="18">+P39-T39</f>
        <v>20979.524349999803</v>
      </c>
      <c r="Y39" s="1"/>
      <c r="Z39" s="5">
        <f t="shared" ref="Z39:Z49" si="19">IF(T39=0,0,X39/T39)</f>
        <v>0.31651055856355675</v>
      </c>
    </row>
    <row r="40" spans="1:26" s="24" customFormat="1" hidden="1" outlineLevel="2" x14ac:dyDescent="0.25">
      <c r="A40" s="29"/>
      <c r="B40" s="11" t="str">
        <f>CONCATENATE("          ", "6001", " - ", "ADMINISTRATIVE SALARIES")</f>
        <v xml:space="preserve">          6001 - ADMINISTRATIVE SALARIES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9"/>
      <c r="B41" s="11" t="str">
        <f>CONCATENATE("          ", "6002", " - ", "STAFF SALARIES")</f>
        <v xml:space="preserve">          6002 - STAFF SALARIES</v>
      </c>
      <c r="C41" s="11"/>
      <c r="D41" s="7">
        <v>14236.79</v>
      </c>
      <c r="E41" s="2"/>
      <c r="F41" s="6">
        <f t="shared" si="12"/>
        <v>11.327718589126439</v>
      </c>
      <c r="G41" s="2"/>
      <c r="H41" s="7">
        <v>10197.5085615385</v>
      </c>
      <c r="I41" s="2"/>
      <c r="J41" s="6">
        <f t="shared" si="13"/>
        <v>0.68902084875260128</v>
      </c>
      <c r="K41" s="2"/>
      <c r="L41" s="7">
        <f t="shared" si="14"/>
        <v>4039.2814384615012</v>
      </c>
      <c r="M41" s="2"/>
      <c r="N41" s="6">
        <f t="shared" si="15"/>
        <v>0.39610473618000025</v>
      </c>
      <c r="O41" s="11"/>
      <c r="P41" s="7">
        <v>83030.710000000006</v>
      </c>
      <c r="Q41" s="2"/>
      <c r="R41" s="6">
        <f t="shared" si="16"/>
        <v>1.1095953586355798</v>
      </c>
      <c r="S41" s="2"/>
      <c r="T41" s="7">
        <v>66283.805650000199</v>
      </c>
      <c r="U41" s="2"/>
      <c r="V41" s="6">
        <f t="shared" si="17"/>
        <v>0.49757760616456503</v>
      </c>
      <c r="W41" s="2"/>
      <c r="X41" s="7">
        <f t="shared" si="18"/>
        <v>16746.904349999808</v>
      </c>
      <c r="Y41" s="2"/>
      <c r="Z41" s="6">
        <f t="shared" si="19"/>
        <v>0.25265453885416367</v>
      </c>
    </row>
    <row r="42" spans="1:26" s="24" customFormat="1" hidden="1" outlineLevel="2" x14ac:dyDescent="0.25">
      <c r="A42" s="29"/>
      <c r="B42" s="11" t="str">
        <f>CONCATENATE("          ", "6003", " - ", "STAFF HOURLY-9 MONTH")</f>
        <v xml:space="preserve">          6003 - STAFF HOURLY-9 MONTH</v>
      </c>
      <c r="C42" s="11"/>
      <c r="D42" s="7"/>
      <c r="E42" s="2"/>
      <c r="F42" s="6">
        <f t="shared" si="12"/>
        <v>0</v>
      </c>
      <c r="G42" s="2"/>
      <c r="H42" s="7">
        <v>0</v>
      </c>
      <c r="I42" s="2"/>
      <c r="J42" s="6">
        <f t="shared" si="13"/>
        <v>0</v>
      </c>
      <c r="K42" s="2"/>
      <c r="L42" s="7">
        <f t="shared" si="14"/>
        <v>0</v>
      </c>
      <c r="M42" s="2"/>
      <c r="N42" s="6">
        <f t="shared" si="15"/>
        <v>0</v>
      </c>
      <c r="O42" s="11"/>
      <c r="P42" s="7"/>
      <c r="Q42" s="2"/>
      <c r="R42" s="6">
        <f t="shared" si="16"/>
        <v>0</v>
      </c>
      <c r="S42" s="2"/>
      <c r="T42" s="7">
        <v>0</v>
      </c>
      <c r="U42" s="2"/>
      <c r="V42" s="6">
        <f t="shared" si="17"/>
        <v>0</v>
      </c>
      <c r="W42" s="2"/>
      <c r="X42" s="7">
        <f t="shared" si="18"/>
        <v>0</v>
      </c>
      <c r="Y42" s="2"/>
      <c r="Z42" s="6">
        <f t="shared" si="19"/>
        <v>0</v>
      </c>
    </row>
    <row r="43" spans="1:26" s="24" customFormat="1" hidden="1" outlineLevel="2" x14ac:dyDescent="0.25">
      <c r="A43" s="29"/>
      <c r="B43" s="11" t="str">
        <f>CONCATENATE("          ", "6004", " - ", "STAFF HOURLY")</f>
        <v xml:space="preserve">          6004 - STAFF HOURLY</v>
      </c>
      <c r="C43" s="11"/>
      <c r="D43" s="7"/>
      <c r="E43" s="2"/>
      <c r="F43" s="6">
        <f t="shared" si="12"/>
        <v>0</v>
      </c>
      <c r="G43" s="2"/>
      <c r="H43" s="7">
        <v>0</v>
      </c>
      <c r="I43" s="2"/>
      <c r="J43" s="6">
        <f t="shared" si="13"/>
        <v>0</v>
      </c>
      <c r="K43" s="2"/>
      <c r="L43" s="7">
        <f t="shared" si="14"/>
        <v>0</v>
      </c>
      <c r="M43" s="2"/>
      <c r="N43" s="6">
        <f t="shared" si="15"/>
        <v>0</v>
      </c>
      <c r="O43" s="11"/>
      <c r="P43" s="7"/>
      <c r="Q43" s="2"/>
      <c r="R43" s="6">
        <f t="shared" si="16"/>
        <v>0</v>
      </c>
      <c r="S43" s="2"/>
      <c r="T43" s="7">
        <v>0</v>
      </c>
      <c r="U43" s="2"/>
      <c r="V43" s="6">
        <f t="shared" si="17"/>
        <v>0</v>
      </c>
      <c r="W43" s="2"/>
      <c r="X43" s="7">
        <f t="shared" si="18"/>
        <v>0</v>
      </c>
      <c r="Y43" s="2"/>
      <c r="Z43" s="6">
        <f t="shared" si="19"/>
        <v>0</v>
      </c>
    </row>
    <row r="44" spans="1:26" s="24" customFormat="1" hidden="1" outlineLevel="2" x14ac:dyDescent="0.25">
      <c r="A44" s="29"/>
      <c r="B44" s="11" t="str">
        <f>CONCATENATE("          ", "6005", " - ", "TEMPORARY WAGES-HOURLY")</f>
        <v xml:space="preserve">          6005 - TEMPORARY WAGES-HOURLY</v>
      </c>
      <c r="C44" s="11"/>
      <c r="D44" s="7"/>
      <c r="E44" s="2"/>
      <c r="F44" s="6">
        <f t="shared" si="12"/>
        <v>0</v>
      </c>
      <c r="G44" s="2"/>
      <c r="H44" s="7">
        <v>0</v>
      </c>
      <c r="I44" s="2"/>
      <c r="J44" s="6">
        <f t="shared" si="13"/>
        <v>0</v>
      </c>
      <c r="K44" s="2"/>
      <c r="L44" s="7">
        <f t="shared" si="14"/>
        <v>0</v>
      </c>
      <c r="M44" s="2"/>
      <c r="N44" s="6">
        <f t="shared" si="15"/>
        <v>0</v>
      </c>
      <c r="O44" s="11"/>
      <c r="P44" s="7">
        <v>383.25</v>
      </c>
      <c r="Q44" s="2"/>
      <c r="R44" s="6">
        <f t="shared" si="16"/>
        <v>5.1216281445393627E-3</v>
      </c>
      <c r="S44" s="2"/>
      <c r="T44" s="7">
        <v>0</v>
      </c>
      <c r="U44" s="2"/>
      <c r="V44" s="6">
        <f t="shared" si="17"/>
        <v>0</v>
      </c>
      <c r="W44" s="2"/>
      <c r="X44" s="7">
        <f t="shared" si="18"/>
        <v>383.25</v>
      </c>
      <c r="Y44" s="2"/>
      <c r="Z44" s="6">
        <f t="shared" si="19"/>
        <v>0</v>
      </c>
    </row>
    <row r="45" spans="1:26" s="24" customFormat="1" hidden="1" outlineLevel="2" x14ac:dyDescent="0.25">
      <c r="A45" s="29"/>
      <c r="B45" s="11" t="str">
        <f>CONCATENATE("          ", "6006", " - ", "TEMPORARY PART TIME")</f>
        <v xml:space="preserve">          6006 - TEMPORARY PART TIME</v>
      </c>
      <c r="C45" s="11"/>
      <c r="D45" s="7"/>
      <c r="E45" s="2"/>
      <c r="F45" s="6">
        <f t="shared" si="12"/>
        <v>0</v>
      </c>
      <c r="G45" s="2"/>
      <c r="H45" s="7">
        <v>0</v>
      </c>
      <c r="I45" s="2"/>
      <c r="J45" s="6">
        <f t="shared" si="13"/>
        <v>0</v>
      </c>
      <c r="K45" s="2"/>
      <c r="L45" s="7">
        <f t="shared" si="14"/>
        <v>0</v>
      </c>
      <c r="M45" s="2"/>
      <c r="N45" s="6">
        <f t="shared" si="15"/>
        <v>0</v>
      </c>
      <c r="O45" s="11"/>
      <c r="P45" s="7"/>
      <c r="Q45" s="2"/>
      <c r="R45" s="6">
        <f t="shared" si="16"/>
        <v>0</v>
      </c>
      <c r="S45" s="2"/>
      <c r="T45" s="7">
        <v>0</v>
      </c>
      <c r="U45" s="2"/>
      <c r="V45" s="6">
        <f t="shared" si="17"/>
        <v>0</v>
      </c>
      <c r="W45" s="2"/>
      <c r="X45" s="7">
        <f t="shared" si="18"/>
        <v>0</v>
      </c>
      <c r="Y45" s="2"/>
      <c r="Z45" s="6">
        <f t="shared" si="19"/>
        <v>0</v>
      </c>
    </row>
    <row r="46" spans="1:26" s="24" customFormat="1" hidden="1" outlineLevel="2" x14ac:dyDescent="0.25">
      <c r="A46" s="29"/>
      <c r="B46" s="11" t="str">
        <f>CONCATENATE("          ", "6007", " - ", "STUDENT HOURLY")</f>
        <v xml:space="preserve">          6007 - STUDENT HOURLY</v>
      </c>
      <c r="C46" s="11"/>
      <c r="D46" s="7">
        <v>331.1</v>
      </c>
      <c r="E46" s="2"/>
      <c r="F46" s="6">
        <f t="shared" si="12"/>
        <v>0.26344475298573372</v>
      </c>
      <c r="G46" s="2"/>
      <c r="H46" s="7">
        <v>0</v>
      </c>
      <c r="I46" s="2"/>
      <c r="J46" s="6">
        <f t="shared" si="13"/>
        <v>0</v>
      </c>
      <c r="K46" s="2"/>
      <c r="L46" s="7">
        <f t="shared" si="14"/>
        <v>331.1</v>
      </c>
      <c r="M46" s="2"/>
      <c r="N46" s="6">
        <f t="shared" si="15"/>
        <v>0</v>
      </c>
      <c r="O46" s="11"/>
      <c r="P46" s="7">
        <v>3849.37</v>
      </c>
      <c r="Q46" s="2"/>
      <c r="R46" s="6">
        <f t="shared" si="16"/>
        <v>5.1441726629472898E-2</v>
      </c>
      <c r="S46" s="2"/>
      <c r="T46" s="7">
        <v>0</v>
      </c>
      <c r="U46" s="2"/>
      <c r="V46" s="6">
        <f t="shared" si="17"/>
        <v>0</v>
      </c>
      <c r="W46" s="2"/>
      <c r="X46" s="7">
        <f t="shared" si="18"/>
        <v>3849.37</v>
      </c>
      <c r="Y46" s="2"/>
      <c r="Z46" s="6">
        <f t="shared" si="19"/>
        <v>0</v>
      </c>
    </row>
    <row r="47" spans="1:26" s="24" customFormat="1" hidden="1" outlineLevel="2" x14ac:dyDescent="0.25">
      <c r="A47" s="29"/>
      <c r="B47" s="11" t="str">
        <f>CONCATENATE("          ", "6008", " - ", "STUDENT HOURLY-FICA EXEMPT")</f>
        <v xml:space="preserve">          6008 - STUDENT HOURLY-FICA EXEMPT</v>
      </c>
      <c r="C47" s="11"/>
      <c r="D47" s="7"/>
      <c r="E47" s="2"/>
      <c r="F47" s="6">
        <f t="shared" si="12"/>
        <v>0</v>
      </c>
      <c r="G47" s="2"/>
      <c r="H47" s="7">
        <v>0</v>
      </c>
      <c r="I47" s="2"/>
      <c r="J47" s="6">
        <f t="shared" si="13"/>
        <v>0</v>
      </c>
      <c r="K47" s="2"/>
      <c r="L47" s="7">
        <f t="shared" si="14"/>
        <v>0</v>
      </c>
      <c r="M47" s="2"/>
      <c r="N47" s="6">
        <f t="shared" si="15"/>
        <v>0</v>
      </c>
      <c r="O47" s="11"/>
      <c r="P47" s="7"/>
      <c r="Q47" s="2"/>
      <c r="R47" s="6">
        <f t="shared" si="16"/>
        <v>0</v>
      </c>
      <c r="S47" s="2"/>
      <c r="T47" s="7">
        <v>0</v>
      </c>
      <c r="U47" s="2"/>
      <c r="V47" s="6">
        <f t="shared" si="17"/>
        <v>0</v>
      </c>
      <c r="W47" s="2"/>
      <c r="X47" s="7">
        <f t="shared" si="18"/>
        <v>0</v>
      </c>
      <c r="Y47" s="2"/>
      <c r="Z47" s="6">
        <f t="shared" si="19"/>
        <v>0</v>
      </c>
    </row>
    <row r="48" spans="1:26" s="24" customFormat="1" hidden="1" outlineLevel="2" x14ac:dyDescent="0.25">
      <c r="A48" s="29"/>
      <c r="B48" s="11" t="str">
        <f>CONCATENATE("          ", "6009", " - ", "TEMPORARY-SEASONAL")</f>
        <v xml:space="preserve">          6009 - TEMPORARY-SEASONAL</v>
      </c>
      <c r="C48" s="11"/>
      <c r="D48" s="7"/>
      <c r="E48" s="2"/>
      <c r="F48" s="6">
        <f t="shared" si="12"/>
        <v>0</v>
      </c>
      <c r="G48" s="2"/>
      <c r="H48" s="7">
        <v>0</v>
      </c>
      <c r="I48" s="2"/>
      <c r="J48" s="6">
        <f t="shared" si="13"/>
        <v>0</v>
      </c>
      <c r="K48" s="2"/>
      <c r="L48" s="7">
        <f t="shared" si="14"/>
        <v>0</v>
      </c>
      <c r="M48" s="2"/>
      <c r="N48" s="6">
        <f t="shared" si="15"/>
        <v>0</v>
      </c>
      <c r="O48" s="11"/>
      <c r="P48" s="7"/>
      <c r="Q48" s="2"/>
      <c r="R48" s="6">
        <f t="shared" si="16"/>
        <v>0</v>
      </c>
      <c r="S48" s="2"/>
      <c r="T48" s="7">
        <v>0</v>
      </c>
      <c r="U48" s="2"/>
      <c r="V48" s="6">
        <f t="shared" si="17"/>
        <v>0</v>
      </c>
      <c r="W48" s="2"/>
      <c r="X48" s="7">
        <f t="shared" si="18"/>
        <v>0</v>
      </c>
      <c r="Y48" s="2"/>
      <c r="Z48" s="6">
        <f t="shared" si="19"/>
        <v>0</v>
      </c>
    </row>
    <row r="49" spans="1:26" s="24" customFormat="1" hidden="1" outlineLevel="2" x14ac:dyDescent="0.25">
      <c r="A49" s="29"/>
      <c r="B49" s="11" t="str">
        <f>CONCATENATE("          ", "6010", " - ", "GRATUITY")</f>
        <v xml:space="preserve">          6010 - GRATUITY</v>
      </c>
      <c r="C49" s="11"/>
      <c r="D49" s="7"/>
      <c r="E49" s="2"/>
      <c r="F49" s="6">
        <f t="shared" si="12"/>
        <v>0</v>
      </c>
      <c r="G49" s="2"/>
      <c r="H49" s="7">
        <v>0</v>
      </c>
      <c r="I49" s="2"/>
      <c r="J49" s="6">
        <f t="shared" si="13"/>
        <v>0</v>
      </c>
      <c r="K49" s="2"/>
      <c r="L49" s="7">
        <f t="shared" si="14"/>
        <v>0</v>
      </c>
      <c r="M49" s="2"/>
      <c r="N49" s="6">
        <f t="shared" si="15"/>
        <v>0</v>
      </c>
      <c r="O49" s="11"/>
      <c r="P49" s="7"/>
      <c r="Q49" s="2"/>
      <c r="R49" s="6">
        <f t="shared" si="16"/>
        <v>0</v>
      </c>
      <c r="S49" s="2"/>
      <c r="T49" s="7">
        <v>0</v>
      </c>
      <c r="U49" s="2"/>
      <c r="V49" s="6">
        <f t="shared" si="17"/>
        <v>0</v>
      </c>
      <c r="W49" s="2"/>
      <c r="X49" s="7">
        <f t="shared" si="18"/>
        <v>0</v>
      </c>
      <c r="Y49" s="2"/>
      <c r="Z49" s="6">
        <f t="shared" si="19"/>
        <v>0</v>
      </c>
    </row>
    <row r="50" spans="1:26" s="28" customFormat="1" outlineLevel="1" collapsed="1" x14ac:dyDescent="0.25">
      <c r="A50" s="27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0</v>
      </c>
      <c r="E50" s="1"/>
      <c r="F50" s="5">
        <f t="shared" ref="F50:F60" si="20">IF(D$12=0,0,D50/D$12)</f>
        <v>0</v>
      </c>
      <c r="G50" s="1"/>
      <c r="H50" s="1">
        <f>SUM(OSRRefH22_2x_0)</f>
        <v>50</v>
      </c>
      <c r="I50" s="1"/>
      <c r="J50" s="5">
        <f t="shared" ref="J50:J60" si="21">IF(H$12=0,0,H50/H$12)</f>
        <v>3.3783783783783786E-3</v>
      </c>
      <c r="K50" s="1"/>
      <c r="L50" s="1">
        <f t="shared" ref="L50:L60" si="22">+D50-H50</f>
        <v>-50</v>
      </c>
      <c r="M50" s="1"/>
      <c r="N50" s="5">
        <f t="shared" ref="N50:N60" si="23">IF(H50=0,0,L50/H50)</f>
        <v>-1</v>
      </c>
      <c r="O50" s="14"/>
      <c r="P50" s="1">
        <f>SUM(OSRRefP22_2x_0)</f>
        <v>0</v>
      </c>
      <c r="Q50" s="1"/>
      <c r="R50" s="5">
        <f t="shared" ref="R50:R60" si="24">IF(P$12=0,0,P50/P$12)</f>
        <v>0</v>
      </c>
      <c r="S50" s="1"/>
      <c r="T50" s="1">
        <f>SUM(OSRRefT22_2x_0)</f>
        <v>300</v>
      </c>
      <c r="U50" s="1"/>
      <c r="V50" s="5">
        <f t="shared" ref="V50:V60" si="25">IF(T$12=0,0,T50/T$12)</f>
        <v>2.2520324592945132E-3</v>
      </c>
      <c r="W50" s="1"/>
      <c r="X50" s="1">
        <f t="shared" ref="X50:X60" si="26">+P50-T50</f>
        <v>-300</v>
      </c>
      <c r="Y50" s="1"/>
      <c r="Z50" s="5">
        <f t="shared" ref="Z50:Z60" si="27">IF(T50=0,0,X50/T50)</f>
        <v>-1</v>
      </c>
    </row>
    <row r="51" spans="1:26" s="24" customFormat="1" hidden="1" outlineLevel="2" x14ac:dyDescent="0.25">
      <c r="A51" s="29"/>
      <c r="B51" s="11" t="str">
        <f>CONCATENATE("          ", "6362", " - ", "ADVERTISING EXPENSE")</f>
        <v xml:space="preserve">          6362 - ADVERTISING EXPENSE</v>
      </c>
      <c r="C51" s="11"/>
      <c r="D51" s="7"/>
      <c r="E51" s="2"/>
      <c r="F51" s="6">
        <f t="shared" si="20"/>
        <v>0</v>
      </c>
      <c r="G51" s="2"/>
      <c r="H51" s="7">
        <v>50</v>
      </c>
      <c r="I51" s="2"/>
      <c r="J51" s="6">
        <f t="shared" si="21"/>
        <v>3.3783783783783786E-3</v>
      </c>
      <c r="K51" s="2"/>
      <c r="L51" s="7">
        <f t="shared" si="22"/>
        <v>-50</v>
      </c>
      <c r="M51" s="2"/>
      <c r="N51" s="6">
        <f t="shared" si="23"/>
        <v>-1</v>
      </c>
      <c r="O51" s="11"/>
      <c r="P51" s="7"/>
      <c r="Q51" s="2"/>
      <c r="R51" s="6">
        <f t="shared" si="24"/>
        <v>0</v>
      </c>
      <c r="S51" s="2"/>
      <c r="T51" s="7">
        <v>300</v>
      </c>
      <c r="U51" s="2"/>
      <c r="V51" s="6">
        <f t="shared" si="25"/>
        <v>2.2520324592945132E-3</v>
      </c>
      <c r="W51" s="2"/>
      <c r="X51" s="7">
        <f t="shared" si="26"/>
        <v>-300</v>
      </c>
      <c r="Y51" s="2"/>
      <c r="Z51" s="6">
        <f t="shared" si="27"/>
        <v>-1</v>
      </c>
    </row>
    <row r="52" spans="1:26" s="28" customFormat="1" outlineLevel="1" collapsed="1" x14ac:dyDescent="0.25">
      <c r="A52" s="27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SUM(OSRRefD22_3x_0)</f>
        <v>169.88</v>
      </c>
      <c r="E52" s="1"/>
      <c r="F52" s="5">
        <f t="shared" si="20"/>
        <v>0.13516760687773011</v>
      </c>
      <c r="G52" s="1"/>
      <c r="H52" s="1">
        <f>SUM(OSRRefH22_3x_0)</f>
        <v>170</v>
      </c>
      <c r="I52" s="1"/>
      <c r="J52" s="5">
        <f t="shared" si="21"/>
        <v>1.1486486486486487E-2</v>
      </c>
      <c r="K52" s="1"/>
      <c r="L52" s="1">
        <f t="shared" si="22"/>
        <v>-0.12000000000000455</v>
      </c>
      <c r="M52" s="1"/>
      <c r="N52" s="5">
        <f t="shared" si="23"/>
        <v>-7.0588235294120319E-4</v>
      </c>
      <c r="O52" s="14"/>
      <c r="P52" s="1">
        <f>SUM(OSRRefP22_3x_0)</f>
        <v>1019.28</v>
      </c>
      <c r="Q52" s="1"/>
      <c r="R52" s="5">
        <f t="shared" si="24"/>
        <v>1.3621325858228525E-2</v>
      </c>
      <c r="S52" s="1"/>
      <c r="T52" s="1">
        <f>SUM(OSRRefT22_3x_0)</f>
        <v>1020</v>
      </c>
      <c r="U52" s="1"/>
      <c r="V52" s="5">
        <f t="shared" si="25"/>
        <v>7.6569103616013455E-3</v>
      </c>
      <c r="W52" s="1"/>
      <c r="X52" s="1">
        <f t="shared" si="26"/>
        <v>-0.72000000000002728</v>
      </c>
      <c r="Y52" s="1"/>
      <c r="Z52" s="5">
        <f t="shared" si="27"/>
        <v>-7.0588235294120319E-4</v>
      </c>
    </row>
    <row r="53" spans="1:26" s="24" customFormat="1" hidden="1" outlineLevel="2" x14ac:dyDescent="0.25">
      <c r="A53" s="29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169.88</v>
      </c>
      <c r="E53" s="2"/>
      <c r="F53" s="6">
        <f t="shared" si="20"/>
        <v>0.13516760687773011</v>
      </c>
      <c r="G53" s="2"/>
      <c r="H53" s="7">
        <v>170</v>
      </c>
      <c r="I53" s="2"/>
      <c r="J53" s="6">
        <f t="shared" si="21"/>
        <v>1.1486486486486487E-2</v>
      </c>
      <c r="K53" s="2"/>
      <c r="L53" s="7">
        <f t="shared" si="22"/>
        <v>-0.12000000000000455</v>
      </c>
      <c r="M53" s="2"/>
      <c r="N53" s="6">
        <f t="shared" si="23"/>
        <v>-7.0588235294120319E-4</v>
      </c>
      <c r="O53" s="11"/>
      <c r="P53" s="7">
        <v>1019.28</v>
      </c>
      <c r="Q53" s="2"/>
      <c r="R53" s="6">
        <f t="shared" si="24"/>
        <v>1.3621325858228525E-2</v>
      </c>
      <c r="S53" s="2"/>
      <c r="T53" s="7">
        <v>1020</v>
      </c>
      <c r="U53" s="2"/>
      <c r="V53" s="6">
        <f t="shared" si="25"/>
        <v>7.6569103616013455E-3</v>
      </c>
      <c r="W53" s="2"/>
      <c r="X53" s="7">
        <f t="shared" si="26"/>
        <v>-0.72000000000002728</v>
      </c>
      <c r="Y53" s="2"/>
      <c r="Z53" s="6">
        <f t="shared" si="27"/>
        <v>-7.0588235294120319E-4</v>
      </c>
    </row>
    <row r="54" spans="1:26" s="28" customFormat="1" outlineLevel="1" collapsed="1" x14ac:dyDescent="0.25">
      <c r="A54" s="27"/>
      <c r="B54" s="14" t="str">
        <f>CONCATENATE("     ","Discounts and Markdowns                           ")</f>
        <v xml:space="preserve">     Discounts and Markdowns                           </v>
      </c>
      <c r="C54" s="14"/>
      <c r="D54" s="1">
        <f>SUM(OSRRefD22_4x_0)</f>
        <v>0</v>
      </c>
      <c r="E54" s="1"/>
      <c r="F54" s="5">
        <f t="shared" si="20"/>
        <v>0</v>
      </c>
      <c r="G54" s="1"/>
      <c r="H54" s="1">
        <f>SUM(OSRRefH22_4x_0)</f>
        <v>50</v>
      </c>
      <c r="I54" s="1"/>
      <c r="J54" s="5">
        <f t="shared" si="21"/>
        <v>3.3783783783783786E-3</v>
      </c>
      <c r="K54" s="1"/>
      <c r="L54" s="1">
        <f t="shared" si="22"/>
        <v>-50</v>
      </c>
      <c r="M54" s="1"/>
      <c r="N54" s="5">
        <f t="shared" si="23"/>
        <v>-1</v>
      </c>
      <c r="O54" s="14"/>
      <c r="P54" s="1">
        <f>SUM(OSRRefP22_4x_0)</f>
        <v>0</v>
      </c>
      <c r="Q54" s="1"/>
      <c r="R54" s="5">
        <f t="shared" si="24"/>
        <v>0</v>
      </c>
      <c r="S54" s="1"/>
      <c r="T54" s="1">
        <f>SUM(OSRRefT22_4x_0)</f>
        <v>300</v>
      </c>
      <c r="U54" s="1"/>
      <c r="V54" s="5">
        <f t="shared" si="25"/>
        <v>2.2520324592945132E-3</v>
      </c>
      <c r="W54" s="1"/>
      <c r="X54" s="1">
        <f t="shared" si="26"/>
        <v>-300</v>
      </c>
      <c r="Y54" s="1"/>
      <c r="Z54" s="5">
        <f t="shared" si="27"/>
        <v>-1</v>
      </c>
    </row>
    <row r="55" spans="1:26" s="24" customFormat="1" hidden="1" outlineLevel="2" x14ac:dyDescent="0.25">
      <c r="A55" s="29"/>
      <c r="B55" s="11" t="str">
        <f>CONCATENATE("          ", "6382", " - ", "DISCOUNTS/MARK DOWNS")</f>
        <v xml:space="preserve">          6382 - DISCOUNTS/MARK DOWNS</v>
      </c>
      <c r="C55" s="11"/>
      <c r="D55" s="7"/>
      <c r="E55" s="2"/>
      <c r="F55" s="6">
        <f t="shared" si="20"/>
        <v>0</v>
      </c>
      <c r="G55" s="2"/>
      <c r="H55" s="7">
        <v>50</v>
      </c>
      <c r="I55" s="2"/>
      <c r="J55" s="6">
        <f t="shared" si="21"/>
        <v>3.3783783783783786E-3</v>
      </c>
      <c r="K55" s="2"/>
      <c r="L55" s="7">
        <f t="shared" si="22"/>
        <v>-50</v>
      </c>
      <c r="M55" s="2"/>
      <c r="N55" s="6">
        <f t="shared" si="23"/>
        <v>-1</v>
      </c>
      <c r="O55" s="11"/>
      <c r="P55" s="7"/>
      <c r="Q55" s="2"/>
      <c r="R55" s="6">
        <f t="shared" si="24"/>
        <v>0</v>
      </c>
      <c r="S55" s="2"/>
      <c r="T55" s="7">
        <v>300</v>
      </c>
      <c r="U55" s="2"/>
      <c r="V55" s="6">
        <f t="shared" si="25"/>
        <v>2.2520324592945132E-3</v>
      </c>
      <c r="W55" s="2"/>
      <c r="X55" s="7">
        <f t="shared" si="26"/>
        <v>-300</v>
      </c>
      <c r="Y55" s="2"/>
      <c r="Z55" s="6">
        <f t="shared" si="27"/>
        <v>-1</v>
      </c>
    </row>
    <row r="56" spans="1:26" s="28" customFormat="1" outlineLevel="1" collapsed="1" x14ac:dyDescent="0.25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SUM(OSRRefD22_5x_0)</f>
        <v>1205.6400000000001</v>
      </c>
      <c r="E56" s="1"/>
      <c r="F56" s="5">
        <f t="shared" si="20"/>
        <v>0.95928581090220477</v>
      </c>
      <c r="G56" s="1"/>
      <c r="H56" s="1">
        <f>SUM(OSRRefH22_5x_0)</f>
        <v>1206</v>
      </c>
      <c r="I56" s="1"/>
      <c r="J56" s="5">
        <f t="shared" si="21"/>
        <v>8.1486486486486487E-2</v>
      </c>
      <c r="K56" s="1"/>
      <c r="L56" s="1">
        <f t="shared" si="22"/>
        <v>-0.35999999999989996</v>
      </c>
      <c r="M56" s="1"/>
      <c r="N56" s="5">
        <f t="shared" si="23"/>
        <v>-2.9850746268648423E-4</v>
      </c>
      <c r="O56" s="14"/>
      <c r="P56" s="1">
        <f>SUM(OSRRefP22_5x_0)</f>
        <v>7233.84</v>
      </c>
      <c r="Q56" s="1"/>
      <c r="R56" s="5">
        <f t="shared" si="24"/>
        <v>9.6670681114402163E-2</v>
      </c>
      <c r="S56" s="1"/>
      <c r="T56" s="1">
        <f>SUM(OSRRefT22_5x_0)</f>
        <v>7236</v>
      </c>
      <c r="U56" s="1"/>
      <c r="V56" s="5">
        <f t="shared" si="25"/>
        <v>5.4319022918183663E-2</v>
      </c>
      <c r="W56" s="1"/>
      <c r="X56" s="1">
        <f t="shared" si="26"/>
        <v>-2.1599999999998545</v>
      </c>
      <c r="Y56" s="1"/>
      <c r="Z56" s="5">
        <f t="shared" si="27"/>
        <v>-2.9850746268654706E-4</v>
      </c>
    </row>
    <row r="57" spans="1:26" s="24" customFormat="1" hidden="1" outlineLevel="2" x14ac:dyDescent="0.25">
      <c r="A57" s="29"/>
      <c r="B57" s="11" t="str">
        <f>CONCATENATE("          ", "6351", " - ", "EQUIPMENT RENTAL")</f>
        <v xml:space="preserve">          6351 - EQUIPMENT RENTAL</v>
      </c>
      <c r="C57" s="11"/>
      <c r="D57" s="7">
        <v>1205.6400000000001</v>
      </c>
      <c r="E57" s="2"/>
      <c r="F57" s="6">
        <f t="shared" si="20"/>
        <v>0.95928581090220477</v>
      </c>
      <c r="G57" s="2"/>
      <c r="H57" s="7">
        <v>1206</v>
      </c>
      <c r="I57" s="2"/>
      <c r="J57" s="6">
        <f t="shared" si="21"/>
        <v>8.1486486486486487E-2</v>
      </c>
      <c r="K57" s="2"/>
      <c r="L57" s="7">
        <f t="shared" si="22"/>
        <v>-0.35999999999989996</v>
      </c>
      <c r="M57" s="2"/>
      <c r="N57" s="6">
        <f t="shared" si="23"/>
        <v>-2.9850746268648423E-4</v>
      </c>
      <c r="O57" s="11"/>
      <c r="P57" s="7">
        <v>7233.84</v>
      </c>
      <c r="Q57" s="2"/>
      <c r="R57" s="6">
        <f t="shared" si="24"/>
        <v>9.6670681114402163E-2</v>
      </c>
      <c r="S57" s="2"/>
      <c r="T57" s="7">
        <v>7236</v>
      </c>
      <c r="U57" s="2"/>
      <c r="V57" s="6">
        <f t="shared" si="25"/>
        <v>5.4319022918183663E-2</v>
      </c>
      <c r="W57" s="2"/>
      <c r="X57" s="7">
        <f t="shared" si="26"/>
        <v>-2.1599999999998545</v>
      </c>
      <c r="Y57" s="2"/>
      <c r="Z57" s="6">
        <f t="shared" si="27"/>
        <v>-2.9850746268654706E-4</v>
      </c>
    </row>
    <row r="58" spans="1:26" s="28" customFormat="1" outlineLevel="1" collapsed="1" x14ac:dyDescent="0.25">
      <c r="A58" s="27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SUM(OSRRefD22_6x_0)</f>
        <v>107.48999999999978</v>
      </c>
      <c r="E58" s="1"/>
      <c r="F58" s="5">
        <f t="shared" si="20"/>
        <v>8.5526054057494583E-2</v>
      </c>
      <c r="G58" s="1"/>
      <c r="H58" s="1">
        <f>SUM(OSRRefH22_6x_0)</f>
        <v>6500</v>
      </c>
      <c r="I58" s="1"/>
      <c r="J58" s="5">
        <f t="shared" si="21"/>
        <v>0.4391891891891892</v>
      </c>
      <c r="K58" s="1"/>
      <c r="L58" s="1">
        <f t="shared" si="22"/>
        <v>-6392.51</v>
      </c>
      <c r="M58" s="1"/>
      <c r="N58" s="5">
        <f t="shared" si="23"/>
        <v>-0.983463076923077</v>
      </c>
      <c r="O58" s="14"/>
      <c r="P58" s="1">
        <f>SUM(OSRRefP22_6x_0)</f>
        <v>-24733.87999999999</v>
      </c>
      <c r="Q58" s="1"/>
      <c r="R58" s="5">
        <f t="shared" si="24"/>
        <v>-0.33053551449878465</v>
      </c>
      <c r="S58" s="1"/>
      <c r="T58" s="1">
        <f>SUM(OSRRefT22_6x_0)</f>
        <v>39310</v>
      </c>
      <c r="U58" s="1"/>
      <c r="V58" s="5">
        <f t="shared" si="25"/>
        <v>0.29509131991622439</v>
      </c>
      <c r="W58" s="1"/>
      <c r="X58" s="1">
        <f t="shared" si="26"/>
        <v>-64043.87999999999</v>
      </c>
      <c r="Y58" s="1"/>
      <c r="Z58" s="5">
        <f t="shared" si="27"/>
        <v>-1.6292007122869496</v>
      </c>
    </row>
    <row r="59" spans="1:26" s="24" customFormat="1" hidden="1" outlineLevel="2" x14ac:dyDescent="0.25">
      <c r="A59" s="29"/>
      <c r="B59" s="11" t="str">
        <f>CONCATENATE("          ", "6305", " - ", "FREIGHT OUT")</f>
        <v xml:space="preserve">          6305 - FREIGHT OUT</v>
      </c>
      <c r="C59" s="11"/>
      <c r="D59" s="7">
        <v>9824.01</v>
      </c>
      <c r="E59" s="2"/>
      <c r="F59" s="6">
        <f t="shared" si="20"/>
        <v>7.8166230376906602</v>
      </c>
      <c r="G59" s="2"/>
      <c r="H59" s="7">
        <v>3000</v>
      </c>
      <c r="I59" s="2"/>
      <c r="J59" s="6">
        <f t="shared" si="21"/>
        <v>0.20270270270270271</v>
      </c>
      <c r="K59" s="2"/>
      <c r="L59" s="7">
        <f t="shared" si="22"/>
        <v>6824.01</v>
      </c>
      <c r="M59" s="2"/>
      <c r="N59" s="6">
        <f t="shared" si="23"/>
        <v>2.27467</v>
      </c>
      <c r="O59" s="11"/>
      <c r="P59" s="7">
        <v>108062.24</v>
      </c>
      <c r="Q59" s="2"/>
      <c r="R59" s="6">
        <f t="shared" si="24"/>
        <v>1.4441085707657335</v>
      </c>
      <c r="S59" s="2"/>
      <c r="T59" s="7">
        <v>20060</v>
      </c>
      <c r="U59" s="2"/>
      <c r="V59" s="6">
        <f t="shared" si="25"/>
        <v>0.15058590377815978</v>
      </c>
      <c r="W59" s="2"/>
      <c r="X59" s="7">
        <f t="shared" si="26"/>
        <v>88002.240000000005</v>
      </c>
      <c r="Y59" s="2"/>
      <c r="Z59" s="6">
        <f t="shared" si="27"/>
        <v>4.3869511465603193</v>
      </c>
    </row>
    <row r="60" spans="1:26" s="24" customFormat="1" hidden="1" outlineLevel="2" x14ac:dyDescent="0.25">
      <c r="A60" s="29"/>
      <c r="B60" s="11" t="str">
        <f>CONCATENATE("          ", "6307", " - ", "POSTAGE")</f>
        <v xml:space="preserve">          6307 - POSTAGE</v>
      </c>
      <c r="C60" s="11"/>
      <c r="D60" s="7">
        <v>-9716.52</v>
      </c>
      <c r="E60" s="2"/>
      <c r="F60" s="6">
        <f t="shared" si="20"/>
        <v>-7.731096983633166</v>
      </c>
      <c r="G60" s="2"/>
      <c r="H60" s="7">
        <v>3500</v>
      </c>
      <c r="I60" s="2"/>
      <c r="J60" s="6">
        <f t="shared" si="21"/>
        <v>0.23648648648648649</v>
      </c>
      <c r="K60" s="2"/>
      <c r="L60" s="7">
        <f t="shared" si="22"/>
        <v>-13216.52</v>
      </c>
      <c r="M60" s="2"/>
      <c r="N60" s="6">
        <f t="shared" si="23"/>
        <v>-3.7761485714285716</v>
      </c>
      <c r="O60" s="11"/>
      <c r="P60" s="7">
        <v>-132796.12</v>
      </c>
      <c r="Q60" s="2"/>
      <c r="R60" s="6">
        <f t="shared" si="24"/>
        <v>-1.7746440852645182</v>
      </c>
      <c r="S60" s="2"/>
      <c r="T60" s="7">
        <v>19250</v>
      </c>
      <c r="U60" s="2"/>
      <c r="V60" s="6">
        <f t="shared" si="25"/>
        <v>0.14450541613806461</v>
      </c>
      <c r="W60" s="2"/>
      <c r="X60" s="7">
        <f t="shared" si="26"/>
        <v>-152046.12</v>
      </c>
      <c r="Y60" s="2"/>
      <c r="Z60" s="6">
        <f t="shared" si="27"/>
        <v>-7.8984997402597399</v>
      </c>
    </row>
    <row r="61" spans="1:26" s="28" customFormat="1" outlineLevel="1" collapsed="1" x14ac:dyDescent="0.25">
      <c r="A61" s="27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SUM(OSRRefD22_7x_0)</f>
        <v>4858.63</v>
      </c>
      <c r="E61" s="1"/>
      <c r="F61" s="5">
        <f t="shared" ref="F61:F63" si="28">IF(D$12=0,0,D61/D$12)</f>
        <v>3.8658428879464672</v>
      </c>
      <c r="G61" s="1"/>
      <c r="H61" s="1">
        <f>SUM(OSRRefH22_7x_0)</f>
        <v>5000</v>
      </c>
      <c r="I61" s="1"/>
      <c r="J61" s="5">
        <f t="shared" ref="J61:J63" si="29">IF(H$12=0,0,H61/H$12)</f>
        <v>0.33783783783783783</v>
      </c>
      <c r="K61" s="1"/>
      <c r="L61" s="1">
        <f t="shared" ref="L61:L63" si="30">+D61-H61</f>
        <v>-141.36999999999989</v>
      </c>
      <c r="M61" s="1"/>
      <c r="N61" s="5">
        <f t="shared" ref="N61:N63" si="31">IF(H61=0,0,L61/H61)</f>
        <v>-2.827399999999998E-2</v>
      </c>
      <c r="O61" s="14"/>
      <c r="P61" s="1">
        <f>SUM(OSRRefP22_7x_0)</f>
        <v>29379.51</v>
      </c>
      <c r="Q61" s="1"/>
      <c r="R61" s="5">
        <f t="shared" ref="R61:R63" si="32">IF(P$12=0,0,P61/P$12)</f>
        <v>0.39261820036210215</v>
      </c>
      <c r="S61" s="1"/>
      <c r="T61" s="1">
        <f>SUM(OSRRefT22_7x_0)</f>
        <v>26700</v>
      </c>
      <c r="U61" s="1"/>
      <c r="V61" s="5">
        <f t="shared" ref="V61:V63" si="33">IF(T$12=0,0,T61/T$12)</f>
        <v>0.20043088887721169</v>
      </c>
      <c r="W61" s="1"/>
      <c r="X61" s="1">
        <f t="shared" ref="X61:X63" si="34">+P61-T61</f>
        <v>2679.5099999999984</v>
      </c>
      <c r="Y61" s="1"/>
      <c r="Z61" s="5">
        <f t="shared" ref="Z61:Z63" si="35">IF(T61=0,0,X61/T61)</f>
        <v>0.10035617977528084</v>
      </c>
    </row>
    <row r="62" spans="1:26" s="24" customFormat="1" hidden="1" outlineLevel="2" x14ac:dyDescent="0.25">
      <c r="A62" s="29"/>
      <c r="B62" s="11" t="str">
        <f>CONCATENATE("          ", "6371", " - ", "COMPUTER SOFTWARE MAINTENANCE")</f>
        <v xml:space="preserve">          6371 - COMPUTER SOFTWARE MAINTENANCE</v>
      </c>
      <c r="C62" s="11"/>
      <c r="D62" s="7"/>
      <c r="E62" s="2"/>
      <c r="F62" s="6">
        <f t="shared" si="28"/>
        <v>0</v>
      </c>
      <c r="G62" s="2"/>
      <c r="H62" s="7"/>
      <c r="I62" s="2"/>
      <c r="J62" s="6">
        <f t="shared" si="29"/>
        <v>0</v>
      </c>
      <c r="K62" s="2"/>
      <c r="L62" s="7">
        <f t="shared" si="30"/>
        <v>0</v>
      </c>
      <c r="M62" s="2"/>
      <c r="N62" s="6">
        <f t="shared" si="31"/>
        <v>0</v>
      </c>
      <c r="O62" s="11"/>
      <c r="P62" s="7">
        <v>7.69</v>
      </c>
      <c r="Q62" s="2"/>
      <c r="R62" s="6">
        <f t="shared" si="32"/>
        <v>1.0276665474626929E-4</v>
      </c>
      <c r="S62" s="2"/>
      <c r="T62" s="7"/>
      <c r="U62" s="2"/>
      <c r="V62" s="6">
        <f t="shared" si="33"/>
        <v>0</v>
      </c>
      <c r="W62" s="2"/>
      <c r="X62" s="7">
        <f t="shared" si="34"/>
        <v>7.69</v>
      </c>
      <c r="Y62" s="2"/>
      <c r="Z62" s="6">
        <f t="shared" si="35"/>
        <v>0</v>
      </c>
    </row>
    <row r="63" spans="1:26" s="24" customFormat="1" hidden="1" outlineLevel="2" x14ac:dyDescent="0.25">
      <c r="A63" s="29"/>
      <c r="B63" s="11" t="str">
        <f>CONCATENATE("          ", "6373", " - ", "MAINTENANCE CONTRACTS")</f>
        <v xml:space="preserve">          6373 - MAINTENANCE CONTRACTS</v>
      </c>
      <c r="C63" s="11"/>
      <c r="D63" s="7">
        <v>4858.63</v>
      </c>
      <c r="E63" s="2"/>
      <c r="F63" s="6">
        <f t="shared" si="28"/>
        <v>3.8658428879464672</v>
      </c>
      <c r="G63" s="2"/>
      <c r="H63" s="7">
        <v>5000</v>
      </c>
      <c r="I63" s="2"/>
      <c r="J63" s="6">
        <f t="shared" si="29"/>
        <v>0.33783783783783783</v>
      </c>
      <c r="K63" s="2"/>
      <c r="L63" s="7">
        <f t="shared" si="30"/>
        <v>-141.36999999999989</v>
      </c>
      <c r="M63" s="2"/>
      <c r="N63" s="6">
        <f t="shared" si="31"/>
        <v>-2.827399999999998E-2</v>
      </c>
      <c r="O63" s="11"/>
      <c r="P63" s="7">
        <v>29371.82</v>
      </c>
      <c r="Q63" s="2"/>
      <c r="R63" s="6">
        <f t="shared" si="32"/>
        <v>0.39251543370735592</v>
      </c>
      <c r="S63" s="2"/>
      <c r="T63" s="7">
        <v>26700</v>
      </c>
      <c r="U63" s="2"/>
      <c r="V63" s="6">
        <f t="shared" si="33"/>
        <v>0.20043088887721169</v>
      </c>
      <c r="W63" s="2"/>
      <c r="X63" s="7">
        <f t="shared" si="34"/>
        <v>2671.8199999999997</v>
      </c>
      <c r="Y63" s="2"/>
      <c r="Z63" s="6">
        <f t="shared" si="35"/>
        <v>0.10006816479400749</v>
      </c>
    </row>
    <row r="64" spans="1:26" s="28" customFormat="1" outlineLevel="1" collapsed="1" x14ac:dyDescent="0.25">
      <c r="A64" s="27"/>
      <c r="B64" s="14" t="str">
        <f>CONCATENATE("     ","Royalty &amp; Commissions                             ")</f>
        <v xml:space="preserve">     Royalty &amp; Commissions                             </v>
      </c>
      <c r="C64" s="14"/>
      <c r="D64" s="1">
        <f>SUM(OSRRefD22_8x_0)</f>
        <v>5.97</v>
      </c>
      <c r="E64" s="1"/>
      <c r="F64" s="5">
        <f t="shared" ref="F64:F71" si="36">IF(D$12=0,0,D64/D$12)</f>
        <v>4.7501213389454242E-3</v>
      </c>
      <c r="G64" s="1"/>
      <c r="H64" s="1">
        <f>SUM(OSRRefH22_8x_0)</f>
        <v>900</v>
      </c>
      <c r="I64" s="1"/>
      <c r="J64" s="5">
        <f t="shared" ref="J64:J71" si="37">IF(H$12=0,0,H64/H$12)</f>
        <v>6.0810810810810814E-2</v>
      </c>
      <c r="K64" s="1"/>
      <c r="L64" s="1">
        <f t="shared" ref="L64:L71" si="38">+D64-H64</f>
        <v>-894.03</v>
      </c>
      <c r="M64" s="1"/>
      <c r="N64" s="5">
        <f t="shared" ref="N64:N71" si="39">IF(H64=0,0,L64/H64)</f>
        <v>-0.99336666666666662</v>
      </c>
      <c r="O64" s="14"/>
      <c r="P64" s="1">
        <f>SUM(OSRRefP22_8x_0)</f>
        <v>10164.26</v>
      </c>
      <c r="Q64" s="1"/>
      <c r="R64" s="5">
        <f t="shared" ref="R64:R71" si="40">IF(P$12=0,0,P64/P$12)</f>
        <v>0.13583185932006697</v>
      </c>
      <c r="S64" s="1"/>
      <c r="T64" s="1">
        <f>SUM(OSRRefT22_8x_0)</f>
        <v>4350</v>
      </c>
      <c r="U64" s="1"/>
      <c r="V64" s="5">
        <f t="shared" ref="V64:V71" si="41">IF(T$12=0,0,T64/T$12)</f>
        <v>3.2654470659770445E-2</v>
      </c>
      <c r="W64" s="1"/>
      <c r="X64" s="1">
        <f t="shared" ref="X64:X71" si="42">+P64-T64</f>
        <v>5814.26</v>
      </c>
      <c r="Y64" s="1"/>
      <c r="Z64" s="5">
        <f t="shared" ref="Z64:Z71" si="43">IF(T64=0,0,X64/T64)</f>
        <v>1.3366114942528735</v>
      </c>
    </row>
    <row r="65" spans="1:26" s="24" customFormat="1" hidden="1" outlineLevel="2" x14ac:dyDescent="0.25">
      <c r="A65" s="29"/>
      <c r="B65" s="11" t="str">
        <f>CONCATENATE("          ", "6259", " - ", "ROYALTY &amp; COMMISSIONS")</f>
        <v xml:space="preserve">          6259 - ROYALTY &amp; COMMISSIONS</v>
      </c>
      <c r="C65" s="11"/>
      <c r="D65" s="7">
        <v>5.97</v>
      </c>
      <c r="E65" s="2"/>
      <c r="F65" s="6">
        <f t="shared" si="36"/>
        <v>4.7501213389454242E-3</v>
      </c>
      <c r="G65" s="2"/>
      <c r="H65" s="7">
        <v>900</v>
      </c>
      <c r="I65" s="2"/>
      <c r="J65" s="6">
        <f t="shared" si="37"/>
        <v>6.0810810810810814E-2</v>
      </c>
      <c r="K65" s="2"/>
      <c r="L65" s="7">
        <f t="shared" si="38"/>
        <v>-894.03</v>
      </c>
      <c r="M65" s="2"/>
      <c r="N65" s="6">
        <f t="shared" si="39"/>
        <v>-0.99336666666666662</v>
      </c>
      <c r="O65" s="11"/>
      <c r="P65" s="7">
        <v>10164.26</v>
      </c>
      <c r="Q65" s="2"/>
      <c r="R65" s="6">
        <f t="shared" si="40"/>
        <v>0.13583185932006697</v>
      </c>
      <c r="S65" s="2"/>
      <c r="T65" s="7">
        <v>4350</v>
      </c>
      <c r="U65" s="2"/>
      <c r="V65" s="6">
        <f t="shared" si="41"/>
        <v>3.2654470659770445E-2</v>
      </c>
      <c r="W65" s="2"/>
      <c r="X65" s="7">
        <f t="shared" si="42"/>
        <v>5814.26</v>
      </c>
      <c r="Y65" s="2"/>
      <c r="Z65" s="6">
        <f t="shared" si="43"/>
        <v>1.3366114942528735</v>
      </c>
    </row>
    <row r="66" spans="1:26" s="28" customFormat="1" outlineLevel="1" collapsed="1" x14ac:dyDescent="0.25">
      <c r="A66" s="27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SUM(OSRRefD22_9x_0)</f>
        <v>1943.62</v>
      </c>
      <c r="E66" s="1"/>
      <c r="F66" s="5">
        <f t="shared" si="36"/>
        <v>1.5464708269348586</v>
      </c>
      <c r="G66" s="1"/>
      <c r="H66" s="1">
        <f>SUM(OSRRefH22_9x_0)</f>
        <v>3600</v>
      </c>
      <c r="I66" s="1"/>
      <c r="J66" s="5">
        <f t="shared" si="37"/>
        <v>0.24324324324324326</v>
      </c>
      <c r="K66" s="1"/>
      <c r="L66" s="1">
        <f t="shared" si="38"/>
        <v>-1656.38</v>
      </c>
      <c r="M66" s="1"/>
      <c r="N66" s="5">
        <f t="shared" si="39"/>
        <v>-0.4601055555555556</v>
      </c>
      <c r="O66" s="14"/>
      <c r="P66" s="1">
        <f>SUM(OSRRefP22_9x_0)</f>
        <v>25817.229999999996</v>
      </c>
      <c r="Q66" s="1"/>
      <c r="R66" s="5">
        <f t="shared" si="40"/>
        <v>0.34501305096424256</v>
      </c>
      <c r="S66" s="1"/>
      <c r="T66" s="1">
        <f>SUM(OSRRefT22_9x_0)</f>
        <v>10250</v>
      </c>
      <c r="U66" s="1"/>
      <c r="V66" s="5">
        <f t="shared" si="41"/>
        <v>7.6944442359229204E-2</v>
      </c>
      <c r="W66" s="1"/>
      <c r="X66" s="1">
        <f t="shared" si="42"/>
        <v>15567.229999999996</v>
      </c>
      <c r="Y66" s="1"/>
      <c r="Z66" s="5">
        <f t="shared" si="43"/>
        <v>1.5187541463414631</v>
      </c>
    </row>
    <row r="67" spans="1:26" s="24" customFormat="1" hidden="1" outlineLevel="2" x14ac:dyDescent="0.25">
      <c r="A67" s="29"/>
      <c r="B67" s="11" t="str">
        <f>CONCATENATE("          ", "6235", " - ", "COVID-19 EXPENSES")</f>
        <v xml:space="preserve">          6235 - COVID-19 EXPENSES</v>
      </c>
      <c r="C67" s="11"/>
      <c r="D67" s="7"/>
      <c r="E67" s="2"/>
      <c r="F67" s="6">
        <f t="shared" si="36"/>
        <v>0</v>
      </c>
      <c r="G67" s="2"/>
      <c r="H67" s="7"/>
      <c r="I67" s="2"/>
      <c r="J67" s="6">
        <f t="shared" si="37"/>
        <v>0</v>
      </c>
      <c r="K67" s="2"/>
      <c r="L67" s="7">
        <f t="shared" si="38"/>
        <v>0</v>
      </c>
      <c r="M67" s="2"/>
      <c r="N67" s="6">
        <f t="shared" si="39"/>
        <v>0</v>
      </c>
      <c r="O67" s="11"/>
      <c r="P67" s="7">
        <v>310.91000000000003</v>
      </c>
      <c r="Q67" s="2"/>
      <c r="R67" s="6">
        <f t="shared" si="40"/>
        <v>4.1548999515165913E-3</v>
      </c>
      <c r="S67" s="2"/>
      <c r="T67" s="7"/>
      <c r="U67" s="2"/>
      <c r="V67" s="6">
        <f t="shared" si="41"/>
        <v>0</v>
      </c>
      <c r="W67" s="2"/>
      <c r="X67" s="7">
        <f t="shared" si="42"/>
        <v>310.91000000000003</v>
      </c>
      <c r="Y67" s="2"/>
      <c r="Z67" s="6">
        <f t="shared" si="43"/>
        <v>0</v>
      </c>
    </row>
    <row r="68" spans="1:26" s="24" customFormat="1" hidden="1" outlineLevel="2" x14ac:dyDescent="0.25">
      <c r="A68" s="29"/>
      <c r="B68" s="11" t="str">
        <f>CONCATENATE("          ", "6241", " - ", "OFFICE EXPENSE")</f>
        <v xml:space="preserve">          6241 - OFFICE EXPENSE</v>
      </c>
      <c r="C68" s="11"/>
      <c r="D68" s="7"/>
      <c r="E68" s="2"/>
      <c r="F68" s="6">
        <f t="shared" si="36"/>
        <v>0</v>
      </c>
      <c r="G68" s="2"/>
      <c r="H68" s="7"/>
      <c r="I68" s="2"/>
      <c r="J68" s="6">
        <f t="shared" si="37"/>
        <v>0</v>
      </c>
      <c r="K68" s="2"/>
      <c r="L68" s="7">
        <f t="shared" si="38"/>
        <v>0</v>
      </c>
      <c r="M68" s="2"/>
      <c r="N68" s="6">
        <f t="shared" si="39"/>
        <v>0</v>
      </c>
      <c r="O68" s="11"/>
      <c r="P68" s="7">
        <v>4596.8599999999997</v>
      </c>
      <c r="Q68" s="2"/>
      <c r="R68" s="6">
        <f t="shared" si="40"/>
        <v>6.143093947164309E-2</v>
      </c>
      <c r="S68" s="2"/>
      <c r="T68" s="7"/>
      <c r="U68" s="2"/>
      <c r="V68" s="6">
        <f t="shared" si="41"/>
        <v>0</v>
      </c>
      <c r="W68" s="2"/>
      <c r="X68" s="7">
        <f t="shared" si="42"/>
        <v>4596.8599999999997</v>
      </c>
      <c r="Y68" s="2"/>
      <c r="Z68" s="6">
        <f t="shared" si="43"/>
        <v>0</v>
      </c>
    </row>
    <row r="69" spans="1:26" s="24" customFormat="1" hidden="1" outlineLevel="2" x14ac:dyDescent="0.25">
      <c r="A69" s="29"/>
      <c r="B69" s="11" t="str">
        <f>CONCATENATE("          ", "6243", " - ", "PAPER SUPPLIES")</f>
        <v xml:space="preserve">          6243 - PAPER SUPPLIES</v>
      </c>
      <c r="C69" s="11"/>
      <c r="D69" s="7">
        <v>411.1</v>
      </c>
      <c r="E69" s="2"/>
      <c r="F69" s="6">
        <f t="shared" si="36"/>
        <v>0.32709797025803422</v>
      </c>
      <c r="G69" s="2"/>
      <c r="H69" s="7">
        <v>3300</v>
      </c>
      <c r="I69" s="2"/>
      <c r="J69" s="6">
        <f t="shared" si="37"/>
        <v>0.22297297297297297</v>
      </c>
      <c r="K69" s="2"/>
      <c r="L69" s="7">
        <f t="shared" si="38"/>
        <v>-2888.9</v>
      </c>
      <c r="M69" s="2"/>
      <c r="N69" s="6">
        <f t="shared" si="39"/>
        <v>-0.87542424242424244</v>
      </c>
      <c r="O69" s="11"/>
      <c r="P69" s="7">
        <v>5093.3999999999996</v>
      </c>
      <c r="Q69" s="2"/>
      <c r="R69" s="6">
        <f t="shared" si="40"/>
        <v>6.8066538268484772E-2</v>
      </c>
      <c r="S69" s="2"/>
      <c r="T69" s="7">
        <v>8400</v>
      </c>
      <c r="U69" s="2"/>
      <c r="V69" s="6">
        <f t="shared" si="41"/>
        <v>6.3056908860246369E-2</v>
      </c>
      <c r="W69" s="2"/>
      <c r="X69" s="7">
        <f t="shared" si="42"/>
        <v>-3306.6000000000004</v>
      </c>
      <c r="Y69" s="2"/>
      <c r="Z69" s="6">
        <f t="shared" si="43"/>
        <v>-0.39364285714285718</v>
      </c>
    </row>
    <row r="70" spans="1:26" s="24" customFormat="1" hidden="1" outlineLevel="2" x14ac:dyDescent="0.25">
      <c r="A70" s="29"/>
      <c r="B70" s="11" t="str">
        <f>CONCATENATE("          ", "6245", " - ", "PRINTING")</f>
        <v xml:space="preserve">          6245 - PRINTING</v>
      </c>
      <c r="C70" s="11"/>
      <c r="D70" s="7"/>
      <c r="E70" s="2"/>
      <c r="F70" s="6">
        <f t="shared" si="36"/>
        <v>0</v>
      </c>
      <c r="G70" s="2"/>
      <c r="H70" s="7">
        <v>200</v>
      </c>
      <c r="I70" s="2"/>
      <c r="J70" s="6">
        <f t="shared" si="37"/>
        <v>1.3513513513513514E-2</v>
      </c>
      <c r="K70" s="2"/>
      <c r="L70" s="7">
        <f t="shared" si="38"/>
        <v>-200</v>
      </c>
      <c r="M70" s="2"/>
      <c r="N70" s="6">
        <f t="shared" si="39"/>
        <v>-1</v>
      </c>
      <c r="O70" s="11"/>
      <c r="P70" s="7">
        <v>439.61</v>
      </c>
      <c r="Q70" s="2"/>
      <c r="R70" s="6">
        <f t="shared" si="40"/>
        <v>5.8748048235380285E-3</v>
      </c>
      <c r="S70" s="2"/>
      <c r="T70" s="7">
        <v>1300</v>
      </c>
      <c r="U70" s="2"/>
      <c r="V70" s="6">
        <f t="shared" si="41"/>
        <v>9.7588073236095571E-3</v>
      </c>
      <c r="W70" s="2"/>
      <c r="X70" s="7">
        <f t="shared" si="42"/>
        <v>-860.39</v>
      </c>
      <c r="Y70" s="2"/>
      <c r="Z70" s="6">
        <f t="shared" si="43"/>
        <v>-0.66183846153846149</v>
      </c>
    </row>
    <row r="71" spans="1:26" s="24" customFormat="1" hidden="1" outlineLevel="2" x14ac:dyDescent="0.25">
      <c r="A71" s="29"/>
      <c r="B71" s="11" t="str">
        <f>CONCATENATE("          ", "6247", " - ", "STORE SUPPLIES")</f>
        <v xml:space="preserve">          6247 - STORE SUPPLIES</v>
      </c>
      <c r="C71" s="11"/>
      <c r="D71" s="7">
        <v>1532.52</v>
      </c>
      <c r="E71" s="2"/>
      <c r="F71" s="6">
        <f t="shared" si="36"/>
        <v>1.2193728566768245</v>
      </c>
      <c r="G71" s="2"/>
      <c r="H71" s="7">
        <v>100</v>
      </c>
      <c r="I71" s="2"/>
      <c r="J71" s="6">
        <f t="shared" si="37"/>
        <v>6.7567567567567571E-3</v>
      </c>
      <c r="K71" s="2"/>
      <c r="L71" s="7">
        <f t="shared" si="38"/>
        <v>1432.52</v>
      </c>
      <c r="M71" s="2"/>
      <c r="N71" s="6">
        <f t="shared" si="39"/>
        <v>14.325200000000001</v>
      </c>
      <c r="O71" s="11"/>
      <c r="P71" s="7">
        <v>15376.449999999999</v>
      </c>
      <c r="Q71" s="2"/>
      <c r="R71" s="6">
        <f t="shared" si="40"/>
        <v>0.20548586844906011</v>
      </c>
      <c r="S71" s="2"/>
      <c r="T71" s="7">
        <v>550</v>
      </c>
      <c r="U71" s="2"/>
      <c r="V71" s="6">
        <f t="shared" si="41"/>
        <v>4.1287261753732742E-3</v>
      </c>
      <c r="W71" s="2"/>
      <c r="X71" s="7">
        <f t="shared" si="42"/>
        <v>14826.449999999999</v>
      </c>
      <c r="Y71" s="2"/>
      <c r="Z71" s="6">
        <f t="shared" si="43"/>
        <v>26.957181818181816</v>
      </c>
    </row>
    <row r="72" spans="1:26" s="28" customFormat="1" outlineLevel="1" collapsed="1" x14ac:dyDescent="0.25">
      <c r="A72" s="27"/>
      <c r="B72" s="14" t="str">
        <f>CONCATENATE("     ","Telephone/Data Lines                              ")</f>
        <v xml:space="preserve">     Telephone/Data Lines                              </v>
      </c>
      <c r="C72" s="14"/>
      <c r="D72" s="1">
        <f>SUM(OSRRefD22_10x_0)</f>
        <v>183.3</v>
      </c>
      <c r="E72" s="1"/>
      <c r="F72" s="5">
        <f t="shared" ref="F72:F75" si="44">IF(D$12=0,0,D72/D$12)</f>
        <v>0.14584543407515851</v>
      </c>
      <c r="G72" s="1"/>
      <c r="H72" s="1">
        <f>SUM(OSRRefH22_10x_0)</f>
        <v>165</v>
      </c>
      <c r="I72" s="1"/>
      <c r="J72" s="5">
        <f t="shared" ref="J72:J75" si="45">IF(H$12=0,0,H72/H$12)</f>
        <v>1.1148648648648649E-2</v>
      </c>
      <c r="K72" s="1"/>
      <c r="L72" s="1">
        <f t="shared" ref="L72:L75" si="46">+D72-H72</f>
        <v>18.300000000000011</v>
      </c>
      <c r="M72" s="1"/>
      <c r="N72" s="5">
        <f t="shared" ref="N72:N75" si="47">IF(H72=0,0,L72/H72)</f>
        <v>0.11090909090909098</v>
      </c>
      <c r="O72" s="14"/>
      <c r="P72" s="1">
        <f>SUM(OSRRefP22_10x_0)</f>
        <v>1257</v>
      </c>
      <c r="Q72" s="1"/>
      <c r="R72" s="5">
        <f t="shared" ref="R72:R75" si="48">IF(P$12=0,0,P72/P$12)</f>
        <v>1.6798138493635956E-2</v>
      </c>
      <c r="S72" s="1"/>
      <c r="T72" s="1">
        <f>SUM(OSRRefT22_10x_0)</f>
        <v>990</v>
      </c>
      <c r="U72" s="1"/>
      <c r="V72" s="5">
        <f t="shared" ref="V72:V75" si="49">IF(T$12=0,0,T72/T$12)</f>
        <v>7.431707115671894E-3</v>
      </c>
      <c r="W72" s="1"/>
      <c r="X72" s="1">
        <f t="shared" ref="X72:X75" si="50">+P72-T72</f>
        <v>267</v>
      </c>
      <c r="Y72" s="1"/>
      <c r="Z72" s="5">
        <f t="shared" ref="Z72:Z75" si="51">IF(T72=0,0,X72/T72)</f>
        <v>0.26969696969696971</v>
      </c>
    </row>
    <row r="73" spans="1:26" s="24" customFormat="1" hidden="1" outlineLevel="2" x14ac:dyDescent="0.25">
      <c r="A73" s="29"/>
      <c r="B73" s="11" t="str">
        <f>CONCATENATE("          ", "6309", " - ", "TELEPHONE")</f>
        <v xml:space="preserve">          6309 - TELEPHONE</v>
      </c>
      <c r="C73" s="11"/>
      <c r="D73" s="7">
        <v>183.3</v>
      </c>
      <c r="E73" s="2"/>
      <c r="F73" s="6">
        <f t="shared" si="44"/>
        <v>0.14584543407515851</v>
      </c>
      <c r="G73" s="2"/>
      <c r="H73" s="7">
        <v>165</v>
      </c>
      <c r="I73" s="2"/>
      <c r="J73" s="6">
        <f t="shared" si="45"/>
        <v>1.1148648648648649E-2</v>
      </c>
      <c r="K73" s="2"/>
      <c r="L73" s="7">
        <f t="shared" si="46"/>
        <v>18.300000000000011</v>
      </c>
      <c r="M73" s="2"/>
      <c r="N73" s="6">
        <f t="shared" si="47"/>
        <v>0.11090909090909098</v>
      </c>
      <c r="O73" s="11"/>
      <c r="P73" s="7">
        <v>1257</v>
      </c>
      <c r="Q73" s="2"/>
      <c r="R73" s="6">
        <f t="shared" si="48"/>
        <v>1.6798138493635956E-2</v>
      </c>
      <c r="S73" s="2"/>
      <c r="T73" s="7">
        <v>990</v>
      </c>
      <c r="U73" s="2"/>
      <c r="V73" s="6">
        <f t="shared" si="49"/>
        <v>7.431707115671894E-3</v>
      </c>
      <c r="W73" s="2"/>
      <c r="X73" s="7">
        <f t="shared" si="50"/>
        <v>267</v>
      </c>
      <c r="Y73" s="2"/>
      <c r="Z73" s="6">
        <f t="shared" si="51"/>
        <v>0.26969696969696971</v>
      </c>
    </row>
    <row r="74" spans="1:26" s="28" customFormat="1" outlineLevel="1" collapsed="1" x14ac:dyDescent="0.25">
      <c r="A74" s="27"/>
      <c r="B74" s="14" t="str">
        <f>CONCATENATE("     ","Utilities                                         ")</f>
        <v xml:space="preserve">     Utilities                                         </v>
      </c>
      <c r="C74" s="14"/>
      <c r="D74" s="1">
        <f>SUM(OSRRefD22_11x_0)</f>
        <v>0</v>
      </c>
      <c r="E74" s="1"/>
      <c r="F74" s="5">
        <f t="shared" si="44"/>
        <v>0</v>
      </c>
      <c r="G74" s="1"/>
      <c r="H74" s="1">
        <f>SUM(OSRRefH22_11x_0)</f>
        <v>0</v>
      </c>
      <c r="I74" s="1"/>
      <c r="J74" s="5">
        <f t="shared" si="45"/>
        <v>0</v>
      </c>
      <c r="K74" s="1"/>
      <c r="L74" s="1">
        <f t="shared" si="46"/>
        <v>0</v>
      </c>
      <c r="M74" s="1"/>
      <c r="N74" s="5">
        <f t="shared" si="47"/>
        <v>0</v>
      </c>
      <c r="O74" s="14"/>
      <c r="P74" s="1">
        <f>SUM(OSRRefP22_11x_0)</f>
        <v>15.02</v>
      </c>
      <c r="Q74" s="1"/>
      <c r="R74" s="5">
        <f t="shared" si="48"/>
        <v>2.0072238677359746E-4</v>
      </c>
      <c r="S74" s="1"/>
      <c r="T74" s="1">
        <f>SUM(OSRRefT22_11x_0)</f>
        <v>0</v>
      </c>
      <c r="U74" s="1"/>
      <c r="V74" s="5">
        <f t="shared" si="49"/>
        <v>0</v>
      </c>
      <c r="W74" s="1"/>
      <c r="X74" s="1">
        <f t="shared" si="50"/>
        <v>15.02</v>
      </c>
      <c r="Y74" s="1"/>
      <c r="Z74" s="5">
        <f t="shared" si="51"/>
        <v>0</v>
      </c>
    </row>
    <row r="75" spans="1:26" s="24" customFormat="1" hidden="1" outlineLevel="2" x14ac:dyDescent="0.25">
      <c r="A75" s="29"/>
      <c r="B75" s="11" t="str">
        <f>CONCATENATE("          ", "6274", " - ", "UTILITIES")</f>
        <v xml:space="preserve">          6274 - UTILITIES</v>
      </c>
      <c r="C75" s="11"/>
      <c r="D75" s="7"/>
      <c r="E75" s="2"/>
      <c r="F75" s="6">
        <f t="shared" si="44"/>
        <v>0</v>
      </c>
      <c r="G75" s="2"/>
      <c r="H75" s="7"/>
      <c r="I75" s="2"/>
      <c r="J75" s="6">
        <f t="shared" si="45"/>
        <v>0</v>
      </c>
      <c r="K75" s="2"/>
      <c r="L75" s="7">
        <f t="shared" si="46"/>
        <v>0</v>
      </c>
      <c r="M75" s="2"/>
      <c r="N75" s="6">
        <f t="shared" si="47"/>
        <v>0</v>
      </c>
      <c r="O75" s="11"/>
      <c r="P75" s="7">
        <v>15.02</v>
      </c>
      <c r="Q75" s="2"/>
      <c r="R75" s="6">
        <f t="shared" si="48"/>
        <v>2.0072238677359746E-4</v>
      </c>
      <c r="S75" s="2"/>
      <c r="T75" s="7"/>
      <c r="U75" s="2"/>
      <c r="V75" s="6">
        <f t="shared" si="49"/>
        <v>0</v>
      </c>
      <c r="W75" s="2"/>
      <c r="X75" s="7">
        <f t="shared" si="50"/>
        <v>15.02</v>
      </c>
      <c r="Y75" s="2"/>
      <c r="Z75" s="6">
        <f t="shared" si="51"/>
        <v>0</v>
      </c>
    </row>
    <row r="76" spans="1:26" s="53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collapsed="1" x14ac:dyDescent="0.25">
      <c r="A77" s="10"/>
      <c r="B77" s="26" t="s">
        <v>0</v>
      </c>
      <c r="C77" s="10"/>
      <c r="D77" s="4">
        <f>SUM(OSRRefD25x_0)</f>
        <v>6782</v>
      </c>
      <c r="E77" s="4"/>
      <c r="F77" s="12">
        <f t="shared" ref="F77:F78" si="52">IF(D$12=0,0,D77/D$12)</f>
        <v>5.3962014942592749</v>
      </c>
      <c r="G77" s="4"/>
      <c r="H77" s="4">
        <f>SUM(OSRRefH25x_0)</f>
        <v>6875</v>
      </c>
      <c r="I77" s="4"/>
      <c r="J77" s="12">
        <f t="shared" ref="J77:J78" si="53">IF(H$12=0,0,H77/H$12)</f>
        <v>0.46452702702702703</v>
      </c>
      <c r="K77" s="4"/>
      <c r="L77" s="4">
        <f t="shared" ref="L77:L78" si="54">+D77-H77</f>
        <v>-93</v>
      </c>
      <c r="M77" s="4"/>
      <c r="N77" s="12">
        <f t="shared" ref="N77:N78" si="55">IF(H77=0,0,L77/H77)</f>
        <v>-1.3527272727272728E-2</v>
      </c>
      <c r="O77" s="10"/>
      <c r="P77" s="4">
        <f>SUM(OSRRefP25x_0)</f>
        <v>40692</v>
      </c>
      <c r="Q77" s="4"/>
      <c r="R77" s="12">
        <f t="shared" ref="R77:R78" si="56">IF(P$12=0,0,P77/P$12)</f>
        <v>0.54379463133097394</v>
      </c>
      <c r="S77" s="4"/>
      <c r="T77" s="4">
        <f>SUM(OSRRefT25x_0)</f>
        <v>41250</v>
      </c>
      <c r="U77" s="4"/>
      <c r="V77" s="12">
        <f t="shared" ref="V77:V78" si="57">IF(T$12=0,0,T77/T$12)</f>
        <v>0.30965446315299555</v>
      </c>
      <c r="W77" s="4"/>
      <c r="X77" s="4">
        <f t="shared" ref="X77:X78" si="58">+P77-T77</f>
        <v>-558</v>
      </c>
      <c r="Y77" s="4"/>
      <c r="Z77" s="12">
        <f t="shared" ref="Z77:Z78" si="59">IF(T77=0,0,X77/T77)</f>
        <v>-1.3527272727272728E-2</v>
      </c>
    </row>
    <row r="78" spans="1:26" s="24" customFormat="1" hidden="1" outlineLevel="1" x14ac:dyDescent="0.25">
      <c r="A78" s="51"/>
      <c r="B78" s="11" t="str">
        <f>CONCATENATE("          ", "9150", " - ", "MISC. INCOME")</f>
        <v xml:space="preserve">          9150 - MISC. INCOME</v>
      </c>
      <c r="C78" s="11"/>
      <c r="D78" s="2">
        <f>--6782</f>
        <v>6782</v>
      </c>
      <c r="E78" s="2"/>
      <c r="F78" s="22">
        <f t="shared" si="52"/>
        <v>5.3962014942592749</v>
      </c>
      <c r="G78" s="2"/>
      <c r="H78" s="2">
        <v>6875</v>
      </c>
      <c r="I78" s="2"/>
      <c r="J78" s="22">
        <f t="shared" si="53"/>
        <v>0.46452702702702703</v>
      </c>
      <c r="K78" s="2"/>
      <c r="L78" s="2">
        <f t="shared" si="54"/>
        <v>-93</v>
      </c>
      <c r="M78" s="2"/>
      <c r="N78" s="22">
        <f t="shared" si="55"/>
        <v>-1.3527272727272728E-2</v>
      </c>
      <c r="O78" s="11"/>
      <c r="P78" s="2">
        <f>--40692</f>
        <v>40692</v>
      </c>
      <c r="Q78" s="2"/>
      <c r="R78" s="22">
        <f t="shared" si="56"/>
        <v>0.54379463133097394</v>
      </c>
      <c r="S78" s="2"/>
      <c r="T78" s="2">
        <v>41250</v>
      </c>
      <c r="U78" s="2"/>
      <c r="V78" s="22">
        <f t="shared" si="57"/>
        <v>0.30965446315299555</v>
      </c>
      <c r="W78" s="2"/>
      <c r="X78" s="2">
        <f t="shared" si="58"/>
        <v>-558</v>
      </c>
      <c r="Y78" s="2"/>
      <c r="Z78" s="22">
        <f t="shared" si="59"/>
        <v>-1.3527272727272728E-2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5" t="s">
        <v>3</v>
      </c>
      <c r="C80" s="25"/>
      <c r="D80" s="21">
        <f>+D26-D28+D77</f>
        <v>-23899.91</v>
      </c>
      <c r="E80" s="13"/>
      <c r="F80" s="19">
        <f>IF(D$12=0,0,D80/D$12)</f>
        <v>-19.016327050230341</v>
      </c>
      <c r="G80" s="13"/>
      <c r="H80" s="21">
        <f>+H26-H28+H77</f>
        <v>-12564.053016992344</v>
      </c>
      <c r="I80" s="13"/>
      <c r="J80" s="19">
        <f>IF(H$12=0,0,H80/H$12)</f>
        <v>-0.84892250114813139</v>
      </c>
      <c r="K80" s="16"/>
      <c r="L80" s="21">
        <f>+D80-H80</f>
        <v>-11335.856983007656</v>
      </c>
      <c r="M80" s="16"/>
      <c r="N80" s="19">
        <f>IF(H80=0,0,L80/H80)</f>
        <v>0.9022452362845329</v>
      </c>
      <c r="O80" s="26"/>
      <c r="P80" s="21">
        <f>+P26-P28+P77</f>
        <v>-76602.740000000005</v>
      </c>
      <c r="Q80" s="13"/>
      <c r="R80" s="19">
        <f>IF(P$12=0,0,P80/P$12)</f>
        <v>-1.0236940616642696</v>
      </c>
      <c r="S80" s="13"/>
      <c r="T80" s="21">
        <f>+T26-T28+T77</f>
        <v>-22592.300740450184</v>
      </c>
      <c r="U80" s="13"/>
      <c r="V80" s="19">
        <f>IF(T$12=0,0,T80/T$12)</f>
        <v>-0.1695953153254576</v>
      </c>
      <c r="W80" s="16"/>
      <c r="X80" s="21">
        <f>+P80-T80</f>
        <v>-54010.439259549821</v>
      </c>
      <c r="Y80" s="16"/>
      <c r="Z80" s="19">
        <f>IF(T80=0,0,X80/T80)</f>
        <v>2.3906568826275985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14</v>
      </c>
      <c r="C82" s="10"/>
      <c r="D82" s="4">
        <v>2154.34</v>
      </c>
      <c r="E82" s="4"/>
      <c r="F82" s="12">
        <f>IF(D$12=0,0,D82/D$12)</f>
        <v>1.7141334012300984</v>
      </c>
      <c r="G82" s="4"/>
      <c r="H82" s="4">
        <v>4150</v>
      </c>
      <c r="I82" s="4"/>
      <c r="J82" s="12">
        <f>IF(H$12=0,0,H82/H$12)</f>
        <v>0.28040540540540543</v>
      </c>
      <c r="K82" s="4"/>
      <c r="L82" s="4">
        <f>+D82-H82</f>
        <v>-1995.6599999999999</v>
      </c>
      <c r="M82" s="4"/>
      <c r="N82" s="12">
        <f>IF(H82=0,0,L82/H82)</f>
        <v>-0.48088192771084332</v>
      </c>
      <c r="O82" s="10"/>
      <c r="P82" s="4">
        <v>13845.08</v>
      </c>
      <c r="Q82" s="4"/>
      <c r="R82" s="12">
        <f>IF(P$12=0,0,P82/P$12)</f>
        <v>0.1850211386598801</v>
      </c>
      <c r="S82" s="4"/>
      <c r="T82" s="4">
        <v>25268</v>
      </c>
      <c r="U82" s="4"/>
      <c r="V82" s="12">
        <f>IF(T$12=0,0,T82/T$12)</f>
        <v>0.18968118727151254</v>
      </c>
      <c r="W82" s="4"/>
      <c r="X82" s="4">
        <f>+P82-T82</f>
        <v>-11422.92</v>
      </c>
      <c r="Y82" s="4"/>
      <c r="Z82" s="12">
        <f>IF(T82=0,0,X82/T82)</f>
        <v>-0.45207060313439923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5" t="s">
        <v>4</v>
      </c>
      <c r="C84" s="25"/>
      <c r="D84" s="34">
        <f>+D80-D82</f>
        <v>-26054.25</v>
      </c>
      <c r="E84" s="13"/>
      <c r="F84" s="31">
        <f>IF(D$12=0,0,D84/D$12)</f>
        <v>-20.730460451460441</v>
      </c>
      <c r="G84" s="13"/>
      <c r="H84" s="34">
        <f>+H80-H82</f>
        <v>-16714.053016992344</v>
      </c>
      <c r="I84" s="13"/>
      <c r="J84" s="31">
        <f>IF(H$12=0,0,H84/H$12)</f>
        <v>-1.1293279065535367</v>
      </c>
      <c r="K84" s="16"/>
      <c r="L84" s="34">
        <f>D84-H84</f>
        <v>-9340.1969830076559</v>
      </c>
      <c r="M84" s="16"/>
      <c r="N84" s="31">
        <f>IF(H84=0,0,L84/H84)</f>
        <v>0.55882298407884334</v>
      </c>
      <c r="O84" s="26"/>
      <c r="P84" s="34">
        <f>+P80-P82</f>
        <v>-90447.82</v>
      </c>
      <c r="Q84" s="13"/>
      <c r="R84" s="31">
        <f>IF(P$12=0,0,P84/P$12)</f>
        <v>-1.2087152003241497</v>
      </c>
      <c r="S84" s="13"/>
      <c r="T84" s="34">
        <f>+T80-T82</f>
        <v>-47860.300740450184</v>
      </c>
      <c r="U84" s="13"/>
      <c r="V84" s="31">
        <f>IF(T$12=0,0,T84/T$12)</f>
        <v>-0.35927650259697014</v>
      </c>
      <c r="W84" s="16"/>
      <c r="X84" s="34">
        <f>P84-T84</f>
        <v>-42587.519259549823</v>
      </c>
      <c r="Y84" s="16"/>
      <c r="Z84" s="31">
        <f>IF(T84=0,0,X84/T84)</f>
        <v>0.88982974617115274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5" t="s">
        <v>5</v>
      </c>
      <c r="C87" s="25"/>
      <c r="D87" s="33">
        <f>SUM(D84:D86)</f>
        <v>-26054.25</v>
      </c>
      <c r="E87" s="13"/>
      <c r="F87" s="32">
        <f>IF(D$12=0,0,D87/D$12)</f>
        <v>-20.730460451460441</v>
      </c>
      <c r="G87" s="13"/>
      <c r="H87" s="33">
        <f>SUM(H84:H86)</f>
        <v>-16714.053016992344</v>
      </c>
      <c r="I87" s="13"/>
      <c r="J87" s="32">
        <f>IF(H$12=0,0,H87/H$12)</f>
        <v>-1.1293279065535367</v>
      </c>
      <c r="K87" s="16"/>
      <c r="L87" s="33">
        <f>+D87-H87</f>
        <v>-9340.1969830076559</v>
      </c>
      <c r="M87" s="16"/>
      <c r="N87" s="32">
        <f>IF(H87=0,0,L87/H87)</f>
        <v>0.55882298407884334</v>
      </c>
      <c r="O87" s="26"/>
      <c r="P87" s="33">
        <f>SUM(P84:P86)</f>
        <v>-90447.82</v>
      </c>
      <c r="Q87" s="13"/>
      <c r="R87" s="32">
        <f>IF(P$12=0,0,P87/P$12)</f>
        <v>-1.2087152003241497</v>
      </c>
      <c r="S87" s="13"/>
      <c r="T87" s="33">
        <f>SUM(T84:T86)</f>
        <v>-47860.300740450184</v>
      </c>
      <c r="U87" s="13"/>
      <c r="V87" s="32">
        <f>IF(T$12=0,0,T87/T$12)</f>
        <v>-0.35927650259697014</v>
      </c>
      <c r="W87" s="16"/>
      <c r="X87" s="33">
        <f>+P87-T87</f>
        <v>-42587.519259549823</v>
      </c>
      <c r="Y87" s="16"/>
      <c r="Z87" s="32">
        <f>IF(T87=0,0,X87/T87)</f>
        <v>0.88982974617115274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63">
        <v>44209.518532442133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60" t="s">
        <v>314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8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311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79441.619999999981</v>
      </c>
      <c r="E12" s="4"/>
      <c r="F12" s="12"/>
      <c r="G12" s="4"/>
      <c r="H12" s="4">
        <f>SUM(OSRRefH13x_0)</f>
        <v>76047</v>
      </c>
      <c r="I12" s="4"/>
      <c r="J12" s="12"/>
      <c r="K12" s="4"/>
      <c r="L12" s="4">
        <f t="shared" ref="L12:L30" si="0">+D12-H12</f>
        <v>3394.6199999999808</v>
      </c>
      <c r="M12" s="4"/>
      <c r="N12" s="12">
        <f t="shared" ref="N12:N30" si="1">IF(H12=0,0,L12/H12)</f>
        <v>4.4638447276026415E-2</v>
      </c>
      <c r="O12" s="10"/>
      <c r="P12" s="4">
        <f>SUM(OSRRefP13x_0)</f>
        <v>1275344.5200000003</v>
      </c>
      <c r="Q12" s="4"/>
      <c r="R12" s="12"/>
      <c r="S12" s="4"/>
      <c r="T12" s="4">
        <f>SUM(OSRRefT13x_0)</f>
        <v>1425044</v>
      </c>
      <c r="U12" s="4"/>
      <c r="V12" s="12"/>
      <c r="W12" s="4"/>
      <c r="X12" s="4">
        <f t="shared" ref="X12:X30" si="2">+P12-T12</f>
        <v>-149699.47999999975</v>
      </c>
      <c r="Y12" s="4"/>
      <c r="Z12" s="12">
        <f t="shared" ref="Z12:Z30" si="3">IF(T12=0,0,X12/T12)</f>
        <v>-0.10504902304770923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-264.66</f>
        <v>-264.66000000000003</v>
      </c>
      <c r="E13" s="2"/>
      <c r="F13" s="22"/>
      <c r="G13" s="2"/>
      <c r="H13" s="2">
        <v>67730</v>
      </c>
      <c r="I13" s="2"/>
      <c r="J13" s="22"/>
      <c r="K13" s="2"/>
      <c r="L13" s="2">
        <f t="shared" si="0"/>
        <v>-67994.66</v>
      </c>
      <c r="M13" s="2"/>
      <c r="N13" s="22">
        <f t="shared" si="1"/>
        <v>-1.0039075741916434</v>
      </c>
      <c r="O13" s="11"/>
      <c r="P13" s="2">
        <f>-2308.77</f>
        <v>-2308.77</v>
      </c>
      <c r="Q13" s="2"/>
      <c r="R13" s="22"/>
      <c r="S13" s="2"/>
      <c r="T13" s="2">
        <v>1345441</v>
      </c>
      <c r="U13" s="2"/>
      <c r="V13" s="22"/>
      <c r="W13" s="2"/>
      <c r="X13" s="2">
        <f t="shared" si="2"/>
        <v>-1347749.77</v>
      </c>
      <c r="Y13" s="2"/>
      <c r="Z13" s="22">
        <f t="shared" si="3"/>
        <v>-1.0017159949785981</v>
      </c>
    </row>
    <row r="14" spans="1:26" s="24" customFormat="1" hidden="1" outlineLevel="1" x14ac:dyDescent="0.25">
      <c r="A14" s="51"/>
      <c r="B14" s="11" t="str">
        <f>CONCATENATE("          ", "4081", " - ", "TAXABLE SALES-ELECTRONICS")</f>
        <v xml:space="preserve">          4081 - TAXABLE SALES-ELECTRONICS</v>
      </c>
      <c r="C14" s="11"/>
      <c r="D14" s="2">
        <f>--860.25</f>
        <v>860.25</v>
      </c>
      <c r="E14" s="2"/>
      <c r="F14" s="22"/>
      <c r="G14" s="2"/>
      <c r="H14" s="2"/>
      <c r="I14" s="2"/>
      <c r="J14" s="22"/>
      <c r="K14" s="2"/>
      <c r="L14" s="2">
        <f t="shared" si="0"/>
        <v>860.25</v>
      </c>
      <c r="M14" s="2"/>
      <c r="N14" s="22">
        <f t="shared" si="1"/>
        <v>0</v>
      </c>
      <c r="O14" s="11"/>
      <c r="P14" s="2">
        <f>--56879.52</f>
        <v>56879.519999999997</v>
      </c>
      <c r="Q14" s="2"/>
      <c r="R14" s="22"/>
      <c r="S14" s="2"/>
      <c r="T14" s="2"/>
      <c r="U14" s="2"/>
      <c r="V14" s="22"/>
      <c r="W14" s="2"/>
      <c r="X14" s="2">
        <f t="shared" si="2"/>
        <v>56879.519999999997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--43662</f>
        <v>43662</v>
      </c>
      <c r="E15" s="2"/>
      <c r="F15" s="22"/>
      <c r="G15" s="2"/>
      <c r="H15" s="2"/>
      <c r="I15" s="2"/>
      <c r="J15" s="22"/>
      <c r="K15" s="2"/>
      <c r="L15" s="2">
        <f t="shared" si="0"/>
        <v>43662</v>
      </c>
      <c r="M15" s="2"/>
      <c r="N15" s="22">
        <f t="shared" si="1"/>
        <v>0</v>
      </c>
      <c r="O15" s="11"/>
      <c r="P15" s="2">
        <f>--993256.89</f>
        <v>993256.89</v>
      </c>
      <c r="Q15" s="2"/>
      <c r="R15" s="22"/>
      <c r="S15" s="2"/>
      <c r="T15" s="2"/>
      <c r="U15" s="2"/>
      <c r="V15" s="22"/>
      <c r="W15" s="2"/>
      <c r="X15" s="2">
        <f t="shared" si="2"/>
        <v>993256.89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--7787.03</f>
        <v>7787.03</v>
      </c>
      <c r="E16" s="2"/>
      <c r="F16" s="22"/>
      <c r="G16" s="2"/>
      <c r="H16" s="2"/>
      <c r="I16" s="2"/>
      <c r="J16" s="22"/>
      <c r="K16" s="2"/>
      <c r="L16" s="2">
        <f t="shared" si="0"/>
        <v>7787.03</v>
      </c>
      <c r="M16" s="2"/>
      <c r="N16" s="22">
        <f t="shared" si="1"/>
        <v>0</v>
      </c>
      <c r="O16" s="11"/>
      <c r="P16" s="2">
        <f>--84637.98</f>
        <v>84637.98</v>
      </c>
      <c r="Q16" s="2"/>
      <c r="R16" s="22"/>
      <c r="S16" s="2"/>
      <c r="T16" s="2"/>
      <c r="U16" s="2"/>
      <c r="V16" s="22"/>
      <c r="W16" s="2"/>
      <c r="X16" s="2">
        <f t="shared" si="2"/>
        <v>84637.98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"4085", " - ", "TAXABLE SALES-SOFTWARE")</f>
        <v xml:space="preserve">          4085 - TAXABLE SALES-SOFTWARE</v>
      </c>
      <c r="C17" s="11"/>
      <c r="D17" s="2">
        <f>--1228.99</f>
        <v>1228.99</v>
      </c>
      <c r="E17" s="2"/>
      <c r="F17" s="22"/>
      <c r="G17" s="2"/>
      <c r="H17" s="2"/>
      <c r="I17" s="2"/>
      <c r="J17" s="22"/>
      <c r="K17" s="2"/>
      <c r="L17" s="2">
        <f t="shared" si="0"/>
        <v>1228.99</v>
      </c>
      <c r="M17" s="2"/>
      <c r="N17" s="22">
        <f t="shared" si="1"/>
        <v>0</v>
      </c>
      <c r="O17" s="11"/>
      <c r="P17" s="2">
        <f>--2728.94</f>
        <v>2728.94</v>
      </c>
      <c r="Q17" s="2"/>
      <c r="R17" s="22"/>
      <c r="S17" s="2"/>
      <c r="T17" s="2"/>
      <c r="U17" s="2"/>
      <c r="V17" s="22"/>
      <c r="W17" s="2"/>
      <c r="X17" s="2">
        <f t="shared" si="2"/>
        <v>2728.94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--27507.98</f>
        <v>27507.98</v>
      </c>
      <c r="E18" s="2"/>
      <c r="F18" s="22"/>
      <c r="G18" s="2"/>
      <c r="H18" s="2"/>
      <c r="I18" s="2"/>
      <c r="J18" s="22"/>
      <c r="K18" s="2"/>
      <c r="L18" s="2">
        <f t="shared" si="0"/>
        <v>27507.98</v>
      </c>
      <c r="M18" s="2"/>
      <c r="N18" s="22">
        <f t="shared" si="1"/>
        <v>0</v>
      </c>
      <c r="O18" s="11"/>
      <c r="P18" s="2">
        <f>--57135.58</f>
        <v>57135.58</v>
      </c>
      <c r="Q18" s="2"/>
      <c r="R18" s="22"/>
      <c r="S18" s="2"/>
      <c r="T18" s="2"/>
      <c r="U18" s="2"/>
      <c r="V18" s="22"/>
      <c r="W18" s="2"/>
      <c r="X18" s="2">
        <f t="shared" si="2"/>
        <v>57135.58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"4100", " - ", "NON-TAXABLE SALES")</f>
        <v xml:space="preserve">          4100 - NON-TAXABLE SALES</v>
      </c>
      <c r="C19" s="11"/>
      <c r="D19" s="2">
        <f t="shared" ref="D19:D20" si="4">0</f>
        <v>0</v>
      </c>
      <c r="E19" s="2"/>
      <c r="F19" s="22"/>
      <c r="G19" s="2"/>
      <c r="H19" s="2">
        <v>8317</v>
      </c>
      <c r="I19" s="2"/>
      <c r="J19" s="22"/>
      <c r="K19" s="2"/>
      <c r="L19" s="2">
        <f t="shared" si="0"/>
        <v>-8317</v>
      </c>
      <c r="M19" s="2"/>
      <c r="N19" s="22">
        <f t="shared" si="1"/>
        <v>-1</v>
      </c>
      <c r="O19" s="11"/>
      <c r="P19" s="2">
        <f>0</f>
        <v>0</v>
      </c>
      <c r="Q19" s="2"/>
      <c r="R19" s="22"/>
      <c r="S19" s="2"/>
      <c r="T19" s="2">
        <v>79603</v>
      </c>
      <c r="U19" s="2"/>
      <c r="V19" s="22"/>
      <c r="W19" s="2"/>
      <c r="X19" s="2">
        <f t="shared" si="2"/>
        <v>-79603</v>
      </c>
      <c r="Y19" s="2"/>
      <c r="Z19" s="22">
        <f t="shared" si="3"/>
        <v>-1</v>
      </c>
    </row>
    <row r="20" spans="1:26" s="24" customFormat="1" hidden="1" outlineLevel="1" x14ac:dyDescent="0.25">
      <c r="A20" s="51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 t="shared" si="4"/>
        <v>0</v>
      </c>
      <c r="E20" s="2"/>
      <c r="F20" s="22"/>
      <c r="G20" s="2"/>
      <c r="H20" s="2"/>
      <c r="I20" s="2"/>
      <c r="J20" s="22"/>
      <c r="K20" s="2"/>
      <c r="L20" s="2">
        <f t="shared" si="0"/>
        <v>0</v>
      </c>
      <c r="M20" s="2"/>
      <c r="N20" s="22">
        <f t="shared" si="1"/>
        <v>0</v>
      </c>
      <c r="O20" s="11"/>
      <c r="P20" s="2">
        <f>--3534.12</f>
        <v>3534.12</v>
      </c>
      <c r="Q20" s="2"/>
      <c r="R20" s="22"/>
      <c r="S20" s="2"/>
      <c r="T20" s="2"/>
      <c r="U20" s="2"/>
      <c r="V20" s="22"/>
      <c r="W20" s="2"/>
      <c r="X20" s="2">
        <f t="shared" si="2"/>
        <v>3534.12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--9513.96</f>
        <v>9513.9599999999991</v>
      </c>
      <c r="E21" s="2"/>
      <c r="F21" s="22"/>
      <c r="G21" s="2"/>
      <c r="H21" s="2"/>
      <c r="I21" s="2"/>
      <c r="J21" s="22"/>
      <c r="K21" s="2"/>
      <c r="L21" s="2">
        <f t="shared" si="0"/>
        <v>9513.9599999999991</v>
      </c>
      <c r="M21" s="2"/>
      <c r="N21" s="22">
        <f t="shared" si="1"/>
        <v>0</v>
      </c>
      <c r="O21" s="11"/>
      <c r="P21" s="2">
        <f>--164308.31</f>
        <v>164308.31</v>
      </c>
      <c r="Q21" s="2"/>
      <c r="R21" s="22"/>
      <c r="S21" s="2"/>
      <c r="T21" s="2"/>
      <c r="U21" s="2"/>
      <c r="V21" s="22"/>
      <c r="W21" s="2"/>
      <c r="X21" s="2">
        <f t="shared" si="2"/>
        <v>164308.31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--258.91</f>
        <v>258.91000000000003</v>
      </c>
      <c r="E22" s="2"/>
      <c r="F22" s="22"/>
      <c r="G22" s="2"/>
      <c r="H22" s="2"/>
      <c r="I22" s="2"/>
      <c r="J22" s="22"/>
      <c r="K22" s="2"/>
      <c r="L22" s="2">
        <f t="shared" si="0"/>
        <v>258.91000000000003</v>
      </c>
      <c r="M22" s="2"/>
      <c r="N22" s="22">
        <f t="shared" si="1"/>
        <v>0</v>
      </c>
      <c r="O22" s="11"/>
      <c r="P22" s="2">
        <f>--7629.19</f>
        <v>7629.19</v>
      </c>
      <c r="Q22" s="2"/>
      <c r="R22" s="22"/>
      <c r="S22" s="2"/>
      <c r="T22" s="2"/>
      <c r="U22" s="2"/>
      <c r="V22" s="22"/>
      <c r="W22" s="2"/>
      <c r="X22" s="2">
        <f t="shared" si="2"/>
        <v>7629.19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"4185", " - ", "NON-TAXABLE SALES-SOFTWARE")</f>
        <v xml:space="preserve">          4185 - NON-TAXABLE SALES-SOFTWARE</v>
      </c>
      <c r="C23" s="11"/>
      <c r="D23" s="2">
        <f>--873.93</f>
        <v>873.93</v>
      </c>
      <c r="E23" s="2"/>
      <c r="F23" s="22"/>
      <c r="G23" s="2"/>
      <c r="H23" s="2"/>
      <c r="I23" s="2"/>
      <c r="J23" s="22"/>
      <c r="K23" s="2"/>
      <c r="L23" s="2">
        <f t="shared" si="0"/>
        <v>873.93</v>
      </c>
      <c r="M23" s="2"/>
      <c r="N23" s="22">
        <f t="shared" si="1"/>
        <v>0</v>
      </c>
      <c r="O23" s="11"/>
      <c r="P23" s="2">
        <f>--26680.67</f>
        <v>26680.67</v>
      </c>
      <c r="Q23" s="2"/>
      <c r="R23" s="22"/>
      <c r="S23" s="2"/>
      <c r="T23" s="2"/>
      <c r="U23" s="2"/>
      <c r="V23" s="22"/>
      <c r="W23" s="2"/>
      <c r="X23" s="2">
        <f t="shared" si="2"/>
        <v>26680.67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--176.22</f>
        <v>176.22</v>
      </c>
      <c r="E24" s="2"/>
      <c r="F24" s="22"/>
      <c r="G24" s="2"/>
      <c r="H24" s="2"/>
      <c r="I24" s="2"/>
      <c r="J24" s="22"/>
      <c r="K24" s="2"/>
      <c r="L24" s="2">
        <f t="shared" si="0"/>
        <v>176.22</v>
      </c>
      <c r="M24" s="2"/>
      <c r="N24" s="22">
        <f t="shared" si="1"/>
        <v>0</v>
      </c>
      <c r="O24" s="11"/>
      <c r="P24" s="2">
        <f>--1949.99</f>
        <v>1949.99</v>
      </c>
      <c r="Q24" s="2"/>
      <c r="R24" s="22"/>
      <c r="S24" s="2"/>
      <c r="T24" s="2"/>
      <c r="U24" s="2"/>
      <c r="V24" s="22"/>
      <c r="W24" s="2"/>
      <c r="X24" s="2">
        <f t="shared" si="2"/>
        <v>1949.99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"4281", " - ", "SALES RETURN TAXABLE-ELECTRONI")</f>
        <v xml:space="preserve">          4281 - SALES RETURN TAXABLE-ELECTRONI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-14632.15</f>
        <v>-14632.15</v>
      </c>
      <c r="Q25" s="2"/>
      <c r="R25" s="22"/>
      <c r="S25" s="2"/>
      <c r="T25" s="2"/>
      <c r="U25" s="2"/>
      <c r="V25" s="22"/>
      <c r="W25" s="2"/>
      <c r="X25" s="2">
        <f t="shared" si="2"/>
        <v>-14632.15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"4282", " - ", "SALES RETURN TAXABLE-COMPUTER")</f>
        <v xml:space="preserve">          4282 - SALES RETURN TAXABLE-COMPUTER</v>
      </c>
      <c r="C26" s="11"/>
      <c r="D26" s="2">
        <f>-7936</f>
        <v>-7936</v>
      </c>
      <c r="E26" s="2"/>
      <c r="F26" s="22"/>
      <c r="G26" s="2"/>
      <c r="H26" s="2"/>
      <c r="I26" s="2"/>
      <c r="J26" s="22"/>
      <c r="K26" s="2"/>
      <c r="L26" s="2">
        <f t="shared" si="0"/>
        <v>-7936</v>
      </c>
      <c r="M26" s="2"/>
      <c r="N26" s="22">
        <f t="shared" si="1"/>
        <v>0</v>
      </c>
      <c r="O26" s="11"/>
      <c r="P26" s="2">
        <f>-92020.01</f>
        <v>-92020.01</v>
      </c>
      <c r="Q26" s="2"/>
      <c r="R26" s="22"/>
      <c r="S26" s="2"/>
      <c r="T26" s="2"/>
      <c r="U26" s="2"/>
      <c r="V26" s="22"/>
      <c r="W26" s="2"/>
      <c r="X26" s="2">
        <f t="shared" si="2"/>
        <v>-92020.01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"4283", " - ", "SALES RETURN TAXABLE-COMPUTER")</f>
        <v xml:space="preserve">          4283 - SALES RETURN TAXABLE-COMPUTER</v>
      </c>
      <c r="C27" s="11"/>
      <c r="D27" s="2">
        <f>-99.99</f>
        <v>-99.99</v>
      </c>
      <c r="E27" s="2"/>
      <c r="F27" s="22"/>
      <c r="G27" s="2"/>
      <c r="H27" s="2"/>
      <c r="I27" s="2"/>
      <c r="J27" s="22"/>
      <c r="K27" s="2"/>
      <c r="L27" s="2">
        <f t="shared" si="0"/>
        <v>-99.99</v>
      </c>
      <c r="M27" s="2"/>
      <c r="N27" s="22">
        <f t="shared" si="1"/>
        <v>0</v>
      </c>
      <c r="O27" s="11"/>
      <c r="P27" s="2">
        <f>-3411.26</f>
        <v>-3411.26</v>
      </c>
      <c r="Q27" s="2"/>
      <c r="R27" s="22"/>
      <c r="S27" s="2"/>
      <c r="T27" s="2"/>
      <c r="U27" s="2"/>
      <c r="V27" s="22"/>
      <c r="W27" s="2"/>
      <c r="X27" s="2">
        <f t="shared" si="2"/>
        <v>-3411.26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"4285", " - ", "SALES RETURN TAXABLE-SOFTWARE")</f>
        <v xml:space="preserve">          4285 - SALES RETURN TAXABLE-SOFTWARE</v>
      </c>
      <c r="C28" s="11"/>
      <c r="D28" s="2">
        <f>0</f>
        <v>0</v>
      </c>
      <c r="E28" s="2"/>
      <c r="F28" s="22"/>
      <c r="G28" s="2"/>
      <c r="H28" s="2"/>
      <c r="I28" s="2"/>
      <c r="J28" s="22"/>
      <c r="K28" s="2"/>
      <c r="L28" s="2">
        <f t="shared" si="0"/>
        <v>0</v>
      </c>
      <c r="M28" s="2"/>
      <c r="N28" s="22">
        <f t="shared" si="1"/>
        <v>0</v>
      </c>
      <c r="O28" s="11"/>
      <c r="P28" s="2">
        <f>-691.98</f>
        <v>-691.98</v>
      </c>
      <c r="Q28" s="2"/>
      <c r="R28" s="22"/>
      <c r="S28" s="2"/>
      <c r="T28" s="2"/>
      <c r="U28" s="2"/>
      <c r="V28" s="22"/>
      <c r="W28" s="2"/>
      <c r="X28" s="2">
        <f t="shared" si="2"/>
        <v>-691.98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"4286", " - ", "SALES RETURN TAXABLE-COMPUTER")</f>
        <v xml:space="preserve">          4286 - SALES RETURN TAXABLE-COMPUTER</v>
      </c>
      <c r="C29" s="11"/>
      <c r="D29" s="2">
        <f>-4127</f>
        <v>-4127</v>
      </c>
      <c r="E29" s="2"/>
      <c r="F29" s="22"/>
      <c r="G29" s="2"/>
      <c r="H29" s="2"/>
      <c r="I29" s="2"/>
      <c r="J29" s="22"/>
      <c r="K29" s="2"/>
      <c r="L29" s="2">
        <f t="shared" si="0"/>
        <v>-4127</v>
      </c>
      <c r="M29" s="2"/>
      <c r="N29" s="22">
        <f t="shared" si="1"/>
        <v>0</v>
      </c>
      <c r="O29" s="11"/>
      <c r="P29" s="2">
        <f>-4708.35</f>
        <v>-4708.3500000000004</v>
      </c>
      <c r="Q29" s="2"/>
      <c r="R29" s="22"/>
      <c r="S29" s="2"/>
      <c r="T29" s="2"/>
      <c r="U29" s="2"/>
      <c r="V29" s="22"/>
      <c r="W29" s="2"/>
      <c r="X29" s="2">
        <f t="shared" si="2"/>
        <v>-4708.3500000000004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"4381", " - ", "SALES RETURN NON TAXABLE-ELECT")</f>
        <v xml:space="preserve">          4381 - SALES RETURN NON TAXABLE-ELECT</v>
      </c>
      <c r="C30" s="11"/>
      <c r="D30" s="2">
        <f>0</f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-5624.15</f>
        <v>-5624.15</v>
      </c>
      <c r="Q30" s="2"/>
      <c r="R30" s="22"/>
      <c r="S30" s="2"/>
      <c r="T30" s="2"/>
      <c r="U30" s="2"/>
      <c r="V30" s="22"/>
      <c r="W30" s="2"/>
      <c r="X30" s="2">
        <f t="shared" si="2"/>
        <v>-5624.15</v>
      </c>
      <c r="Y30" s="2"/>
      <c r="Z30" s="22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6" t="s">
        <v>8</v>
      </c>
      <c r="C32" s="10"/>
      <c r="D32" s="4">
        <f>SUM(OSRRefD16x_0)</f>
        <v>74328</v>
      </c>
      <c r="E32" s="4"/>
      <c r="F32" s="12">
        <f t="shared" ref="F32:F44" si="5">IF(D$12=0,0,D32/D$12)</f>
        <v>0.93563046675030059</v>
      </c>
      <c r="G32" s="4"/>
      <c r="H32" s="4">
        <f>SUM(OSRRefH16x_0)</f>
        <v>59390</v>
      </c>
      <c r="I32" s="4"/>
      <c r="J32" s="12">
        <f t="shared" ref="J32:J44" si="6">IF(H$12=0,0,H32/H$12)</f>
        <v>0.78096440359251518</v>
      </c>
      <c r="K32" s="4"/>
      <c r="L32" s="4">
        <f t="shared" ref="L32:L44" si="7">+D32-H32</f>
        <v>14938</v>
      </c>
      <c r="M32" s="4"/>
      <c r="N32" s="12">
        <f t="shared" ref="N32:N44" si="8">IF(H32=0,0,L32/H32)</f>
        <v>0.25152382555985858</v>
      </c>
      <c r="O32" s="10"/>
      <c r="P32" s="4">
        <f>SUM(OSRRefP16x_0)</f>
        <v>1215966.8400000003</v>
      </c>
      <c r="Q32" s="4"/>
      <c r="R32" s="12">
        <f t="shared" ref="R32:R44" si="9">IF(P$12=0,0,P32/P$12)</f>
        <v>0.95344185114779811</v>
      </c>
      <c r="S32" s="4"/>
      <c r="T32" s="4">
        <f>SUM(OSRRefT16x_0)</f>
        <v>1112906</v>
      </c>
      <c r="U32" s="4"/>
      <c r="V32" s="12">
        <f t="shared" ref="V32:V44" si="10">IF(T$12=0,0,T32/T$12)</f>
        <v>0.78096255273521376</v>
      </c>
      <c r="W32" s="4"/>
      <c r="X32" s="4">
        <f t="shared" ref="X32:X44" si="11">+P32-T32</f>
        <v>103060.84000000032</v>
      </c>
      <c r="Y32" s="4"/>
      <c r="Z32" s="12">
        <f t="shared" ref="Z32:Z44" si="12">IF(T32=0,0,X32/T32)</f>
        <v>9.2605161621916246E-2</v>
      </c>
    </row>
    <row r="33" spans="1:26" s="24" customFormat="1" hidden="1" outlineLevel="1" x14ac:dyDescent="0.25">
      <c r="A33" s="51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22">
        <f t="shared" si="5"/>
        <v>0</v>
      </c>
      <c r="G33" s="2"/>
      <c r="H33" s="2">
        <v>59390</v>
      </c>
      <c r="I33" s="2"/>
      <c r="J33" s="22">
        <f t="shared" si="6"/>
        <v>0.78096440359251518</v>
      </c>
      <c r="K33" s="2"/>
      <c r="L33" s="2">
        <f t="shared" si="7"/>
        <v>-59390</v>
      </c>
      <c r="M33" s="2"/>
      <c r="N33" s="22">
        <f t="shared" si="8"/>
        <v>-1</v>
      </c>
      <c r="O33" s="11"/>
      <c r="P33" s="2"/>
      <c r="Q33" s="2"/>
      <c r="R33" s="22">
        <f t="shared" si="9"/>
        <v>0</v>
      </c>
      <c r="S33" s="2"/>
      <c r="T33" s="2">
        <v>1112906</v>
      </c>
      <c r="U33" s="2"/>
      <c r="V33" s="22">
        <f t="shared" si="10"/>
        <v>0.78096255273521376</v>
      </c>
      <c r="W33" s="2"/>
      <c r="X33" s="2">
        <f t="shared" si="11"/>
        <v>-1112906</v>
      </c>
      <c r="Y33" s="2"/>
      <c r="Z33" s="22">
        <f t="shared" si="12"/>
        <v>-1</v>
      </c>
    </row>
    <row r="34" spans="1:26" s="24" customFormat="1" hidden="1" outlineLevel="1" x14ac:dyDescent="0.25">
      <c r="A34" s="51"/>
      <c r="B34" s="11" t="str">
        <f>CONCATENATE("          ", "5081", " - ", "PURCHASES @ COST-ELECTRONICS")</f>
        <v xml:space="preserve">          5081 - PURCHASES @ COST-ELECTRONICS</v>
      </c>
      <c r="C34" s="11"/>
      <c r="D34" s="2">
        <v>945.44</v>
      </c>
      <c r="E34" s="2"/>
      <c r="F34" s="22">
        <f t="shared" si="5"/>
        <v>1.1901066468684806E-2</v>
      </c>
      <c r="G34" s="2"/>
      <c r="H34" s="2"/>
      <c r="I34" s="2"/>
      <c r="J34" s="22">
        <f t="shared" si="6"/>
        <v>0</v>
      </c>
      <c r="K34" s="2"/>
      <c r="L34" s="2">
        <f t="shared" si="7"/>
        <v>945.44</v>
      </c>
      <c r="M34" s="2"/>
      <c r="N34" s="22">
        <f t="shared" si="8"/>
        <v>0</v>
      </c>
      <c r="O34" s="11"/>
      <c r="P34" s="2">
        <v>25260.510000000002</v>
      </c>
      <c r="Q34" s="2"/>
      <c r="R34" s="22">
        <f t="shared" si="9"/>
        <v>1.9806812672077029E-2</v>
      </c>
      <c r="S34" s="2"/>
      <c r="T34" s="2"/>
      <c r="U34" s="2"/>
      <c r="V34" s="22">
        <f t="shared" si="10"/>
        <v>0</v>
      </c>
      <c r="W34" s="2"/>
      <c r="X34" s="2">
        <f t="shared" si="11"/>
        <v>25260.510000000002</v>
      </c>
      <c r="Y34" s="2"/>
      <c r="Z34" s="22">
        <f t="shared" si="12"/>
        <v>0</v>
      </c>
    </row>
    <row r="35" spans="1:26" s="24" customFormat="1" hidden="1" outlineLevel="1" x14ac:dyDescent="0.25">
      <c r="A35" s="51"/>
      <c r="B35" s="11" t="str">
        <f>CONCATENATE("          ", "5082", " - ", "PURCHASES @ COST-COMPUTER HARD")</f>
        <v xml:space="preserve">          5082 - PURCHASES @ COST-COMPUTER HARD</v>
      </c>
      <c r="C35" s="11"/>
      <c r="D35" s="2">
        <v>20916.710000000003</v>
      </c>
      <c r="E35" s="2"/>
      <c r="F35" s="22">
        <f t="shared" si="5"/>
        <v>0.2632966195805172</v>
      </c>
      <c r="G35" s="2"/>
      <c r="H35" s="2"/>
      <c r="I35" s="2"/>
      <c r="J35" s="22">
        <f t="shared" si="6"/>
        <v>0</v>
      </c>
      <c r="K35" s="2"/>
      <c r="L35" s="2">
        <f t="shared" si="7"/>
        <v>20916.710000000003</v>
      </c>
      <c r="M35" s="2"/>
      <c r="N35" s="22">
        <f t="shared" si="8"/>
        <v>0</v>
      </c>
      <c r="O35" s="11"/>
      <c r="P35" s="2">
        <v>980936.82000000007</v>
      </c>
      <c r="Q35" s="2"/>
      <c r="R35" s="22">
        <f t="shared" si="9"/>
        <v>0.76915437720311053</v>
      </c>
      <c r="S35" s="2"/>
      <c r="T35" s="2"/>
      <c r="U35" s="2"/>
      <c r="V35" s="22">
        <f t="shared" si="10"/>
        <v>0</v>
      </c>
      <c r="W35" s="2"/>
      <c r="X35" s="2">
        <f t="shared" si="11"/>
        <v>980936.82000000007</v>
      </c>
      <c r="Y35" s="2"/>
      <c r="Z35" s="22">
        <f t="shared" si="12"/>
        <v>0</v>
      </c>
    </row>
    <row r="36" spans="1:26" s="24" customFormat="1" hidden="1" outlineLevel="1" x14ac:dyDescent="0.25">
      <c r="A36" s="51"/>
      <c r="B36" s="11" t="str">
        <f>CONCATENATE("          ", "5083", " - ", "PURCHASES @ COST-COMPUTER EQUI")</f>
        <v xml:space="preserve">          5083 - PURCHASES @ COST-COMPUTER EQUI</v>
      </c>
      <c r="C36" s="11"/>
      <c r="D36" s="2">
        <v>5833.72</v>
      </c>
      <c r="E36" s="2"/>
      <c r="F36" s="22">
        <f t="shared" si="5"/>
        <v>7.3434051319698684E-2</v>
      </c>
      <c r="G36" s="2"/>
      <c r="H36" s="2"/>
      <c r="I36" s="2"/>
      <c r="J36" s="22">
        <f t="shared" si="6"/>
        <v>0</v>
      </c>
      <c r="K36" s="2"/>
      <c r="L36" s="2">
        <f t="shared" si="7"/>
        <v>5833.72</v>
      </c>
      <c r="M36" s="2"/>
      <c r="N36" s="22">
        <f t="shared" si="8"/>
        <v>0</v>
      </c>
      <c r="O36" s="11"/>
      <c r="P36" s="2">
        <v>81726.840000000011</v>
      </c>
      <c r="Q36" s="2"/>
      <c r="R36" s="22">
        <f t="shared" si="9"/>
        <v>6.4082166597618659E-2</v>
      </c>
      <c r="S36" s="2"/>
      <c r="T36" s="2"/>
      <c r="U36" s="2"/>
      <c r="V36" s="22">
        <f t="shared" si="10"/>
        <v>0</v>
      </c>
      <c r="W36" s="2"/>
      <c r="X36" s="2">
        <f t="shared" si="11"/>
        <v>81726.840000000011</v>
      </c>
      <c r="Y36" s="2"/>
      <c r="Z36" s="22">
        <f t="shared" si="12"/>
        <v>0</v>
      </c>
    </row>
    <row r="37" spans="1:26" s="24" customFormat="1" hidden="1" outlineLevel="1" x14ac:dyDescent="0.25">
      <c r="A37" s="51"/>
      <c r="B37" s="11" t="str">
        <f>CONCATENATE("          ", "5085", " - ", "PURCHASES @ COST-SOFTWARE")</f>
        <v xml:space="preserve">          5085 - PURCHASES @ COST-SOFTWARE</v>
      </c>
      <c r="C37" s="11"/>
      <c r="D37" s="2">
        <v>496.16</v>
      </c>
      <c r="E37" s="2"/>
      <c r="F37" s="22">
        <f t="shared" si="5"/>
        <v>6.2455926754766602E-3</v>
      </c>
      <c r="G37" s="2"/>
      <c r="H37" s="2"/>
      <c r="I37" s="2"/>
      <c r="J37" s="22">
        <f t="shared" si="6"/>
        <v>0</v>
      </c>
      <c r="K37" s="2"/>
      <c r="L37" s="2">
        <f t="shared" si="7"/>
        <v>496.16</v>
      </c>
      <c r="M37" s="2"/>
      <c r="N37" s="22">
        <f t="shared" si="8"/>
        <v>0</v>
      </c>
      <c r="O37" s="11"/>
      <c r="P37" s="2">
        <v>24572.080000000002</v>
      </c>
      <c r="Q37" s="2"/>
      <c r="R37" s="22">
        <f t="shared" si="9"/>
        <v>1.9267013434142482E-2</v>
      </c>
      <c r="S37" s="2"/>
      <c r="T37" s="2"/>
      <c r="U37" s="2"/>
      <c r="V37" s="22">
        <f t="shared" si="10"/>
        <v>0</v>
      </c>
      <c r="W37" s="2"/>
      <c r="X37" s="2">
        <f t="shared" si="11"/>
        <v>24572.080000000002</v>
      </c>
      <c r="Y37" s="2"/>
      <c r="Z37" s="22">
        <f t="shared" si="12"/>
        <v>0</v>
      </c>
    </row>
    <row r="38" spans="1:26" s="24" customFormat="1" hidden="1" outlineLevel="1" x14ac:dyDescent="0.25">
      <c r="A38" s="51"/>
      <c r="B38" s="11" t="str">
        <f>CONCATENATE("          ", "5086", " - ", "PURCHASES @ COST-COMPUTER SUPP")</f>
        <v xml:space="preserve">          5086 - PURCHASES @ COST-COMPUTER SUPP</v>
      </c>
      <c r="C38" s="11"/>
      <c r="D38" s="2"/>
      <c r="E38" s="2"/>
      <c r="F38" s="22">
        <f t="shared" si="5"/>
        <v>0</v>
      </c>
      <c r="G38" s="2"/>
      <c r="H38" s="2"/>
      <c r="I38" s="2"/>
      <c r="J38" s="22">
        <f t="shared" si="6"/>
        <v>0</v>
      </c>
      <c r="K38" s="2"/>
      <c r="L38" s="2">
        <f t="shared" si="7"/>
        <v>0</v>
      </c>
      <c r="M38" s="2"/>
      <c r="N38" s="22">
        <f t="shared" si="8"/>
        <v>0</v>
      </c>
      <c r="O38" s="11"/>
      <c r="P38" s="2">
        <v>22718.609999999997</v>
      </c>
      <c r="Q38" s="2"/>
      <c r="R38" s="22">
        <f t="shared" si="9"/>
        <v>1.7813704174617844E-2</v>
      </c>
      <c r="S38" s="2"/>
      <c r="T38" s="2"/>
      <c r="U38" s="2"/>
      <c r="V38" s="22">
        <f t="shared" si="10"/>
        <v>0</v>
      </c>
      <c r="W38" s="2"/>
      <c r="X38" s="2">
        <f t="shared" si="11"/>
        <v>22718.609999999997</v>
      </c>
      <c r="Y38" s="2"/>
      <c r="Z38" s="22">
        <f t="shared" si="12"/>
        <v>0</v>
      </c>
    </row>
    <row r="39" spans="1:26" s="24" customFormat="1" hidden="1" outlineLevel="1" x14ac:dyDescent="0.25">
      <c r="A39" s="51"/>
      <c r="B39" s="11" t="str">
        <f>CONCATENATE("          ", "5200", " - ", "PURCHASES OFFSET")</f>
        <v xml:space="preserve">          5200 - PURCHASES OFFSET</v>
      </c>
      <c r="C39" s="11"/>
      <c r="D39" s="2">
        <v>-28230.26</v>
      </c>
      <c r="E39" s="2"/>
      <c r="F39" s="22">
        <f t="shared" si="5"/>
        <v>-0.35535856393663678</v>
      </c>
      <c r="G39" s="2"/>
      <c r="H39" s="2"/>
      <c r="I39" s="2"/>
      <c r="J39" s="22">
        <f t="shared" si="6"/>
        <v>0</v>
      </c>
      <c r="K39" s="2"/>
      <c r="L39" s="2">
        <f t="shared" si="7"/>
        <v>-28230.26</v>
      </c>
      <c r="M39" s="2"/>
      <c r="N39" s="22">
        <f t="shared" si="8"/>
        <v>0</v>
      </c>
      <c r="O39" s="11"/>
      <c r="P39" s="2">
        <v>-1131650.54</v>
      </c>
      <c r="Q39" s="2"/>
      <c r="R39" s="22">
        <f t="shared" si="9"/>
        <v>-0.88732928416864154</v>
      </c>
      <c r="S39" s="2"/>
      <c r="T39" s="2"/>
      <c r="U39" s="2"/>
      <c r="V39" s="22">
        <f t="shared" si="10"/>
        <v>0</v>
      </c>
      <c r="W39" s="2"/>
      <c r="X39" s="2">
        <f t="shared" si="11"/>
        <v>-1131650.54</v>
      </c>
      <c r="Y39" s="2"/>
      <c r="Z39" s="22">
        <f t="shared" si="12"/>
        <v>0</v>
      </c>
    </row>
    <row r="40" spans="1:26" s="24" customFormat="1" hidden="1" outlineLevel="1" x14ac:dyDescent="0.25">
      <c r="A40" s="51"/>
      <c r="B40" s="11" t="str">
        <f>CONCATENATE("          ", "5300", " - ", "COG$ OFFSET")</f>
        <v xml:space="preserve">          5300 - COG$ OFFSET</v>
      </c>
      <c r="C40" s="11"/>
      <c r="D40" s="2">
        <v>74328</v>
      </c>
      <c r="E40" s="2"/>
      <c r="F40" s="22">
        <f t="shared" si="5"/>
        <v>0.93563046675030059</v>
      </c>
      <c r="G40" s="2"/>
      <c r="H40" s="2"/>
      <c r="I40" s="2"/>
      <c r="J40" s="22">
        <f t="shared" si="6"/>
        <v>0</v>
      </c>
      <c r="K40" s="2"/>
      <c r="L40" s="2">
        <f t="shared" si="7"/>
        <v>74328</v>
      </c>
      <c r="M40" s="2"/>
      <c r="N40" s="22">
        <f t="shared" si="8"/>
        <v>0</v>
      </c>
      <c r="O40" s="11"/>
      <c r="P40" s="2">
        <v>1212021</v>
      </c>
      <c r="Q40" s="2"/>
      <c r="R40" s="22">
        <f t="shared" si="9"/>
        <v>0.95034791069631896</v>
      </c>
      <c r="S40" s="2"/>
      <c r="T40" s="2"/>
      <c r="U40" s="2"/>
      <c r="V40" s="22">
        <f t="shared" si="10"/>
        <v>0</v>
      </c>
      <c r="W40" s="2"/>
      <c r="X40" s="2">
        <f t="shared" si="11"/>
        <v>1212021</v>
      </c>
      <c r="Y40" s="2"/>
      <c r="Z40" s="22">
        <f t="shared" si="12"/>
        <v>0</v>
      </c>
    </row>
    <row r="41" spans="1:26" s="24" customFormat="1" hidden="1" outlineLevel="1" x14ac:dyDescent="0.25">
      <c r="A41" s="51"/>
      <c r="B41" s="11" t="str">
        <f>CONCATENATE("          ", "5581", " - ", "FREIGHT-IN-ELECTRONICS")</f>
        <v xml:space="preserve">          5581 - FREIGHT-IN-ELECTRONICS</v>
      </c>
      <c r="C41" s="11"/>
      <c r="D41" s="2">
        <v>31</v>
      </c>
      <c r="E41" s="2"/>
      <c r="F41" s="22">
        <f t="shared" si="5"/>
        <v>3.9022366361612476E-4</v>
      </c>
      <c r="G41" s="2"/>
      <c r="H41" s="2"/>
      <c r="I41" s="2"/>
      <c r="J41" s="22">
        <f t="shared" si="6"/>
        <v>0</v>
      </c>
      <c r="K41" s="2"/>
      <c r="L41" s="2">
        <f t="shared" si="7"/>
        <v>31</v>
      </c>
      <c r="M41" s="2"/>
      <c r="N41" s="22">
        <f t="shared" si="8"/>
        <v>0</v>
      </c>
      <c r="O41" s="11"/>
      <c r="P41" s="2">
        <v>31</v>
      </c>
      <c r="Q41" s="2"/>
      <c r="R41" s="22">
        <f t="shared" si="9"/>
        <v>2.4307157410297253E-5</v>
      </c>
      <c r="S41" s="2"/>
      <c r="T41" s="2"/>
      <c r="U41" s="2"/>
      <c r="V41" s="22">
        <f t="shared" si="10"/>
        <v>0</v>
      </c>
      <c r="W41" s="2"/>
      <c r="X41" s="2">
        <f t="shared" si="11"/>
        <v>31</v>
      </c>
      <c r="Y41" s="2"/>
      <c r="Z41" s="22">
        <f t="shared" si="12"/>
        <v>0</v>
      </c>
    </row>
    <row r="42" spans="1:26" s="24" customFormat="1" hidden="1" outlineLevel="1" x14ac:dyDescent="0.25">
      <c r="A42" s="51"/>
      <c r="B42" s="11" t="str">
        <f>CONCATENATE("          ", "5582", " - ", "FREIGHT-IN-COMPUTER HARDWARE")</f>
        <v xml:space="preserve">          5582 - FREIGHT-IN-COMPUTER HARDWARE</v>
      </c>
      <c r="C42" s="11"/>
      <c r="D42" s="2"/>
      <c r="E42" s="2"/>
      <c r="F42" s="22">
        <f t="shared" si="5"/>
        <v>0</v>
      </c>
      <c r="G42" s="2"/>
      <c r="H42" s="2"/>
      <c r="I42" s="2"/>
      <c r="J42" s="22">
        <f t="shared" si="6"/>
        <v>0</v>
      </c>
      <c r="K42" s="2"/>
      <c r="L42" s="2">
        <f t="shared" si="7"/>
        <v>0</v>
      </c>
      <c r="M42" s="2"/>
      <c r="N42" s="22">
        <f t="shared" si="8"/>
        <v>0</v>
      </c>
      <c r="O42" s="11"/>
      <c r="P42" s="2">
        <v>94</v>
      </c>
      <c r="Q42" s="2"/>
      <c r="R42" s="22">
        <f t="shared" si="9"/>
        <v>7.3705574082836837E-5</v>
      </c>
      <c r="S42" s="2"/>
      <c r="T42" s="2"/>
      <c r="U42" s="2"/>
      <c r="V42" s="22">
        <f t="shared" si="10"/>
        <v>0</v>
      </c>
      <c r="W42" s="2"/>
      <c r="X42" s="2">
        <f t="shared" si="11"/>
        <v>94</v>
      </c>
      <c r="Y42" s="2"/>
      <c r="Z42" s="22">
        <f t="shared" si="12"/>
        <v>0</v>
      </c>
    </row>
    <row r="43" spans="1:26" s="24" customFormat="1" hidden="1" outlineLevel="1" x14ac:dyDescent="0.25">
      <c r="A43" s="51"/>
      <c r="B43" s="11" t="str">
        <f>CONCATENATE("          ", "5583", " - ", "FREIGHT-IN-COMPUTER EQUIPMENT")</f>
        <v xml:space="preserve">          5583 - FREIGHT-IN-COMPUTER EQUIPMENT</v>
      </c>
      <c r="C43" s="11"/>
      <c r="D43" s="2">
        <v>7.23</v>
      </c>
      <c r="E43" s="2"/>
      <c r="F43" s="22">
        <f t="shared" si="5"/>
        <v>9.1010228643373614E-5</v>
      </c>
      <c r="G43" s="2"/>
      <c r="H43" s="2"/>
      <c r="I43" s="2"/>
      <c r="J43" s="22">
        <f t="shared" si="6"/>
        <v>0</v>
      </c>
      <c r="K43" s="2"/>
      <c r="L43" s="2">
        <f t="shared" si="7"/>
        <v>7.23</v>
      </c>
      <c r="M43" s="2"/>
      <c r="N43" s="22">
        <f t="shared" si="8"/>
        <v>0</v>
      </c>
      <c r="O43" s="11"/>
      <c r="P43" s="2">
        <v>232.4</v>
      </c>
      <c r="Q43" s="2"/>
      <c r="R43" s="22">
        <f t="shared" si="9"/>
        <v>1.822252703920349E-4</v>
      </c>
      <c r="S43" s="2"/>
      <c r="T43" s="2"/>
      <c r="U43" s="2"/>
      <c r="V43" s="22">
        <f t="shared" si="10"/>
        <v>0</v>
      </c>
      <c r="W43" s="2"/>
      <c r="X43" s="2">
        <f t="shared" si="11"/>
        <v>232.4</v>
      </c>
      <c r="Y43" s="2"/>
      <c r="Z43" s="22">
        <f t="shared" si="12"/>
        <v>0</v>
      </c>
    </row>
    <row r="44" spans="1:26" s="24" customFormat="1" hidden="1" outlineLevel="1" x14ac:dyDescent="0.25">
      <c r="A44" s="51"/>
      <c r="B44" s="11" t="str">
        <f>CONCATENATE("          ", "5586", " - ", "FREIGHT-IN-COMPUTER SUPPLIES")</f>
        <v xml:space="preserve">          5586 - FREIGHT-IN-COMPUTER SUPPLIES</v>
      </c>
      <c r="C44" s="11"/>
      <c r="D44" s="2"/>
      <c r="E44" s="2"/>
      <c r="F44" s="22">
        <f t="shared" si="5"/>
        <v>0</v>
      </c>
      <c r="G44" s="2"/>
      <c r="H44" s="2"/>
      <c r="I44" s="2"/>
      <c r="J44" s="22">
        <f t="shared" si="6"/>
        <v>0</v>
      </c>
      <c r="K44" s="2"/>
      <c r="L44" s="2">
        <f t="shared" si="7"/>
        <v>0</v>
      </c>
      <c r="M44" s="2"/>
      <c r="N44" s="22">
        <f t="shared" si="8"/>
        <v>0</v>
      </c>
      <c r="O44" s="11"/>
      <c r="P44" s="2">
        <v>24.12</v>
      </c>
      <c r="Q44" s="2"/>
      <c r="R44" s="22">
        <f t="shared" si="9"/>
        <v>1.8912536668915153E-5</v>
      </c>
      <c r="S44" s="2"/>
      <c r="T44" s="2"/>
      <c r="U44" s="2"/>
      <c r="V44" s="22">
        <f t="shared" si="10"/>
        <v>0</v>
      </c>
      <c r="W44" s="2"/>
      <c r="X44" s="2">
        <f t="shared" si="11"/>
        <v>24.12</v>
      </c>
      <c r="Y44" s="2"/>
      <c r="Z44" s="22">
        <f t="shared" si="12"/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5" t="s">
        <v>6</v>
      </c>
      <c r="C46" s="25"/>
      <c r="D46" s="21">
        <f>D12-D32</f>
        <v>5113.6199999999808</v>
      </c>
      <c r="E46" s="13"/>
      <c r="F46" s="19">
        <f>IF(D$12=0,0,D46/D$12)</f>
        <v>6.4369533249699365E-2</v>
      </c>
      <c r="G46" s="13"/>
      <c r="H46" s="21">
        <f>H12-H32</f>
        <v>16657</v>
      </c>
      <c r="I46" s="13"/>
      <c r="J46" s="19">
        <f>IF(H$12=0,0,H46/H$12)</f>
        <v>0.21903559640748485</v>
      </c>
      <c r="K46" s="16"/>
      <c r="L46" s="21">
        <f>+D46-H46</f>
        <v>-11543.380000000019</v>
      </c>
      <c r="M46" s="16"/>
      <c r="N46" s="19">
        <f>IF(H46=0,0,L46/H46)</f>
        <v>-0.6930047427507966</v>
      </c>
      <c r="O46" s="26"/>
      <c r="P46" s="21">
        <f>P12-P32</f>
        <v>59377.679999999935</v>
      </c>
      <c r="Q46" s="13"/>
      <c r="R46" s="19">
        <f>IF(P$12=0,0,P46/P$12)</f>
        <v>4.6558148852201851E-2</v>
      </c>
      <c r="S46" s="13"/>
      <c r="T46" s="21">
        <f>T12-T32</f>
        <v>312138</v>
      </c>
      <c r="U46" s="13"/>
      <c r="V46" s="19">
        <f>IF(T$12=0,0,T46/T$12)</f>
        <v>0.21903744726478622</v>
      </c>
      <c r="W46" s="16"/>
      <c r="X46" s="21">
        <f>+P46-T46</f>
        <v>-252760.32000000007</v>
      </c>
      <c r="Y46" s="16"/>
      <c r="Z46" s="19">
        <f>IF(T46=0,0,X46/T46)</f>
        <v>-0.80977106279914679</v>
      </c>
    </row>
    <row r="47" spans="1:26" x14ac:dyDescent="0.25">
      <c r="A47" s="9"/>
      <c r="B47" s="10"/>
      <c r="C47" s="9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6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6" t="s">
        <v>9</v>
      </c>
      <c r="C48" s="10"/>
      <c r="D48" s="20">
        <f>SUM(OSRRefD22x_0)</f>
        <v>13842.730000000001</v>
      </c>
      <c r="E48" s="20"/>
      <c r="F48" s="30">
        <f t="shared" ref="F48:F59" si="13">IF(D$12=0,0,D48/D$12)</f>
        <v>0.1742503488725432</v>
      </c>
      <c r="G48" s="20"/>
      <c r="H48" s="20">
        <f>SUM(OSRRefH22x_0)</f>
        <v>16065.057602846155</v>
      </c>
      <c r="I48" s="20"/>
      <c r="J48" s="30">
        <f t="shared" ref="J48:J59" si="14">IF(H$12=0,0,H48/H$12)</f>
        <v>0.2112516943843433</v>
      </c>
      <c r="K48" s="4"/>
      <c r="L48" s="20">
        <f t="shared" ref="L48:L59" si="15">+D48-H48</f>
        <v>-2222.3276028461532</v>
      </c>
      <c r="M48" s="4"/>
      <c r="N48" s="30">
        <f t="shared" ref="N48:N59" si="16">IF(H48=0,0,L48/H48)</f>
        <v>-0.13833299934464202</v>
      </c>
      <c r="O48" s="10"/>
      <c r="P48" s="20">
        <f>SUM(OSRRefP22x_0)</f>
        <v>80226.430000000008</v>
      </c>
      <c r="Q48" s="20"/>
      <c r="R48" s="30">
        <f t="shared" ref="R48:R59" si="17">IF(P$12=0,0,P48/P$12)</f>
        <v>6.2905692337941743E-2</v>
      </c>
      <c r="S48" s="20"/>
      <c r="T48" s="20">
        <f>SUM(OSRRefT22x_0)</f>
        <v>114267.9058885</v>
      </c>
      <c r="U48" s="20"/>
      <c r="V48" s="30">
        <f t="shared" ref="V48:V59" si="18">IF(T$12=0,0,T48/T$12)</f>
        <v>8.0185528228251202E-2</v>
      </c>
      <c r="W48" s="4"/>
      <c r="X48" s="20">
        <f t="shared" ref="X48:X59" si="19">+P48-T48</f>
        <v>-34041.47588849999</v>
      </c>
      <c r="Y48" s="4"/>
      <c r="Z48" s="30">
        <f t="shared" ref="Z48:Z59" si="20">IF(T48=0,0,X48/T48)</f>
        <v>-0.29790933529242131</v>
      </c>
    </row>
    <row r="49" spans="1:26" s="28" customFormat="1" outlineLevel="1" collapsed="1" x14ac:dyDescent="0.25">
      <c r="A49" s="27"/>
      <c r="B49" s="14" t="str">
        <f>CONCATENATE("     ","*Benefits                                         ")</f>
        <v xml:space="preserve">     *Benefits                                         </v>
      </c>
      <c r="C49" s="14"/>
      <c r="D49" s="1">
        <f>SUM(OSRRefD22_0x_0)</f>
        <v>2984.54</v>
      </c>
      <c r="E49" s="1"/>
      <c r="F49" s="5">
        <f t="shared" si="13"/>
        <v>3.7568972032544161E-2</v>
      </c>
      <c r="G49" s="1"/>
      <c r="H49" s="1">
        <f>SUM(OSRRefH22_0x_0)</f>
        <v>2418.7426028461541</v>
      </c>
      <c r="I49" s="1"/>
      <c r="J49" s="5">
        <f t="shared" si="14"/>
        <v>3.1805891131092008E-2</v>
      </c>
      <c r="K49" s="1"/>
      <c r="L49" s="1">
        <f t="shared" si="15"/>
        <v>565.79739715384585</v>
      </c>
      <c r="M49" s="1"/>
      <c r="N49" s="5">
        <f t="shared" si="16"/>
        <v>0.23392211990150066</v>
      </c>
      <c r="O49" s="14"/>
      <c r="P49" s="1">
        <f>SUM(OSRRefP22_0x_0)</f>
        <v>17818.880000000005</v>
      </c>
      <c r="Q49" s="1"/>
      <c r="R49" s="5">
        <f t="shared" si="17"/>
        <v>1.3971816807587021E-2</v>
      </c>
      <c r="S49" s="1"/>
      <c r="T49" s="1">
        <f>SUM(OSRRefT22_0x_0)</f>
        <v>15697.893388499997</v>
      </c>
      <c r="U49" s="1"/>
      <c r="V49" s="5">
        <f t="shared" si="18"/>
        <v>1.101572540111042E-2</v>
      </c>
      <c r="W49" s="1"/>
      <c r="X49" s="1">
        <f t="shared" si="19"/>
        <v>2120.9866115000077</v>
      </c>
      <c r="Y49" s="1"/>
      <c r="Z49" s="5">
        <f t="shared" si="20"/>
        <v>0.13511281794369973</v>
      </c>
    </row>
    <row r="50" spans="1:26" s="24" customFormat="1" hidden="1" outlineLevel="2" x14ac:dyDescent="0.25">
      <c r="A50" s="29"/>
      <c r="B50" s="11" t="str">
        <f>CONCATENATE("          ", "6111", " - ", "F.I.C.A.")</f>
        <v xml:space="preserve">          6111 - F.I.C.A.</v>
      </c>
      <c r="C50" s="11"/>
      <c r="D50" s="7">
        <v>443.32</v>
      </c>
      <c r="E50" s="2"/>
      <c r="F50" s="6">
        <f t="shared" si="13"/>
        <v>5.5804501469129165E-3</v>
      </c>
      <c r="G50" s="2"/>
      <c r="H50" s="7">
        <v>425.68281899999999</v>
      </c>
      <c r="I50" s="2"/>
      <c r="J50" s="6">
        <f t="shared" si="14"/>
        <v>5.5976280326640107E-3</v>
      </c>
      <c r="K50" s="2"/>
      <c r="L50" s="7">
        <f t="shared" si="15"/>
        <v>17.637180999999998</v>
      </c>
      <c r="M50" s="2"/>
      <c r="N50" s="6">
        <f t="shared" si="16"/>
        <v>4.143268229954096E-2</v>
      </c>
      <c r="O50" s="11"/>
      <c r="P50" s="7">
        <v>3390.36</v>
      </c>
      <c r="Q50" s="2"/>
      <c r="R50" s="6">
        <f t="shared" si="17"/>
        <v>2.6583875547604966E-3</v>
      </c>
      <c r="S50" s="2"/>
      <c r="T50" s="7">
        <v>3194.2818434999999</v>
      </c>
      <c r="U50" s="2"/>
      <c r="V50" s="6">
        <f t="shared" si="18"/>
        <v>2.2415320814655549E-3</v>
      </c>
      <c r="W50" s="2"/>
      <c r="X50" s="7">
        <f t="shared" si="19"/>
        <v>196.0781565000002</v>
      </c>
      <c r="Y50" s="2"/>
      <c r="Z50" s="6">
        <f t="shared" si="20"/>
        <v>6.1384112644598643E-2</v>
      </c>
    </row>
    <row r="51" spans="1:26" s="24" customFormat="1" hidden="1" outlineLevel="2" x14ac:dyDescent="0.25">
      <c r="A51" s="29"/>
      <c r="B51" s="11" t="str">
        <f>CONCATENATE("          ", "6112", " - ", "COMPENSATION INSURANCE")</f>
        <v xml:space="preserve">          6112 - COMPENSATION INSURANCE</v>
      </c>
      <c r="C51" s="11"/>
      <c r="D51" s="7">
        <v>256.8</v>
      </c>
      <c r="E51" s="2"/>
      <c r="F51" s="6">
        <f t="shared" si="13"/>
        <v>3.2325624779555107E-3</v>
      </c>
      <c r="G51" s="2"/>
      <c r="H51" s="7">
        <v>194.16305</v>
      </c>
      <c r="I51" s="2"/>
      <c r="J51" s="6">
        <f t="shared" si="14"/>
        <v>2.5531980222756978E-3</v>
      </c>
      <c r="K51" s="2"/>
      <c r="L51" s="7">
        <f t="shared" si="15"/>
        <v>62.636950000000013</v>
      </c>
      <c r="M51" s="2"/>
      <c r="N51" s="6">
        <f t="shared" si="16"/>
        <v>0.32259974284499554</v>
      </c>
      <c r="O51" s="11"/>
      <c r="P51" s="7">
        <v>982.53</v>
      </c>
      <c r="Q51" s="2"/>
      <c r="R51" s="6">
        <f t="shared" si="17"/>
        <v>7.7040359259159224E-4</v>
      </c>
      <c r="S51" s="2"/>
      <c r="T51" s="7">
        <v>1190.5480750000002</v>
      </c>
      <c r="U51" s="2"/>
      <c r="V51" s="6">
        <f t="shared" si="18"/>
        <v>8.3544653708938121E-4</v>
      </c>
      <c r="W51" s="2"/>
      <c r="X51" s="7">
        <f t="shared" si="19"/>
        <v>-208.01807500000018</v>
      </c>
      <c r="Y51" s="2"/>
      <c r="Z51" s="6">
        <f t="shared" si="20"/>
        <v>-0.1747246326025097</v>
      </c>
    </row>
    <row r="52" spans="1:26" s="24" customFormat="1" hidden="1" outlineLevel="2" x14ac:dyDescent="0.25">
      <c r="A52" s="29"/>
      <c r="B52" s="11" t="str">
        <f>CONCATENATE("          ", "6113", " - ", "GROUP INSURANCE")</f>
        <v xml:space="preserve">          6113 - GROUP INSURANCE</v>
      </c>
      <c r="C52" s="11"/>
      <c r="D52" s="7">
        <v>1036.33</v>
      </c>
      <c r="E52" s="2"/>
      <c r="F52" s="6">
        <f t="shared" si="13"/>
        <v>1.304517707468705E-2</v>
      </c>
      <c r="G52" s="2"/>
      <c r="H52" s="7">
        <v>946.34615384615404</v>
      </c>
      <c r="I52" s="2"/>
      <c r="J52" s="6">
        <f t="shared" si="14"/>
        <v>1.2444227304774074E-2</v>
      </c>
      <c r="K52" s="2"/>
      <c r="L52" s="7">
        <f t="shared" si="15"/>
        <v>89.983846153845889</v>
      </c>
      <c r="M52" s="2"/>
      <c r="N52" s="6">
        <f t="shared" si="16"/>
        <v>9.5085551717130359E-2</v>
      </c>
      <c r="O52" s="11"/>
      <c r="P52" s="7">
        <v>6214.78</v>
      </c>
      <c r="Q52" s="2"/>
      <c r="R52" s="6">
        <f t="shared" si="17"/>
        <v>4.8730205074311991E-3</v>
      </c>
      <c r="S52" s="2"/>
      <c r="T52" s="7">
        <v>5984.9999999999955</v>
      </c>
      <c r="U52" s="2"/>
      <c r="V52" s="6">
        <f t="shared" si="18"/>
        <v>4.1998703197936313E-3</v>
      </c>
      <c r="W52" s="2"/>
      <c r="X52" s="7">
        <f t="shared" si="19"/>
        <v>229.78000000000429</v>
      </c>
      <c r="Y52" s="2"/>
      <c r="Z52" s="6">
        <f t="shared" si="20"/>
        <v>3.8392648287385873E-2</v>
      </c>
    </row>
    <row r="53" spans="1:26" s="24" customFormat="1" hidden="1" outlineLevel="2" x14ac:dyDescent="0.25">
      <c r="A53" s="29"/>
      <c r="B53" s="11" t="str">
        <f>CONCATENATE("          ", "6114", " - ", "STATE UNEMPLOYMENT INSURANCE")</f>
        <v xml:space="preserve">          6114 - STATE UNEMPLOYMENT INSURANCE</v>
      </c>
      <c r="C53" s="11"/>
      <c r="D53" s="7"/>
      <c r="E53" s="2"/>
      <c r="F53" s="6">
        <f t="shared" si="13"/>
        <v>0</v>
      </c>
      <c r="G53" s="2"/>
      <c r="H53" s="7">
        <v>27.287780000000001</v>
      </c>
      <c r="I53" s="2"/>
      <c r="J53" s="6">
        <f t="shared" si="14"/>
        <v>3.5882783015766569E-4</v>
      </c>
      <c r="K53" s="2"/>
      <c r="L53" s="7">
        <f t="shared" si="15"/>
        <v>-27.287780000000001</v>
      </c>
      <c r="M53" s="2"/>
      <c r="N53" s="6">
        <f t="shared" si="16"/>
        <v>-1</v>
      </c>
      <c r="O53" s="11"/>
      <c r="P53" s="7">
        <v>116.69</v>
      </c>
      <c r="Q53" s="2"/>
      <c r="R53" s="6">
        <f t="shared" si="17"/>
        <v>9.1496845103470527E-5</v>
      </c>
      <c r="S53" s="2"/>
      <c r="T53" s="7">
        <v>167.32026999999999</v>
      </c>
      <c r="U53" s="2"/>
      <c r="V53" s="6">
        <f t="shared" si="18"/>
        <v>1.1741410791526437E-4</v>
      </c>
      <c r="W53" s="2"/>
      <c r="X53" s="7">
        <f t="shared" si="19"/>
        <v>-50.630269999999996</v>
      </c>
      <c r="Y53" s="2"/>
      <c r="Z53" s="6">
        <f t="shared" si="20"/>
        <v>-0.30259495756252364</v>
      </c>
    </row>
    <row r="54" spans="1:26" s="24" customFormat="1" hidden="1" outlineLevel="2" x14ac:dyDescent="0.25">
      <c r="A54" s="29"/>
      <c r="B54" s="11" t="str">
        <f>CONCATENATE("          ", "6115", " - ", "P.E.R.S.")</f>
        <v xml:space="preserve">          6115 - P.E.R.S.</v>
      </c>
      <c r="C54" s="11"/>
      <c r="D54" s="7">
        <v>176.42</v>
      </c>
      <c r="E54" s="2"/>
      <c r="F54" s="6">
        <f t="shared" si="13"/>
        <v>2.2207502817792493E-3</v>
      </c>
      <c r="G54" s="2"/>
      <c r="H54" s="7">
        <v>196.27780000000001</v>
      </c>
      <c r="I54" s="2"/>
      <c r="J54" s="6">
        <f t="shared" si="14"/>
        <v>2.5810064828329852E-3</v>
      </c>
      <c r="K54" s="2"/>
      <c r="L54" s="7">
        <f t="shared" si="15"/>
        <v>-19.857800000000026</v>
      </c>
      <c r="M54" s="2"/>
      <c r="N54" s="6">
        <f t="shared" si="16"/>
        <v>-0.10117191042491827</v>
      </c>
      <c r="O54" s="11"/>
      <c r="P54" s="7">
        <v>1146.73</v>
      </c>
      <c r="Q54" s="2"/>
      <c r="R54" s="6">
        <f t="shared" si="17"/>
        <v>8.9915311668097323E-4</v>
      </c>
      <c r="S54" s="2"/>
      <c r="T54" s="7">
        <v>1275.8056999999999</v>
      </c>
      <c r="U54" s="2"/>
      <c r="V54" s="6">
        <f t="shared" si="18"/>
        <v>8.9527460204737533E-4</v>
      </c>
      <c r="W54" s="2"/>
      <c r="X54" s="7">
        <f t="shared" si="19"/>
        <v>-129.07569999999987</v>
      </c>
      <c r="Y54" s="2"/>
      <c r="Z54" s="6">
        <f t="shared" si="20"/>
        <v>-0.10117191042491806</v>
      </c>
    </row>
    <row r="55" spans="1:26" s="24" customFormat="1" hidden="1" outlineLevel="2" x14ac:dyDescent="0.25">
      <c r="A55" s="29"/>
      <c r="B55" s="11" t="str">
        <f>CONCATENATE("          ", "6116", " - ", "EDUCATIONAL BENEFITS")</f>
        <v xml:space="preserve">          6116 - EDUCATIONAL BENEFITS</v>
      </c>
      <c r="C55" s="11"/>
      <c r="D55" s="7"/>
      <c r="E55" s="2"/>
      <c r="F55" s="6">
        <f t="shared" si="13"/>
        <v>0</v>
      </c>
      <c r="G55" s="2"/>
      <c r="H55" s="7">
        <v>0</v>
      </c>
      <c r="I55" s="2"/>
      <c r="J55" s="6">
        <f t="shared" si="14"/>
        <v>0</v>
      </c>
      <c r="K55" s="2"/>
      <c r="L55" s="7">
        <f t="shared" si="15"/>
        <v>0</v>
      </c>
      <c r="M55" s="2"/>
      <c r="N55" s="6">
        <f t="shared" si="16"/>
        <v>0</v>
      </c>
      <c r="O55" s="11"/>
      <c r="P55" s="7"/>
      <c r="Q55" s="2"/>
      <c r="R55" s="6">
        <f t="shared" si="17"/>
        <v>0</v>
      </c>
      <c r="S55" s="2"/>
      <c r="T55" s="7">
        <v>0</v>
      </c>
      <c r="U55" s="2"/>
      <c r="V55" s="6">
        <f t="shared" si="18"/>
        <v>0</v>
      </c>
      <c r="W55" s="2"/>
      <c r="X55" s="7">
        <f t="shared" si="19"/>
        <v>0</v>
      </c>
      <c r="Y55" s="2"/>
      <c r="Z55" s="6">
        <f t="shared" si="20"/>
        <v>0</v>
      </c>
    </row>
    <row r="56" spans="1:26" s="24" customFormat="1" hidden="1" outlineLevel="2" x14ac:dyDescent="0.25">
      <c r="A56" s="29"/>
      <c r="B56" s="11" t="str">
        <f>CONCATENATE("          ", "6117", " - ", "RETIREMENT STAFF HOURLY")</f>
        <v xml:space="preserve">          6117 - RETIREMENT STAFF HOURLY</v>
      </c>
      <c r="C56" s="11"/>
      <c r="D56" s="7">
        <v>170.96</v>
      </c>
      <c r="E56" s="2"/>
      <c r="F56" s="6">
        <f t="shared" si="13"/>
        <v>2.1520205655423449E-3</v>
      </c>
      <c r="G56" s="2"/>
      <c r="H56" s="7"/>
      <c r="I56" s="2"/>
      <c r="J56" s="6">
        <f t="shared" si="14"/>
        <v>0</v>
      </c>
      <c r="K56" s="2"/>
      <c r="L56" s="7">
        <f t="shared" si="15"/>
        <v>170.96</v>
      </c>
      <c r="M56" s="2"/>
      <c r="N56" s="6">
        <f t="shared" si="16"/>
        <v>0</v>
      </c>
      <c r="O56" s="11"/>
      <c r="P56" s="7">
        <v>1105.04</v>
      </c>
      <c r="Q56" s="2"/>
      <c r="R56" s="6">
        <f t="shared" si="17"/>
        <v>8.6646391047338314E-4</v>
      </c>
      <c r="S56" s="2"/>
      <c r="T56" s="7"/>
      <c r="U56" s="2"/>
      <c r="V56" s="6">
        <f t="shared" si="18"/>
        <v>0</v>
      </c>
      <c r="W56" s="2"/>
      <c r="X56" s="7">
        <f t="shared" si="19"/>
        <v>1105.04</v>
      </c>
      <c r="Y56" s="2"/>
      <c r="Z56" s="6">
        <f t="shared" si="20"/>
        <v>0</v>
      </c>
    </row>
    <row r="57" spans="1:26" s="24" customFormat="1" hidden="1" outlineLevel="2" x14ac:dyDescent="0.25">
      <c r="A57" s="29"/>
      <c r="B57" s="11" t="str">
        <f>CONCATENATE("          ", "6118", " - ", "VACATION")</f>
        <v xml:space="preserve">          6118 - VACATION</v>
      </c>
      <c r="C57" s="11"/>
      <c r="D57" s="7">
        <v>267.04000000000002</v>
      </c>
      <c r="E57" s="2"/>
      <c r="F57" s="6">
        <f t="shared" si="13"/>
        <v>3.3614621655499986E-3</v>
      </c>
      <c r="G57" s="2"/>
      <c r="H57" s="7">
        <v>194.749</v>
      </c>
      <c r="I57" s="2"/>
      <c r="J57" s="6">
        <f t="shared" si="14"/>
        <v>2.5609031256985811E-3</v>
      </c>
      <c r="K57" s="2"/>
      <c r="L57" s="7">
        <f t="shared" si="15"/>
        <v>72.291000000000025</v>
      </c>
      <c r="M57" s="2"/>
      <c r="N57" s="6">
        <f t="shared" si="16"/>
        <v>0.37120087908025218</v>
      </c>
      <c r="O57" s="11"/>
      <c r="P57" s="7">
        <v>1689.54</v>
      </c>
      <c r="Q57" s="2"/>
      <c r="R57" s="6">
        <f t="shared" si="17"/>
        <v>1.3247714429352781E-3</v>
      </c>
      <c r="S57" s="2"/>
      <c r="T57" s="7">
        <v>1265.8685</v>
      </c>
      <c r="U57" s="2"/>
      <c r="V57" s="6">
        <f t="shared" si="18"/>
        <v>8.8830134367780928E-4</v>
      </c>
      <c r="W57" s="2"/>
      <c r="X57" s="7">
        <f t="shared" si="19"/>
        <v>423.67149999999992</v>
      </c>
      <c r="Y57" s="2"/>
      <c r="Z57" s="6">
        <f t="shared" si="20"/>
        <v>0.33468839772851594</v>
      </c>
    </row>
    <row r="58" spans="1:26" s="24" customFormat="1" hidden="1" outlineLevel="2" x14ac:dyDescent="0.25">
      <c r="A58" s="29"/>
      <c r="B58" s="11" t="str">
        <f>CONCATENATE("          ", "6119", " - ", "SICK LEAVE")</f>
        <v xml:space="preserve">          6119 - SICK LEAVE</v>
      </c>
      <c r="C58" s="11"/>
      <c r="D58" s="7">
        <v>267.63</v>
      </c>
      <c r="E58" s="2"/>
      <c r="F58" s="6">
        <f t="shared" si="13"/>
        <v>3.3688890030188212E-3</v>
      </c>
      <c r="G58" s="2"/>
      <c r="H58" s="7">
        <v>259.23599999999999</v>
      </c>
      <c r="I58" s="2"/>
      <c r="J58" s="6">
        <f t="shared" si="14"/>
        <v>3.4088918695017551E-3</v>
      </c>
      <c r="K58" s="2"/>
      <c r="L58" s="7">
        <f t="shared" si="15"/>
        <v>8.3940000000000055</v>
      </c>
      <c r="M58" s="2"/>
      <c r="N58" s="6">
        <f t="shared" si="16"/>
        <v>3.2379762070082883E-2</v>
      </c>
      <c r="O58" s="11"/>
      <c r="P58" s="7">
        <v>1684.29</v>
      </c>
      <c r="Q58" s="2"/>
      <c r="R58" s="6">
        <f t="shared" si="17"/>
        <v>1.3206549082125664E-3</v>
      </c>
      <c r="S58" s="2"/>
      <c r="T58" s="7">
        <v>1569.069</v>
      </c>
      <c r="U58" s="2"/>
      <c r="V58" s="6">
        <f t="shared" si="18"/>
        <v>1.1010670547716421E-3</v>
      </c>
      <c r="W58" s="2"/>
      <c r="X58" s="7">
        <f t="shared" si="19"/>
        <v>115.221</v>
      </c>
      <c r="Y58" s="2"/>
      <c r="Z58" s="6">
        <f t="shared" si="20"/>
        <v>7.3432717108043055E-2</v>
      </c>
    </row>
    <row r="59" spans="1:26" s="24" customFormat="1" hidden="1" outlineLevel="2" x14ac:dyDescent="0.25">
      <c r="A59" s="29"/>
      <c r="B59" s="11" t="str">
        <f>CONCATENATE("          ", "6156", " - ", "EMPLOYEE MEALS")</f>
        <v xml:space="preserve">          6156 - EMPLOYEE MEALS</v>
      </c>
      <c r="C59" s="11"/>
      <c r="D59" s="7">
        <v>366.04</v>
      </c>
      <c r="E59" s="2"/>
      <c r="F59" s="6">
        <f t="shared" si="13"/>
        <v>4.6076603170982682E-3</v>
      </c>
      <c r="G59" s="2"/>
      <c r="H59" s="7">
        <v>175</v>
      </c>
      <c r="I59" s="2"/>
      <c r="J59" s="6">
        <f t="shared" si="14"/>
        <v>2.3012084631872393E-3</v>
      </c>
      <c r="K59" s="2"/>
      <c r="L59" s="7">
        <f t="shared" si="15"/>
        <v>191.04000000000002</v>
      </c>
      <c r="M59" s="2"/>
      <c r="N59" s="6">
        <f t="shared" si="16"/>
        <v>1.0916571428571429</v>
      </c>
      <c r="O59" s="11"/>
      <c r="P59" s="7">
        <v>1488.92</v>
      </c>
      <c r="Q59" s="2"/>
      <c r="R59" s="6">
        <f t="shared" si="17"/>
        <v>1.1674649293980576E-3</v>
      </c>
      <c r="S59" s="2"/>
      <c r="T59" s="7">
        <v>1050</v>
      </c>
      <c r="U59" s="2"/>
      <c r="V59" s="6">
        <f t="shared" si="18"/>
        <v>7.3681935434976047E-4</v>
      </c>
      <c r="W59" s="2"/>
      <c r="X59" s="7">
        <f t="shared" si="19"/>
        <v>438.92000000000007</v>
      </c>
      <c r="Y59" s="2"/>
      <c r="Z59" s="6">
        <f t="shared" si="20"/>
        <v>0.41801904761904768</v>
      </c>
    </row>
    <row r="60" spans="1:26" s="28" customFormat="1" outlineLevel="1" collapsed="1" x14ac:dyDescent="0.25">
      <c r="A60" s="27"/>
      <c r="B60" s="14" t="str">
        <f>CONCATENATE("     ","*Payroll                                          ")</f>
        <v xml:space="preserve">     *Payroll                                          </v>
      </c>
      <c r="C60" s="14"/>
      <c r="D60" s="1">
        <f>SUM(OSRRefD22_1x_0)</f>
        <v>7948.3600000000006</v>
      </c>
      <c r="E60" s="1"/>
      <c r="F60" s="5">
        <f t="shared" ref="F60:F70" si="21">IF(D$12=0,0,D60/D$12)</f>
        <v>0.10005284383676973</v>
      </c>
      <c r="G60" s="1"/>
      <c r="H60" s="1">
        <f>SUM(OSRRefH22_1x_0)</f>
        <v>10041.315000000001</v>
      </c>
      <c r="I60" s="1"/>
      <c r="J60" s="5">
        <f t="shared" ref="J60:J70" si="22">IF(H$12=0,0,H60/H$12)</f>
        <v>0.13204090891159415</v>
      </c>
      <c r="K60" s="1"/>
      <c r="L60" s="1">
        <f t="shared" ref="L60:L70" si="23">+D60-H60</f>
        <v>-2092.9549999999999</v>
      </c>
      <c r="M60" s="1"/>
      <c r="N60" s="5">
        <f t="shared" ref="N60:N70" si="24">IF(H60=0,0,L60/H60)</f>
        <v>-0.20843435346864428</v>
      </c>
      <c r="O60" s="14"/>
      <c r="P60" s="1">
        <f>SUM(OSRRefP22_1x_0)</f>
        <v>47428.14</v>
      </c>
      <c r="Q60" s="1"/>
      <c r="R60" s="5">
        <f t="shared" ref="R60:R70" si="25">IF(P$12=0,0,P60/P$12)</f>
        <v>3.7188492408310181E-2</v>
      </c>
      <c r="S60" s="1"/>
      <c r="T60" s="1">
        <f>SUM(OSRRefT22_1x_0)</f>
        <v>61519.012499999997</v>
      </c>
      <c r="U60" s="1"/>
      <c r="V60" s="5">
        <f t="shared" ref="V60:V70" si="26">IF(T$12=0,0,T60/T$12)</f>
        <v>4.3169903876652226E-2</v>
      </c>
      <c r="W60" s="1"/>
      <c r="X60" s="1">
        <f t="shared" ref="X60:X70" si="27">+P60-T60</f>
        <v>-14090.872499999998</v>
      </c>
      <c r="Y60" s="1"/>
      <c r="Z60" s="5">
        <f t="shared" ref="Z60:Z70" si="28">IF(T60=0,0,X60/T60)</f>
        <v>-0.22904906836727912</v>
      </c>
    </row>
    <row r="61" spans="1:26" s="24" customFormat="1" hidden="1" outlineLevel="2" x14ac:dyDescent="0.25">
      <c r="A61" s="29"/>
      <c r="B61" s="11" t="str">
        <f>CONCATENATE("          ", "6001", " - ", "ADMINISTRATIVE SALARIES")</f>
        <v xml:space="preserve">          6001 - ADMINISTRATIVE SALARIES</v>
      </c>
      <c r="C61" s="11"/>
      <c r="D61" s="7"/>
      <c r="E61" s="2"/>
      <c r="F61" s="6">
        <f t="shared" si="21"/>
        <v>0</v>
      </c>
      <c r="G61" s="2"/>
      <c r="H61" s="7">
        <v>0</v>
      </c>
      <c r="I61" s="2"/>
      <c r="J61" s="6">
        <f t="shared" si="22"/>
        <v>0</v>
      </c>
      <c r="K61" s="2"/>
      <c r="L61" s="7">
        <f t="shared" si="23"/>
        <v>0</v>
      </c>
      <c r="M61" s="2"/>
      <c r="N61" s="6">
        <f t="shared" si="24"/>
        <v>0</v>
      </c>
      <c r="O61" s="11"/>
      <c r="P61" s="7"/>
      <c r="Q61" s="2"/>
      <c r="R61" s="6">
        <f t="shared" si="25"/>
        <v>0</v>
      </c>
      <c r="S61" s="2"/>
      <c r="T61" s="7">
        <v>0</v>
      </c>
      <c r="U61" s="2"/>
      <c r="V61" s="6">
        <f t="shared" si="26"/>
        <v>0</v>
      </c>
      <c r="W61" s="2"/>
      <c r="X61" s="7">
        <f t="shared" si="27"/>
        <v>0</v>
      </c>
      <c r="Y61" s="2"/>
      <c r="Z61" s="6">
        <f t="shared" si="28"/>
        <v>0</v>
      </c>
    </row>
    <row r="62" spans="1:26" s="24" customFormat="1" hidden="1" outlineLevel="2" x14ac:dyDescent="0.25">
      <c r="A62" s="29"/>
      <c r="B62" s="11" t="str">
        <f>CONCATENATE("          ", "6002", " - ", "STAFF SALARIES")</f>
        <v xml:space="preserve">          6002 - STAFF SALARIES</v>
      </c>
      <c r="C62" s="11"/>
      <c r="D62" s="7">
        <v>1939.96</v>
      </c>
      <c r="E62" s="2"/>
      <c r="F62" s="6">
        <f t="shared" si="21"/>
        <v>2.4419945111894752E-2</v>
      </c>
      <c r="G62" s="2"/>
      <c r="H62" s="7">
        <v>2168.1849999999999</v>
      </c>
      <c r="I62" s="2"/>
      <c r="J62" s="6">
        <f t="shared" si="22"/>
        <v>2.8511118124317857E-2</v>
      </c>
      <c r="K62" s="2"/>
      <c r="L62" s="7">
        <f t="shared" si="23"/>
        <v>-228.22499999999991</v>
      </c>
      <c r="M62" s="2"/>
      <c r="N62" s="6">
        <f t="shared" si="24"/>
        <v>-0.10526085181845642</v>
      </c>
      <c r="O62" s="11"/>
      <c r="P62" s="7">
        <v>13237.35</v>
      </c>
      <c r="Q62" s="2"/>
      <c r="R62" s="6">
        <f t="shared" si="25"/>
        <v>1.0379430649845109E-2</v>
      </c>
      <c r="S62" s="2"/>
      <c r="T62" s="7">
        <v>14093.202499999999</v>
      </c>
      <c r="U62" s="2"/>
      <c r="V62" s="6">
        <f t="shared" si="26"/>
        <v>9.8896613016861232E-3</v>
      </c>
      <c r="W62" s="2"/>
      <c r="X62" s="7">
        <f t="shared" si="27"/>
        <v>-855.85249999999905</v>
      </c>
      <c r="Y62" s="2"/>
      <c r="Z62" s="6">
        <f t="shared" si="28"/>
        <v>-6.0728035377338764E-2</v>
      </c>
    </row>
    <row r="63" spans="1:26" s="24" customFormat="1" hidden="1" outlineLevel="2" x14ac:dyDescent="0.25">
      <c r="A63" s="29"/>
      <c r="B63" s="11" t="str">
        <f>CONCATENATE("          ", "6003", " - ", "STAFF HOURLY-9 MONTH")</f>
        <v xml:space="preserve">          6003 - STAFF HOURLY-9 MONTH</v>
      </c>
      <c r="C63" s="11"/>
      <c r="D63" s="7"/>
      <c r="E63" s="2"/>
      <c r="F63" s="6">
        <f t="shared" si="21"/>
        <v>0</v>
      </c>
      <c r="G63" s="2"/>
      <c r="H63" s="7">
        <v>0</v>
      </c>
      <c r="I63" s="2"/>
      <c r="J63" s="6">
        <f t="shared" si="22"/>
        <v>0</v>
      </c>
      <c r="K63" s="2"/>
      <c r="L63" s="7">
        <f t="shared" si="23"/>
        <v>0</v>
      </c>
      <c r="M63" s="2"/>
      <c r="N63" s="6">
        <f t="shared" si="24"/>
        <v>0</v>
      </c>
      <c r="O63" s="11"/>
      <c r="P63" s="7"/>
      <c r="Q63" s="2"/>
      <c r="R63" s="6">
        <f t="shared" si="25"/>
        <v>0</v>
      </c>
      <c r="S63" s="2"/>
      <c r="T63" s="7">
        <v>0</v>
      </c>
      <c r="U63" s="2"/>
      <c r="V63" s="6">
        <f t="shared" si="26"/>
        <v>0</v>
      </c>
      <c r="W63" s="2"/>
      <c r="X63" s="7">
        <f t="shared" si="27"/>
        <v>0</v>
      </c>
      <c r="Y63" s="2"/>
      <c r="Z63" s="6">
        <f t="shared" si="28"/>
        <v>0</v>
      </c>
    </row>
    <row r="64" spans="1:26" s="24" customFormat="1" hidden="1" outlineLevel="2" x14ac:dyDescent="0.25">
      <c r="A64" s="29"/>
      <c r="B64" s="11" t="str">
        <f>CONCATENATE("          ", "6004", " - ", "STAFF HOURLY")</f>
        <v xml:space="preserve">          6004 - STAFF HOURLY</v>
      </c>
      <c r="C64" s="11"/>
      <c r="D64" s="7">
        <v>3520</v>
      </c>
      <c r="E64" s="2"/>
      <c r="F64" s="6">
        <f t="shared" si="21"/>
        <v>4.4309267610605128E-2</v>
      </c>
      <c r="G64" s="2"/>
      <c r="H64" s="7">
        <v>3088.12</v>
      </c>
      <c r="I64" s="2"/>
      <c r="J64" s="6">
        <f t="shared" si="22"/>
        <v>4.06080450247873E-2</v>
      </c>
      <c r="K64" s="2"/>
      <c r="L64" s="7">
        <f t="shared" si="23"/>
        <v>431.88000000000011</v>
      </c>
      <c r="M64" s="2"/>
      <c r="N64" s="6">
        <f t="shared" si="24"/>
        <v>0.13985207828711324</v>
      </c>
      <c r="O64" s="11"/>
      <c r="P64" s="7">
        <v>21336.16</v>
      </c>
      <c r="Q64" s="2"/>
      <c r="R64" s="6">
        <f t="shared" si="25"/>
        <v>1.6729722569396383E-2</v>
      </c>
      <c r="S64" s="2"/>
      <c r="T64" s="7">
        <v>20072.78</v>
      </c>
      <c r="U64" s="2"/>
      <c r="V64" s="6">
        <f t="shared" si="26"/>
        <v>1.4085726475814079E-2</v>
      </c>
      <c r="W64" s="2"/>
      <c r="X64" s="7">
        <f t="shared" si="27"/>
        <v>1263.380000000001</v>
      </c>
      <c r="Y64" s="2"/>
      <c r="Z64" s="6">
        <f t="shared" si="28"/>
        <v>6.2939961480173709E-2</v>
      </c>
    </row>
    <row r="65" spans="1:26" s="24" customFormat="1" hidden="1" outlineLevel="2" x14ac:dyDescent="0.25">
      <c r="A65" s="29"/>
      <c r="B65" s="11" t="str">
        <f>CONCATENATE("          ", "6005", " - ", "TEMPORARY WAGES-HOURLY")</f>
        <v xml:space="preserve">          6005 - TEMPORARY WAGES-HOURLY</v>
      </c>
      <c r="C65" s="11"/>
      <c r="D65" s="7"/>
      <c r="E65" s="2"/>
      <c r="F65" s="6">
        <f t="shared" si="21"/>
        <v>0</v>
      </c>
      <c r="G65" s="2"/>
      <c r="H65" s="7">
        <v>0</v>
      </c>
      <c r="I65" s="2"/>
      <c r="J65" s="6">
        <f t="shared" si="22"/>
        <v>0</v>
      </c>
      <c r="K65" s="2"/>
      <c r="L65" s="7">
        <f t="shared" si="23"/>
        <v>0</v>
      </c>
      <c r="M65" s="2"/>
      <c r="N65" s="6">
        <f t="shared" si="24"/>
        <v>0</v>
      </c>
      <c r="O65" s="11"/>
      <c r="P65" s="7"/>
      <c r="Q65" s="2"/>
      <c r="R65" s="6">
        <f t="shared" si="25"/>
        <v>0</v>
      </c>
      <c r="S65" s="2"/>
      <c r="T65" s="7">
        <v>0</v>
      </c>
      <c r="U65" s="2"/>
      <c r="V65" s="6">
        <f t="shared" si="26"/>
        <v>0</v>
      </c>
      <c r="W65" s="2"/>
      <c r="X65" s="7">
        <f t="shared" si="27"/>
        <v>0</v>
      </c>
      <c r="Y65" s="2"/>
      <c r="Z65" s="6">
        <f t="shared" si="28"/>
        <v>0</v>
      </c>
    </row>
    <row r="66" spans="1:26" s="24" customFormat="1" hidden="1" outlineLevel="2" x14ac:dyDescent="0.25">
      <c r="A66" s="29"/>
      <c r="B66" s="11" t="str">
        <f>CONCATENATE("          ", "6006", " - ", "TEMPORARY PART TIME")</f>
        <v xml:space="preserve">          6006 - TEMPORARY PART TIME</v>
      </c>
      <c r="C66" s="11"/>
      <c r="D66" s="7"/>
      <c r="E66" s="2"/>
      <c r="F66" s="6">
        <f t="shared" si="21"/>
        <v>0</v>
      </c>
      <c r="G66" s="2"/>
      <c r="H66" s="7">
        <v>0</v>
      </c>
      <c r="I66" s="2"/>
      <c r="J66" s="6">
        <f t="shared" si="22"/>
        <v>0</v>
      </c>
      <c r="K66" s="2"/>
      <c r="L66" s="7">
        <f t="shared" si="23"/>
        <v>0</v>
      </c>
      <c r="M66" s="2"/>
      <c r="N66" s="6">
        <f t="shared" si="24"/>
        <v>0</v>
      </c>
      <c r="O66" s="11"/>
      <c r="P66" s="7"/>
      <c r="Q66" s="2"/>
      <c r="R66" s="6">
        <f t="shared" si="25"/>
        <v>0</v>
      </c>
      <c r="S66" s="2"/>
      <c r="T66" s="7">
        <v>0</v>
      </c>
      <c r="U66" s="2"/>
      <c r="V66" s="6">
        <f t="shared" si="26"/>
        <v>0</v>
      </c>
      <c r="W66" s="2"/>
      <c r="X66" s="7">
        <f t="shared" si="27"/>
        <v>0</v>
      </c>
      <c r="Y66" s="2"/>
      <c r="Z66" s="6">
        <f t="shared" si="28"/>
        <v>0</v>
      </c>
    </row>
    <row r="67" spans="1:26" s="24" customFormat="1" hidden="1" outlineLevel="2" x14ac:dyDescent="0.25">
      <c r="A67" s="29"/>
      <c r="B67" s="11" t="str">
        <f>CONCATENATE("          ", "6007", " - ", "STUDENT HOURLY")</f>
        <v xml:space="preserve">          6007 - STUDENT HOURLY</v>
      </c>
      <c r="C67" s="11"/>
      <c r="D67" s="7">
        <v>2488.4</v>
      </c>
      <c r="E67" s="2"/>
      <c r="F67" s="6">
        <f t="shared" si="21"/>
        <v>3.1323631114269834E-2</v>
      </c>
      <c r="G67" s="2"/>
      <c r="H67" s="7">
        <v>0</v>
      </c>
      <c r="I67" s="2"/>
      <c r="J67" s="6">
        <f t="shared" si="22"/>
        <v>0</v>
      </c>
      <c r="K67" s="2"/>
      <c r="L67" s="7">
        <f t="shared" si="23"/>
        <v>2488.4</v>
      </c>
      <c r="M67" s="2"/>
      <c r="N67" s="6">
        <f t="shared" si="24"/>
        <v>0</v>
      </c>
      <c r="O67" s="11"/>
      <c r="P67" s="7">
        <v>12854.63</v>
      </c>
      <c r="Q67" s="2"/>
      <c r="R67" s="6">
        <f t="shared" si="25"/>
        <v>1.0079339189068689E-2</v>
      </c>
      <c r="S67" s="2"/>
      <c r="T67" s="7">
        <v>5416.48</v>
      </c>
      <c r="U67" s="2"/>
      <c r="V67" s="6">
        <f t="shared" si="26"/>
        <v>3.8009212347127523E-3</v>
      </c>
      <c r="W67" s="2"/>
      <c r="X67" s="7">
        <f t="shared" si="27"/>
        <v>7438.15</v>
      </c>
      <c r="Y67" s="2"/>
      <c r="Z67" s="6">
        <f t="shared" si="28"/>
        <v>1.3732442471863646</v>
      </c>
    </row>
    <row r="68" spans="1:26" s="24" customFormat="1" hidden="1" outlineLevel="2" x14ac:dyDescent="0.25">
      <c r="A68" s="29"/>
      <c r="B68" s="11" t="str">
        <f>CONCATENATE("          ", "6008", " - ", "STUDENT HOURLY-FICA EXEMPT")</f>
        <v xml:space="preserve">          6008 - STUDENT HOURLY-FICA EXEMPT</v>
      </c>
      <c r="C68" s="11"/>
      <c r="D68" s="7"/>
      <c r="E68" s="2"/>
      <c r="F68" s="6">
        <f t="shared" si="21"/>
        <v>0</v>
      </c>
      <c r="G68" s="2"/>
      <c r="H68" s="7">
        <v>4785.01</v>
      </c>
      <c r="I68" s="2"/>
      <c r="J68" s="6">
        <f t="shared" si="22"/>
        <v>6.292174576248899E-2</v>
      </c>
      <c r="K68" s="2"/>
      <c r="L68" s="7">
        <f t="shared" si="23"/>
        <v>-4785.01</v>
      </c>
      <c r="M68" s="2"/>
      <c r="N68" s="6">
        <f t="shared" si="24"/>
        <v>-1</v>
      </c>
      <c r="O68" s="11"/>
      <c r="P68" s="7"/>
      <c r="Q68" s="2"/>
      <c r="R68" s="6">
        <f t="shared" si="25"/>
        <v>0</v>
      </c>
      <c r="S68" s="2"/>
      <c r="T68" s="7">
        <v>21936.550000000003</v>
      </c>
      <c r="U68" s="2"/>
      <c r="V68" s="6">
        <f t="shared" si="26"/>
        <v>1.5393594864439275E-2</v>
      </c>
      <c r="W68" s="2"/>
      <c r="X68" s="7">
        <f t="shared" si="27"/>
        <v>-21936.550000000003</v>
      </c>
      <c r="Y68" s="2"/>
      <c r="Z68" s="6">
        <f t="shared" si="28"/>
        <v>-1</v>
      </c>
    </row>
    <row r="69" spans="1:26" s="24" customFormat="1" hidden="1" outlineLevel="2" x14ac:dyDescent="0.25">
      <c r="A69" s="29"/>
      <c r="B69" s="11" t="str">
        <f>CONCATENATE("          ", "6009", " - ", "TEMPORARY-SEASONAL")</f>
        <v xml:space="preserve">          6009 - TEMPORARY-SEASONAL</v>
      </c>
      <c r="C69" s="11"/>
      <c r="D69" s="7"/>
      <c r="E69" s="2"/>
      <c r="F69" s="6">
        <f t="shared" si="21"/>
        <v>0</v>
      </c>
      <c r="G69" s="2"/>
      <c r="H69" s="7">
        <v>0</v>
      </c>
      <c r="I69" s="2"/>
      <c r="J69" s="6">
        <f t="shared" si="22"/>
        <v>0</v>
      </c>
      <c r="K69" s="2"/>
      <c r="L69" s="7">
        <f t="shared" si="23"/>
        <v>0</v>
      </c>
      <c r="M69" s="2"/>
      <c r="N69" s="6">
        <f t="shared" si="24"/>
        <v>0</v>
      </c>
      <c r="O69" s="11"/>
      <c r="P69" s="7"/>
      <c r="Q69" s="2"/>
      <c r="R69" s="6">
        <f t="shared" si="25"/>
        <v>0</v>
      </c>
      <c r="S69" s="2"/>
      <c r="T69" s="7">
        <v>0</v>
      </c>
      <c r="U69" s="2"/>
      <c r="V69" s="6">
        <f t="shared" si="26"/>
        <v>0</v>
      </c>
      <c r="W69" s="2"/>
      <c r="X69" s="7">
        <f t="shared" si="27"/>
        <v>0</v>
      </c>
      <c r="Y69" s="2"/>
      <c r="Z69" s="6">
        <f t="shared" si="28"/>
        <v>0</v>
      </c>
    </row>
    <row r="70" spans="1:26" s="24" customFormat="1" hidden="1" outlineLevel="2" x14ac:dyDescent="0.25">
      <c r="A70" s="29"/>
      <c r="B70" s="11" t="str">
        <f>CONCATENATE("          ", "6010", " - ", "GRATUITY")</f>
        <v xml:space="preserve">          6010 - GRATUITY</v>
      </c>
      <c r="C70" s="11"/>
      <c r="D70" s="7"/>
      <c r="E70" s="2"/>
      <c r="F70" s="6">
        <f t="shared" si="21"/>
        <v>0</v>
      </c>
      <c r="G70" s="2"/>
      <c r="H70" s="7">
        <v>0</v>
      </c>
      <c r="I70" s="2"/>
      <c r="J70" s="6">
        <f t="shared" si="22"/>
        <v>0</v>
      </c>
      <c r="K70" s="2"/>
      <c r="L70" s="7">
        <f t="shared" si="23"/>
        <v>0</v>
      </c>
      <c r="M70" s="2"/>
      <c r="N70" s="6">
        <f t="shared" si="24"/>
        <v>0</v>
      </c>
      <c r="O70" s="11"/>
      <c r="P70" s="7"/>
      <c r="Q70" s="2"/>
      <c r="R70" s="6">
        <f t="shared" si="25"/>
        <v>0</v>
      </c>
      <c r="S70" s="2"/>
      <c r="T70" s="7">
        <v>0</v>
      </c>
      <c r="U70" s="2"/>
      <c r="V70" s="6">
        <f t="shared" si="26"/>
        <v>0</v>
      </c>
      <c r="W70" s="2"/>
      <c r="X70" s="7">
        <f t="shared" si="27"/>
        <v>0</v>
      </c>
      <c r="Y70" s="2"/>
      <c r="Z70" s="6">
        <f t="shared" si="28"/>
        <v>0</v>
      </c>
    </row>
    <row r="71" spans="1:26" s="28" customFormat="1" outlineLevel="1" collapsed="1" x14ac:dyDescent="0.25">
      <c r="A71" s="27"/>
      <c r="B71" s="14" t="str">
        <f>CONCATENATE("     ","Advertising/Promo                                 ")</f>
        <v xml:space="preserve">     Advertising/Promo                                 </v>
      </c>
      <c r="C71" s="14"/>
      <c r="D71" s="1">
        <f>SUM(OSRRefD22_2x_0)</f>
        <v>0</v>
      </c>
      <c r="E71" s="1"/>
      <c r="F71" s="5">
        <f t="shared" ref="F71:F81" si="29">IF(D$12=0,0,D71/D$12)</f>
        <v>0</v>
      </c>
      <c r="G71" s="1"/>
      <c r="H71" s="1">
        <f>SUM(OSRRefH22_2x_0)</f>
        <v>200</v>
      </c>
      <c r="I71" s="1"/>
      <c r="J71" s="5">
        <f t="shared" ref="J71:J81" si="30">IF(H$12=0,0,H71/H$12)</f>
        <v>2.6299525293568453E-3</v>
      </c>
      <c r="K71" s="1"/>
      <c r="L71" s="1">
        <f t="shared" ref="L71:L81" si="31">+D71-H71</f>
        <v>-200</v>
      </c>
      <c r="M71" s="1"/>
      <c r="N71" s="5">
        <f t="shared" ref="N71:N81" si="32">IF(H71=0,0,L71/H71)</f>
        <v>-1</v>
      </c>
      <c r="O71" s="14"/>
      <c r="P71" s="1">
        <f>SUM(OSRRefP22_2x_0)</f>
        <v>248.88</v>
      </c>
      <c r="Q71" s="1"/>
      <c r="R71" s="5">
        <f t="shared" ref="R71:R81" si="33">IF(P$12=0,0,P71/P$12)</f>
        <v>1.9514726891208968E-4</v>
      </c>
      <c r="S71" s="1"/>
      <c r="T71" s="1">
        <f>SUM(OSRRefT22_2x_0)</f>
        <v>1200</v>
      </c>
      <c r="U71" s="1"/>
      <c r="V71" s="5">
        <f t="shared" ref="V71:V81" si="34">IF(T$12=0,0,T71/T$12)</f>
        <v>8.4207926211401195E-4</v>
      </c>
      <c r="W71" s="1"/>
      <c r="X71" s="1">
        <f t="shared" ref="X71:X81" si="35">+P71-T71</f>
        <v>-951.12</v>
      </c>
      <c r="Y71" s="1"/>
      <c r="Z71" s="5">
        <f t="shared" ref="Z71:Z81" si="36">IF(T71=0,0,X71/T71)</f>
        <v>-0.79259999999999997</v>
      </c>
    </row>
    <row r="72" spans="1:26" s="24" customFormat="1" hidden="1" outlineLevel="2" x14ac:dyDescent="0.25">
      <c r="A72" s="29"/>
      <c r="B72" s="11" t="str">
        <f>CONCATENATE("          ", "6362", " - ", "ADVERTISING EXPENSE")</f>
        <v xml:space="preserve">          6362 - ADVERTISING EXPENSE</v>
      </c>
      <c r="C72" s="11"/>
      <c r="D72" s="7"/>
      <c r="E72" s="2"/>
      <c r="F72" s="6">
        <f t="shared" si="29"/>
        <v>0</v>
      </c>
      <c r="G72" s="2"/>
      <c r="H72" s="7">
        <v>200</v>
      </c>
      <c r="I72" s="2"/>
      <c r="J72" s="6">
        <f t="shared" si="30"/>
        <v>2.6299525293568453E-3</v>
      </c>
      <c r="K72" s="2"/>
      <c r="L72" s="7">
        <f t="shared" si="31"/>
        <v>-200</v>
      </c>
      <c r="M72" s="2"/>
      <c r="N72" s="6">
        <f t="shared" si="32"/>
        <v>-1</v>
      </c>
      <c r="O72" s="11"/>
      <c r="P72" s="7">
        <v>248.88</v>
      </c>
      <c r="Q72" s="2"/>
      <c r="R72" s="6">
        <f t="shared" si="33"/>
        <v>1.9514726891208968E-4</v>
      </c>
      <c r="S72" s="2"/>
      <c r="T72" s="7">
        <v>1200</v>
      </c>
      <c r="U72" s="2"/>
      <c r="V72" s="6">
        <f t="shared" si="34"/>
        <v>8.4207926211401195E-4</v>
      </c>
      <c r="W72" s="2"/>
      <c r="X72" s="7">
        <f t="shared" si="35"/>
        <v>-951.12</v>
      </c>
      <c r="Y72" s="2"/>
      <c r="Z72" s="6">
        <f t="shared" si="36"/>
        <v>-0.79259999999999997</v>
      </c>
    </row>
    <row r="73" spans="1:26" s="28" customFormat="1" outlineLevel="1" collapsed="1" x14ac:dyDescent="0.25">
      <c r="A73" s="27"/>
      <c r="B73" s="14" t="str">
        <f>CONCATENATE("     ","Depreciation                                      ")</f>
        <v xml:space="preserve">     Depreciation                                      </v>
      </c>
      <c r="C73" s="14"/>
      <c r="D73" s="1">
        <f>SUM(OSRRefD22_3x_0)</f>
        <v>280.44</v>
      </c>
      <c r="E73" s="1"/>
      <c r="F73" s="5">
        <f t="shared" si="29"/>
        <v>3.5301394911130975E-3</v>
      </c>
      <c r="G73" s="1"/>
      <c r="H73" s="1">
        <f>SUM(OSRRefH22_3x_0)</f>
        <v>300</v>
      </c>
      <c r="I73" s="1"/>
      <c r="J73" s="5">
        <f t="shared" si="30"/>
        <v>3.9449287940352675E-3</v>
      </c>
      <c r="K73" s="1"/>
      <c r="L73" s="1">
        <f t="shared" si="31"/>
        <v>-19.560000000000002</v>
      </c>
      <c r="M73" s="1"/>
      <c r="N73" s="5">
        <f t="shared" si="32"/>
        <v>-6.5200000000000008E-2</v>
      </c>
      <c r="O73" s="14"/>
      <c r="P73" s="1">
        <f>SUM(OSRRefP22_3x_0)</f>
        <v>1682.64</v>
      </c>
      <c r="Q73" s="1"/>
      <c r="R73" s="5">
        <f t="shared" si="33"/>
        <v>1.3193611401568573E-3</v>
      </c>
      <c r="S73" s="1"/>
      <c r="T73" s="1">
        <f>SUM(OSRRefT22_3x_0)</f>
        <v>1800</v>
      </c>
      <c r="U73" s="1"/>
      <c r="V73" s="5">
        <f t="shared" si="34"/>
        <v>1.263118893171018E-3</v>
      </c>
      <c r="W73" s="1"/>
      <c r="X73" s="1">
        <f t="shared" si="35"/>
        <v>-117.3599999999999</v>
      </c>
      <c r="Y73" s="1"/>
      <c r="Z73" s="5">
        <f t="shared" si="36"/>
        <v>-6.5199999999999939E-2</v>
      </c>
    </row>
    <row r="74" spans="1:26" s="24" customFormat="1" hidden="1" outlineLevel="2" x14ac:dyDescent="0.25">
      <c r="A74" s="29"/>
      <c r="B74" s="11" t="str">
        <f>CONCATENATE("          ", "6322", " - ", "EQUIPMENT DEPRECIATION EXPENSE")</f>
        <v xml:space="preserve">          6322 - EQUIPMENT DEPRECIATION EXPENSE</v>
      </c>
      <c r="C74" s="11"/>
      <c r="D74" s="7">
        <v>280.44</v>
      </c>
      <c r="E74" s="2"/>
      <c r="F74" s="6">
        <f t="shared" si="29"/>
        <v>3.5301394911130975E-3</v>
      </c>
      <c r="G74" s="2"/>
      <c r="H74" s="7">
        <v>300</v>
      </c>
      <c r="I74" s="2"/>
      <c r="J74" s="6">
        <f t="shared" si="30"/>
        <v>3.9449287940352675E-3</v>
      </c>
      <c r="K74" s="2"/>
      <c r="L74" s="7">
        <f t="shared" si="31"/>
        <v>-19.560000000000002</v>
      </c>
      <c r="M74" s="2"/>
      <c r="N74" s="6">
        <f t="shared" si="32"/>
        <v>-6.5200000000000008E-2</v>
      </c>
      <c r="O74" s="11"/>
      <c r="P74" s="7">
        <v>1682.64</v>
      </c>
      <c r="Q74" s="2"/>
      <c r="R74" s="6">
        <f t="shared" si="33"/>
        <v>1.3193611401568573E-3</v>
      </c>
      <c r="S74" s="2"/>
      <c r="T74" s="7">
        <v>1800</v>
      </c>
      <c r="U74" s="2"/>
      <c r="V74" s="6">
        <f t="shared" si="34"/>
        <v>1.263118893171018E-3</v>
      </c>
      <c r="W74" s="2"/>
      <c r="X74" s="7">
        <f t="shared" si="35"/>
        <v>-117.3599999999999</v>
      </c>
      <c r="Y74" s="2"/>
      <c r="Z74" s="6">
        <f t="shared" si="36"/>
        <v>-6.5199999999999939E-2</v>
      </c>
    </row>
    <row r="75" spans="1:26" s="28" customFormat="1" outlineLevel="1" collapsed="1" x14ac:dyDescent="0.25">
      <c r="A75" s="27"/>
      <c r="B75" s="14" t="str">
        <f>CONCATENATE("     ","Discounts and Markdowns                           ")</f>
        <v xml:space="preserve">     Discounts and Markdowns                           </v>
      </c>
      <c r="C75" s="14"/>
      <c r="D75" s="1">
        <f>SUM(OSRRefD22_4x_0)</f>
        <v>0</v>
      </c>
      <c r="E75" s="1"/>
      <c r="F75" s="5">
        <f t="shared" si="29"/>
        <v>0</v>
      </c>
      <c r="G75" s="1"/>
      <c r="H75" s="1">
        <f>SUM(OSRRefH22_4x_0)</f>
        <v>1210</v>
      </c>
      <c r="I75" s="1"/>
      <c r="J75" s="5">
        <f t="shared" si="30"/>
        <v>1.5911212802608914E-2</v>
      </c>
      <c r="K75" s="1"/>
      <c r="L75" s="1">
        <f t="shared" si="31"/>
        <v>-1210</v>
      </c>
      <c r="M75" s="1"/>
      <c r="N75" s="5">
        <f t="shared" si="32"/>
        <v>-1</v>
      </c>
      <c r="O75" s="14"/>
      <c r="P75" s="1">
        <f>SUM(OSRRefP22_4x_0)</f>
        <v>0</v>
      </c>
      <c r="Q75" s="1"/>
      <c r="R75" s="5">
        <f t="shared" si="33"/>
        <v>0</v>
      </c>
      <c r="S75" s="1"/>
      <c r="T75" s="1">
        <f>SUM(OSRRefT22_4x_0)</f>
        <v>22666</v>
      </c>
      <c r="U75" s="1"/>
      <c r="V75" s="5">
        <f t="shared" si="34"/>
        <v>1.5905473795896827E-2</v>
      </c>
      <c r="W75" s="1"/>
      <c r="X75" s="1">
        <f t="shared" si="35"/>
        <v>-22666</v>
      </c>
      <c r="Y75" s="1"/>
      <c r="Z75" s="5">
        <f t="shared" si="36"/>
        <v>-1</v>
      </c>
    </row>
    <row r="76" spans="1:26" s="24" customFormat="1" hidden="1" outlineLevel="2" x14ac:dyDescent="0.25">
      <c r="A76" s="29"/>
      <c r="B76" s="11" t="str">
        <f>CONCATENATE("          ", "6382", " - ", "DISCOUNTS/MARK DOWNS")</f>
        <v xml:space="preserve">          6382 - DISCOUNTS/MARK DOWNS</v>
      </c>
      <c r="C76" s="11"/>
      <c r="D76" s="7"/>
      <c r="E76" s="2"/>
      <c r="F76" s="6">
        <f t="shared" si="29"/>
        <v>0</v>
      </c>
      <c r="G76" s="2"/>
      <c r="H76" s="7">
        <v>1210</v>
      </c>
      <c r="I76" s="2"/>
      <c r="J76" s="6">
        <f t="shared" si="30"/>
        <v>1.5911212802608914E-2</v>
      </c>
      <c r="K76" s="2"/>
      <c r="L76" s="7">
        <f t="shared" si="31"/>
        <v>-1210</v>
      </c>
      <c r="M76" s="2"/>
      <c r="N76" s="6">
        <f t="shared" si="32"/>
        <v>-1</v>
      </c>
      <c r="O76" s="11"/>
      <c r="P76" s="7"/>
      <c r="Q76" s="2"/>
      <c r="R76" s="6">
        <f t="shared" si="33"/>
        <v>0</v>
      </c>
      <c r="S76" s="2"/>
      <c r="T76" s="7">
        <v>22666</v>
      </c>
      <c r="U76" s="2"/>
      <c r="V76" s="6">
        <f t="shared" si="34"/>
        <v>1.5905473795896827E-2</v>
      </c>
      <c r="W76" s="2"/>
      <c r="X76" s="7">
        <f t="shared" si="35"/>
        <v>-22666</v>
      </c>
      <c r="Y76" s="2"/>
      <c r="Z76" s="6">
        <f t="shared" si="36"/>
        <v>-1</v>
      </c>
    </row>
    <row r="77" spans="1:26" s="28" customFormat="1" outlineLevel="1" collapsed="1" x14ac:dyDescent="0.25">
      <c r="A77" s="27"/>
      <c r="B77" s="14" t="str">
        <f>CONCATENATE("     ","Employees' Appreciation                           ")</f>
        <v xml:space="preserve">     Employees' Appreciation                           </v>
      </c>
      <c r="C77" s="14"/>
      <c r="D77" s="1">
        <f>SUM(OSRRefD22_5x_0)</f>
        <v>0</v>
      </c>
      <c r="E77" s="1"/>
      <c r="F77" s="5">
        <f t="shared" si="29"/>
        <v>0</v>
      </c>
      <c r="G77" s="1"/>
      <c r="H77" s="1">
        <f>SUM(OSRRefH22_5x_0)</f>
        <v>20</v>
      </c>
      <c r="I77" s="1"/>
      <c r="J77" s="5">
        <f t="shared" si="30"/>
        <v>2.6299525293568452E-4</v>
      </c>
      <c r="K77" s="1"/>
      <c r="L77" s="1">
        <f t="shared" si="31"/>
        <v>-20</v>
      </c>
      <c r="M77" s="1"/>
      <c r="N77" s="5">
        <f t="shared" si="32"/>
        <v>-1</v>
      </c>
      <c r="O77" s="14"/>
      <c r="P77" s="1">
        <f>SUM(OSRRefP22_5x_0)</f>
        <v>0</v>
      </c>
      <c r="Q77" s="1"/>
      <c r="R77" s="5">
        <f t="shared" si="33"/>
        <v>0</v>
      </c>
      <c r="S77" s="1"/>
      <c r="T77" s="1">
        <f>SUM(OSRRefT22_5x_0)</f>
        <v>120</v>
      </c>
      <c r="U77" s="1"/>
      <c r="V77" s="5">
        <f t="shared" si="34"/>
        <v>8.4207926211401197E-5</v>
      </c>
      <c r="W77" s="1"/>
      <c r="X77" s="1">
        <f t="shared" si="35"/>
        <v>-120</v>
      </c>
      <c r="Y77" s="1"/>
      <c r="Z77" s="5">
        <f t="shared" si="36"/>
        <v>-1</v>
      </c>
    </row>
    <row r="78" spans="1:26" s="24" customFormat="1" hidden="1" outlineLevel="2" x14ac:dyDescent="0.25">
      <c r="A78" s="29"/>
      <c r="B78" s="11" t="str">
        <f>CONCATENATE("          ", "6277", " - ", "EMPLOYEE APPRECIATION")</f>
        <v xml:space="preserve">          6277 - EMPLOYEE APPRECIATION</v>
      </c>
      <c r="C78" s="11"/>
      <c r="D78" s="7"/>
      <c r="E78" s="2"/>
      <c r="F78" s="6">
        <f t="shared" si="29"/>
        <v>0</v>
      </c>
      <c r="G78" s="2"/>
      <c r="H78" s="7">
        <v>20</v>
      </c>
      <c r="I78" s="2"/>
      <c r="J78" s="6">
        <f t="shared" si="30"/>
        <v>2.6299525293568452E-4</v>
      </c>
      <c r="K78" s="2"/>
      <c r="L78" s="7">
        <f t="shared" si="31"/>
        <v>-20</v>
      </c>
      <c r="M78" s="2"/>
      <c r="N78" s="6">
        <f t="shared" si="32"/>
        <v>-1</v>
      </c>
      <c r="O78" s="11"/>
      <c r="P78" s="7"/>
      <c r="Q78" s="2"/>
      <c r="R78" s="6">
        <f t="shared" si="33"/>
        <v>0</v>
      </c>
      <c r="S78" s="2"/>
      <c r="T78" s="7">
        <v>120</v>
      </c>
      <c r="U78" s="2"/>
      <c r="V78" s="6">
        <f t="shared" si="34"/>
        <v>8.4207926211401197E-5</v>
      </c>
      <c r="W78" s="2"/>
      <c r="X78" s="7">
        <f t="shared" si="35"/>
        <v>-120</v>
      </c>
      <c r="Y78" s="2"/>
      <c r="Z78" s="6">
        <f t="shared" si="36"/>
        <v>-1</v>
      </c>
    </row>
    <row r="79" spans="1:26" s="28" customFormat="1" outlineLevel="1" collapsed="1" x14ac:dyDescent="0.25">
      <c r="A79" s="27"/>
      <c r="B79" s="14" t="str">
        <f>CONCATENATE("     ","Freight out/Postage                               ")</f>
        <v xml:space="preserve">     Freight out/Postage                               </v>
      </c>
      <c r="C79" s="14"/>
      <c r="D79" s="1">
        <f>SUM(OSRRefD22_6x_0)</f>
        <v>43.58</v>
      </c>
      <c r="E79" s="1"/>
      <c r="F79" s="5">
        <f t="shared" si="29"/>
        <v>5.4857894388357143E-4</v>
      </c>
      <c r="G79" s="1"/>
      <c r="H79" s="1">
        <f>SUM(OSRRefH22_6x_0)</f>
        <v>15</v>
      </c>
      <c r="I79" s="1"/>
      <c r="J79" s="5">
        <f t="shared" si="30"/>
        <v>1.9724643970176338E-4</v>
      </c>
      <c r="K79" s="1"/>
      <c r="L79" s="1">
        <f t="shared" si="31"/>
        <v>28.58</v>
      </c>
      <c r="M79" s="1"/>
      <c r="N79" s="5">
        <f t="shared" si="32"/>
        <v>1.9053333333333333</v>
      </c>
      <c r="O79" s="14"/>
      <c r="P79" s="1">
        <f>SUM(OSRRefP22_6x_0)</f>
        <v>871.17000000000007</v>
      </c>
      <c r="Q79" s="1"/>
      <c r="R79" s="5">
        <f t="shared" si="33"/>
        <v>6.8308601035898902E-4</v>
      </c>
      <c r="S79" s="1"/>
      <c r="T79" s="1">
        <f>SUM(OSRRefT22_6x_0)</f>
        <v>90</v>
      </c>
      <c r="U79" s="1"/>
      <c r="V79" s="5">
        <f t="shared" si="34"/>
        <v>6.3155944658550888E-5</v>
      </c>
      <c r="W79" s="1"/>
      <c r="X79" s="1">
        <f t="shared" si="35"/>
        <v>781.17000000000007</v>
      </c>
      <c r="Y79" s="1"/>
      <c r="Z79" s="5">
        <f t="shared" si="36"/>
        <v>8.6796666666666678</v>
      </c>
    </row>
    <row r="80" spans="1:26" s="24" customFormat="1" hidden="1" outlineLevel="2" x14ac:dyDescent="0.25">
      <c r="A80" s="29"/>
      <c r="B80" s="11" t="str">
        <f>CONCATENATE("          ", "6305", " - ", "FREIGHT OUT")</f>
        <v xml:space="preserve">          6305 - FREIGHT OUT</v>
      </c>
      <c r="C80" s="11"/>
      <c r="D80" s="7">
        <v>43.58</v>
      </c>
      <c r="E80" s="2"/>
      <c r="F80" s="6">
        <f t="shared" si="29"/>
        <v>5.4857894388357143E-4</v>
      </c>
      <c r="G80" s="2"/>
      <c r="H80" s="7">
        <v>15</v>
      </c>
      <c r="I80" s="2"/>
      <c r="J80" s="6">
        <f t="shared" si="30"/>
        <v>1.9724643970176338E-4</v>
      </c>
      <c r="K80" s="2"/>
      <c r="L80" s="7">
        <f t="shared" si="31"/>
        <v>28.58</v>
      </c>
      <c r="M80" s="2"/>
      <c r="N80" s="6">
        <f t="shared" si="32"/>
        <v>1.9053333333333333</v>
      </c>
      <c r="O80" s="11"/>
      <c r="P80" s="7">
        <v>858.57</v>
      </c>
      <c r="Q80" s="2"/>
      <c r="R80" s="6">
        <f t="shared" si="33"/>
        <v>6.7320632702448115E-4</v>
      </c>
      <c r="S80" s="2"/>
      <c r="T80" s="7">
        <v>90</v>
      </c>
      <c r="U80" s="2"/>
      <c r="V80" s="6">
        <f t="shared" si="34"/>
        <v>6.3155944658550888E-5</v>
      </c>
      <c r="W80" s="2"/>
      <c r="X80" s="7">
        <f t="shared" si="35"/>
        <v>768.57</v>
      </c>
      <c r="Y80" s="2"/>
      <c r="Z80" s="6">
        <f t="shared" si="36"/>
        <v>8.5396666666666672</v>
      </c>
    </row>
    <row r="81" spans="1:26" s="24" customFormat="1" hidden="1" outlineLevel="2" x14ac:dyDescent="0.25">
      <c r="A81" s="29"/>
      <c r="B81" s="11" t="str">
        <f>CONCATENATE("          ", "6307", " - ", "POSTAGE")</f>
        <v xml:space="preserve">          6307 - POSTAGE</v>
      </c>
      <c r="C81" s="11"/>
      <c r="D81" s="7"/>
      <c r="E81" s="2"/>
      <c r="F81" s="6">
        <f t="shared" si="29"/>
        <v>0</v>
      </c>
      <c r="G81" s="2"/>
      <c r="H81" s="7"/>
      <c r="I81" s="2"/>
      <c r="J81" s="6">
        <f t="shared" si="30"/>
        <v>0</v>
      </c>
      <c r="K81" s="2"/>
      <c r="L81" s="7">
        <f t="shared" si="31"/>
        <v>0</v>
      </c>
      <c r="M81" s="2"/>
      <c r="N81" s="6">
        <f t="shared" si="32"/>
        <v>0</v>
      </c>
      <c r="O81" s="11"/>
      <c r="P81" s="7">
        <v>12.6</v>
      </c>
      <c r="Q81" s="2"/>
      <c r="R81" s="6">
        <f t="shared" si="33"/>
        <v>9.8796833345079152E-6</v>
      </c>
      <c r="S81" s="2"/>
      <c r="T81" s="7"/>
      <c r="U81" s="2"/>
      <c r="V81" s="6">
        <f t="shared" si="34"/>
        <v>0</v>
      </c>
      <c r="W81" s="2"/>
      <c r="X81" s="7">
        <f t="shared" si="35"/>
        <v>12.6</v>
      </c>
      <c r="Y81" s="2"/>
      <c r="Z81" s="6">
        <f t="shared" si="36"/>
        <v>0</v>
      </c>
    </row>
    <row r="82" spans="1:26" s="28" customFormat="1" outlineLevel="1" collapsed="1" x14ac:dyDescent="0.25">
      <c r="A82" s="27"/>
      <c r="B82" s="14" t="str">
        <f>CONCATENATE("     ","General                                           ")</f>
        <v xml:space="preserve">     General                                           </v>
      </c>
      <c r="C82" s="14"/>
      <c r="D82" s="1">
        <f>SUM(OSRRefD22_7x_0)</f>
        <v>0</v>
      </c>
      <c r="E82" s="1"/>
      <c r="F82" s="5">
        <f t="shared" ref="F82:F91" si="37">IF(D$12=0,0,D82/D$12)</f>
        <v>0</v>
      </c>
      <c r="G82" s="1"/>
      <c r="H82" s="1">
        <f>SUM(OSRRefH22_7x_0)</f>
        <v>30</v>
      </c>
      <c r="I82" s="1"/>
      <c r="J82" s="5">
        <f t="shared" ref="J82:J91" si="38">IF(H$12=0,0,H82/H$12)</f>
        <v>3.9449287940352675E-4</v>
      </c>
      <c r="K82" s="1"/>
      <c r="L82" s="1">
        <f t="shared" ref="L82:L91" si="39">+D82-H82</f>
        <v>-30</v>
      </c>
      <c r="M82" s="1"/>
      <c r="N82" s="5">
        <f t="shared" ref="N82:N91" si="40">IF(H82=0,0,L82/H82)</f>
        <v>-1</v>
      </c>
      <c r="O82" s="14"/>
      <c r="P82" s="1">
        <f>SUM(OSRRefP22_7x_0)</f>
        <v>-30.15</v>
      </c>
      <c r="Q82" s="1"/>
      <c r="R82" s="5">
        <f t="shared" ref="R82:R91" si="41">IF(P$12=0,0,P82/P$12)</f>
        <v>-2.3640670836143939E-5</v>
      </c>
      <c r="S82" s="1"/>
      <c r="T82" s="1">
        <f>SUM(OSRRefT22_7x_0)</f>
        <v>180</v>
      </c>
      <c r="U82" s="1"/>
      <c r="V82" s="5">
        <f t="shared" ref="V82:V91" si="42">IF(T$12=0,0,T82/T$12)</f>
        <v>1.2631188931710178E-4</v>
      </c>
      <c r="W82" s="1"/>
      <c r="X82" s="1">
        <f t="shared" ref="X82:X91" si="43">+P82-T82</f>
        <v>-210.15</v>
      </c>
      <c r="Y82" s="1"/>
      <c r="Z82" s="5">
        <f t="shared" ref="Z82:Z91" si="44">IF(T82=0,0,X82/T82)</f>
        <v>-1.1675</v>
      </c>
    </row>
    <row r="83" spans="1:26" s="24" customFormat="1" hidden="1" outlineLevel="2" x14ac:dyDescent="0.25">
      <c r="A83" s="29"/>
      <c r="B83" s="11" t="str">
        <f>CONCATENATE("          ", "6279", " - ", "GENERAL EXPENSE")</f>
        <v xml:space="preserve">          6279 - GENERAL EXPENSE</v>
      </c>
      <c r="C83" s="11"/>
      <c r="D83" s="7"/>
      <c r="E83" s="2"/>
      <c r="F83" s="6">
        <f t="shared" si="37"/>
        <v>0</v>
      </c>
      <c r="G83" s="2"/>
      <c r="H83" s="7">
        <v>30</v>
      </c>
      <c r="I83" s="2"/>
      <c r="J83" s="6">
        <f t="shared" si="38"/>
        <v>3.9449287940352675E-4</v>
      </c>
      <c r="K83" s="2"/>
      <c r="L83" s="7">
        <f t="shared" si="39"/>
        <v>-30</v>
      </c>
      <c r="M83" s="2"/>
      <c r="N83" s="6">
        <f t="shared" si="40"/>
        <v>-1</v>
      </c>
      <c r="O83" s="11"/>
      <c r="P83" s="7">
        <v>-30.15</v>
      </c>
      <c r="Q83" s="2"/>
      <c r="R83" s="6">
        <f t="shared" si="41"/>
        <v>-2.3640670836143939E-5</v>
      </c>
      <c r="S83" s="2"/>
      <c r="T83" s="7">
        <v>180</v>
      </c>
      <c r="U83" s="2"/>
      <c r="V83" s="6">
        <f t="shared" si="42"/>
        <v>1.2631188931710178E-4</v>
      </c>
      <c r="W83" s="2"/>
      <c r="X83" s="7">
        <f t="shared" si="43"/>
        <v>-210.15</v>
      </c>
      <c r="Y83" s="2"/>
      <c r="Z83" s="6">
        <f t="shared" si="44"/>
        <v>-1.1675</v>
      </c>
    </row>
    <row r="84" spans="1:26" s="28" customFormat="1" outlineLevel="1" collapsed="1" x14ac:dyDescent="0.25">
      <c r="A84" s="27"/>
      <c r="B84" s="14" t="str">
        <f>CONCATENATE("     ","Inventory Adjustment                              ")</f>
        <v xml:space="preserve">     Inventory Adjustment                              </v>
      </c>
      <c r="C84" s="14"/>
      <c r="D84" s="1">
        <f>SUM(OSRRefD22_8x_0)</f>
        <v>1250</v>
      </c>
      <c r="E84" s="1"/>
      <c r="F84" s="5">
        <f t="shared" si="37"/>
        <v>1.5734825145811482E-2</v>
      </c>
      <c r="G84" s="1"/>
      <c r="H84" s="1">
        <f>SUM(OSRRefH22_8x_0)</f>
        <v>1250</v>
      </c>
      <c r="I84" s="1"/>
      <c r="J84" s="5">
        <f t="shared" si="38"/>
        <v>1.643720330848028E-2</v>
      </c>
      <c r="K84" s="1"/>
      <c r="L84" s="1">
        <f t="shared" si="39"/>
        <v>0</v>
      </c>
      <c r="M84" s="1"/>
      <c r="N84" s="5">
        <f t="shared" si="40"/>
        <v>0</v>
      </c>
      <c r="O84" s="14"/>
      <c r="P84" s="1">
        <f>SUM(OSRRefP22_8x_0)</f>
        <v>7500</v>
      </c>
      <c r="Q84" s="1"/>
      <c r="R84" s="5">
        <f t="shared" si="41"/>
        <v>5.8807638895880454E-3</v>
      </c>
      <c r="S84" s="1"/>
      <c r="T84" s="1">
        <f>SUM(OSRRefT22_8x_0)</f>
        <v>7500</v>
      </c>
      <c r="U84" s="1"/>
      <c r="V84" s="5">
        <f t="shared" si="42"/>
        <v>5.2629953882125744E-3</v>
      </c>
      <c r="W84" s="1"/>
      <c r="X84" s="1">
        <f t="shared" si="43"/>
        <v>0</v>
      </c>
      <c r="Y84" s="1"/>
      <c r="Z84" s="5">
        <f t="shared" si="44"/>
        <v>0</v>
      </c>
    </row>
    <row r="85" spans="1:26" s="24" customFormat="1" hidden="1" outlineLevel="2" x14ac:dyDescent="0.25">
      <c r="A85" s="29"/>
      <c r="B85" s="11" t="str">
        <f>CONCATENATE("          ", "6408", " - ", "INVENTORY ADJUSTMENT")</f>
        <v xml:space="preserve">          6408 - INVENTORY ADJUSTMENT</v>
      </c>
      <c r="C85" s="11"/>
      <c r="D85" s="7">
        <v>1250</v>
      </c>
      <c r="E85" s="2"/>
      <c r="F85" s="6">
        <f t="shared" si="37"/>
        <v>1.5734825145811482E-2</v>
      </c>
      <c r="G85" s="2"/>
      <c r="H85" s="7">
        <v>1250</v>
      </c>
      <c r="I85" s="2"/>
      <c r="J85" s="6">
        <f t="shared" si="38"/>
        <v>1.643720330848028E-2</v>
      </c>
      <c r="K85" s="2"/>
      <c r="L85" s="7">
        <f t="shared" si="39"/>
        <v>0</v>
      </c>
      <c r="M85" s="2"/>
      <c r="N85" s="6">
        <f t="shared" si="40"/>
        <v>0</v>
      </c>
      <c r="O85" s="11"/>
      <c r="P85" s="7">
        <v>7500</v>
      </c>
      <c r="Q85" s="2"/>
      <c r="R85" s="6">
        <f t="shared" si="41"/>
        <v>5.8807638895880454E-3</v>
      </c>
      <c r="S85" s="2"/>
      <c r="T85" s="7">
        <v>7500</v>
      </c>
      <c r="U85" s="2"/>
      <c r="V85" s="6">
        <f t="shared" si="42"/>
        <v>5.2629953882125744E-3</v>
      </c>
      <c r="W85" s="2"/>
      <c r="X85" s="7">
        <f t="shared" si="43"/>
        <v>0</v>
      </c>
      <c r="Y85" s="2"/>
      <c r="Z85" s="6">
        <f t="shared" si="44"/>
        <v>0</v>
      </c>
    </row>
    <row r="86" spans="1:26" s="28" customFormat="1" outlineLevel="1" collapsed="1" x14ac:dyDescent="0.25">
      <c r="A86" s="27"/>
      <c r="B86" s="14" t="str">
        <f>CONCATENATE("     ","Repair and Maintenance                            ")</f>
        <v xml:space="preserve">     Repair and Maintenance                            </v>
      </c>
      <c r="C86" s="14"/>
      <c r="D86" s="1">
        <f>SUM(OSRRefD22_9x_0)</f>
        <v>0</v>
      </c>
      <c r="E86" s="1"/>
      <c r="F86" s="5">
        <f t="shared" si="37"/>
        <v>0</v>
      </c>
      <c r="G86" s="1"/>
      <c r="H86" s="1">
        <f>SUM(OSRRefH22_9x_0)</f>
        <v>20</v>
      </c>
      <c r="I86" s="1"/>
      <c r="J86" s="5">
        <f t="shared" si="38"/>
        <v>2.6299525293568452E-4</v>
      </c>
      <c r="K86" s="1"/>
      <c r="L86" s="1">
        <f t="shared" si="39"/>
        <v>-20</v>
      </c>
      <c r="M86" s="1"/>
      <c r="N86" s="5">
        <f t="shared" si="40"/>
        <v>-1</v>
      </c>
      <c r="O86" s="14"/>
      <c r="P86" s="1">
        <f>SUM(OSRRefP22_9x_0)</f>
        <v>0</v>
      </c>
      <c r="Q86" s="1"/>
      <c r="R86" s="5">
        <f t="shared" si="41"/>
        <v>0</v>
      </c>
      <c r="S86" s="1"/>
      <c r="T86" s="1">
        <f>SUM(OSRRefT22_9x_0)</f>
        <v>125</v>
      </c>
      <c r="U86" s="1"/>
      <c r="V86" s="5">
        <f t="shared" si="42"/>
        <v>8.7716589803542904E-5</v>
      </c>
      <c r="W86" s="1"/>
      <c r="X86" s="1">
        <f t="shared" si="43"/>
        <v>-125</v>
      </c>
      <c r="Y86" s="1"/>
      <c r="Z86" s="5">
        <f t="shared" si="44"/>
        <v>-1</v>
      </c>
    </row>
    <row r="87" spans="1:26" s="24" customFormat="1" hidden="1" outlineLevel="2" x14ac:dyDescent="0.25">
      <c r="A87" s="29"/>
      <c r="B87" s="11" t="str">
        <f>CONCATENATE("          ", "6375", " - ", "OUTSIDE REPAIRS &amp; MAINTENANCE")</f>
        <v xml:space="preserve">          6375 - OUTSIDE REPAIRS &amp; MAINTENANCE</v>
      </c>
      <c r="C87" s="11"/>
      <c r="D87" s="7"/>
      <c r="E87" s="2"/>
      <c r="F87" s="6">
        <f t="shared" si="37"/>
        <v>0</v>
      </c>
      <c r="G87" s="2"/>
      <c r="H87" s="7">
        <v>20</v>
      </c>
      <c r="I87" s="2"/>
      <c r="J87" s="6">
        <f t="shared" si="38"/>
        <v>2.6299525293568452E-4</v>
      </c>
      <c r="K87" s="2"/>
      <c r="L87" s="7">
        <f t="shared" si="39"/>
        <v>-20</v>
      </c>
      <c r="M87" s="2"/>
      <c r="N87" s="6">
        <f t="shared" si="40"/>
        <v>-1</v>
      </c>
      <c r="O87" s="11"/>
      <c r="P87" s="7"/>
      <c r="Q87" s="2"/>
      <c r="R87" s="6">
        <f t="shared" si="41"/>
        <v>0</v>
      </c>
      <c r="S87" s="2"/>
      <c r="T87" s="7">
        <v>125</v>
      </c>
      <c r="U87" s="2"/>
      <c r="V87" s="6">
        <f t="shared" si="42"/>
        <v>8.7716589803542904E-5</v>
      </c>
      <c r="W87" s="2"/>
      <c r="X87" s="7">
        <f t="shared" si="43"/>
        <v>-125</v>
      </c>
      <c r="Y87" s="2"/>
      <c r="Z87" s="6">
        <f t="shared" si="44"/>
        <v>-1</v>
      </c>
    </row>
    <row r="88" spans="1:26" s="28" customFormat="1" outlineLevel="1" collapsed="1" x14ac:dyDescent="0.25">
      <c r="A88" s="27"/>
      <c r="B88" s="14" t="str">
        <f>CONCATENATE("     ","Supplies                                          ")</f>
        <v xml:space="preserve">     Supplies                                          </v>
      </c>
      <c r="C88" s="14"/>
      <c r="D88" s="1">
        <f>SUM(OSRRefD22_10x_0)</f>
        <v>1052.8599999999999</v>
      </c>
      <c r="E88" s="1"/>
      <c r="F88" s="5">
        <f t="shared" si="37"/>
        <v>1.325325440241526E-2</v>
      </c>
      <c r="G88" s="1"/>
      <c r="H88" s="1">
        <f>SUM(OSRRefH22_10x_0)</f>
        <v>310</v>
      </c>
      <c r="I88" s="1"/>
      <c r="J88" s="5">
        <f t="shared" si="38"/>
        <v>4.0764264205031099E-3</v>
      </c>
      <c r="K88" s="1"/>
      <c r="L88" s="1">
        <f t="shared" si="39"/>
        <v>742.8599999999999</v>
      </c>
      <c r="M88" s="1"/>
      <c r="N88" s="5">
        <f t="shared" si="40"/>
        <v>2.3963225806451609</v>
      </c>
      <c r="O88" s="14"/>
      <c r="P88" s="1">
        <f>SUM(OSRRefP22_10x_0)</f>
        <v>2753.5699999999997</v>
      </c>
      <c r="Q88" s="1"/>
      <c r="R88" s="5">
        <f t="shared" si="41"/>
        <v>2.1590793364603938E-3</v>
      </c>
      <c r="S88" s="1"/>
      <c r="T88" s="1">
        <f>SUM(OSRRefT22_10x_0)</f>
        <v>1860</v>
      </c>
      <c r="U88" s="1"/>
      <c r="V88" s="5">
        <f t="shared" si="42"/>
        <v>1.3052228562767186E-3</v>
      </c>
      <c r="W88" s="1"/>
      <c r="X88" s="1">
        <f t="shared" si="43"/>
        <v>893.56999999999971</v>
      </c>
      <c r="Y88" s="1"/>
      <c r="Z88" s="5">
        <f t="shared" si="44"/>
        <v>0.48041397849462347</v>
      </c>
    </row>
    <row r="89" spans="1:26" s="24" customFormat="1" hidden="1" outlineLevel="2" x14ac:dyDescent="0.25">
      <c r="A89" s="29"/>
      <c r="B89" s="11" t="str">
        <f>CONCATENATE("          ", "6235", " - ", "COVID-19 EXPENSES")</f>
        <v xml:space="preserve">          6235 - COVID-19 EXPENSES</v>
      </c>
      <c r="C89" s="11"/>
      <c r="D89" s="7"/>
      <c r="E89" s="2"/>
      <c r="F89" s="6">
        <f t="shared" si="37"/>
        <v>0</v>
      </c>
      <c r="G89" s="2"/>
      <c r="H89" s="7"/>
      <c r="I89" s="2"/>
      <c r="J89" s="6">
        <f t="shared" si="38"/>
        <v>0</v>
      </c>
      <c r="K89" s="2"/>
      <c r="L89" s="7">
        <f t="shared" si="39"/>
        <v>0</v>
      </c>
      <c r="M89" s="2"/>
      <c r="N89" s="6">
        <f t="shared" si="40"/>
        <v>0</v>
      </c>
      <c r="O89" s="11"/>
      <c r="P89" s="7">
        <v>668.12</v>
      </c>
      <c r="Q89" s="2"/>
      <c r="R89" s="6">
        <f t="shared" si="41"/>
        <v>5.2387412932154199E-4</v>
      </c>
      <c r="S89" s="2"/>
      <c r="T89" s="7"/>
      <c r="U89" s="2"/>
      <c r="V89" s="6">
        <f t="shared" si="42"/>
        <v>0</v>
      </c>
      <c r="W89" s="2"/>
      <c r="X89" s="7">
        <f t="shared" si="43"/>
        <v>668.12</v>
      </c>
      <c r="Y89" s="2"/>
      <c r="Z89" s="6">
        <f t="shared" si="44"/>
        <v>0</v>
      </c>
    </row>
    <row r="90" spans="1:26" s="24" customFormat="1" hidden="1" outlineLevel="2" x14ac:dyDescent="0.25">
      <c r="A90" s="29"/>
      <c r="B90" s="11" t="str">
        <f>CONCATENATE("          ", "6241", " - ", "OFFICE EXPENSE")</f>
        <v xml:space="preserve">          6241 - OFFICE EXPENSE</v>
      </c>
      <c r="C90" s="11"/>
      <c r="D90" s="7">
        <v>1052.8599999999999</v>
      </c>
      <c r="E90" s="2"/>
      <c r="F90" s="6">
        <f t="shared" si="37"/>
        <v>1.325325440241526E-2</v>
      </c>
      <c r="G90" s="2"/>
      <c r="H90" s="7">
        <v>110</v>
      </c>
      <c r="I90" s="2"/>
      <c r="J90" s="6">
        <f t="shared" si="38"/>
        <v>1.4464738911462648E-3</v>
      </c>
      <c r="K90" s="2"/>
      <c r="L90" s="7">
        <f t="shared" si="39"/>
        <v>942.8599999999999</v>
      </c>
      <c r="M90" s="2"/>
      <c r="N90" s="6">
        <f t="shared" si="40"/>
        <v>8.5714545454545448</v>
      </c>
      <c r="O90" s="11"/>
      <c r="P90" s="7">
        <v>2085.4499999999998</v>
      </c>
      <c r="Q90" s="2"/>
      <c r="R90" s="6">
        <f t="shared" si="41"/>
        <v>1.6352052071388517E-3</v>
      </c>
      <c r="S90" s="2"/>
      <c r="T90" s="7">
        <v>660</v>
      </c>
      <c r="U90" s="2"/>
      <c r="V90" s="6">
        <f t="shared" si="42"/>
        <v>4.6314359416270656E-4</v>
      </c>
      <c r="W90" s="2"/>
      <c r="X90" s="7">
        <f t="shared" si="43"/>
        <v>1425.4499999999998</v>
      </c>
      <c r="Y90" s="2"/>
      <c r="Z90" s="6">
        <f t="shared" si="44"/>
        <v>2.1597727272727272</v>
      </c>
    </row>
    <row r="91" spans="1:26" s="24" customFormat="1" hidden="1" outlineLevel="2" x14ac:dyDescent="0.25">
      <c r="A91" s="29"/>
      <c r="B91" s="11" t="str">
        <f>CONCATENATE("          ", "6247", " - ", "STORE SUPPLIES")</f>
        <v xml:space="preserve">          6247 - STORE SUPPLIES</v>
      </c>
      <c r="C91" s="11"/>
      <c r="D91" s="7"/>
      <c r="E91" s="2"/>
      <c r="F91" s="6">
        <f t="shared" si="37"/>
        <v>0</v>
      </c>
      <c r="G91" s="2"/>
      <c r="H91" s="7">
        <v>200</v>
      </c>
      <c r="I91" s="2"/>
      <c r="J91" s="6">
        <f t="shared" si="38"/>
        <v>2.6299525293568453E-3</v>
      </c>
      <c r="K91" s="2"/>
      <c r="L91" s="7">
        <f t="shared" si="39"/>
        <v>-200</v>
      </c>
      <c r="M91" s="2"/>
      <c r="N91" s="6">
        <f t="shared" si="40"/>
        <v>-1</v>
      </c>
      <c r="O91" s="11"/>
      <c r="P91" s="7"/>
      <c r="Q91" s="2"/>
      <c r="R91" s="6">
        <f t="shared" si="41"/>
        <v>0</v>
      </c>
      <c r="S91" s="2"/>
      <c r="T91" s="7">
        <v>1200</v>
      </c>
      <c r="U91" s="2"/>
      <c r="V91" s="6">
        <f t="shared" si="42"/>
        <v>8.4207926211401195E-4</v>
      </c>
      <c r="W91" s="2"/>
      <c r="X91" s="7">
        <f t="shared" si="43"/>
        <v>-1200</v>
      </c>
      <c r="Y91" s="2"/>
      <c r="Z91" s="6">
        <f t="shared" si="44"/>
        <v>-1</v>
      </c>
    </row>
    <row r="92" spans="1:26" s="28" customFormat="1" outlineLevel="1" collapsed="1" x14ac:dyDescent="0.25">
      <c r="A92" s="27"/>
      <c r="B92" s="14" t="str">
        <f>CONCATENATE("     ","Telephone/Data Lines                              ")</f>
        <v xml:space="preserve">     Telephone/Data Lines                              </v>
      </c>
      <c r="C92" s="14"/>
      <c r="D92" s="1">
        <f>SUM(OSRRefD22_11x_0)</f>
        <v>282.95</v>
      </c>
      <c r="E92" s="1"/>
      <c r="F92" s="5">
        <f t="shared" ref="F92:F95" si="45">IF(D$12=0,0,D92/D$12)</f>
        <v>3.5617350200058866E-3</v>
      </c>
      <c r="G92" s="1"/>
      <c r="H92" s="1">
        <f>SUM(OSRRefH22_11x_0)</f>
        <v>250</v>
      </c>
      <c r="I92" s="1"/>
      <c r="J92" s="5">
        <f t="shared" ref="J92:J95" si="46">IF(H$12=0,0,H92/H$12)</f>
        <v>3.2874406616960564E-3</v>
      </c>
      <c r="K92" s="1"/>
      <c r="L92" s="1">
        <f t="shared" ref="L92:L95" si="47">+D92-H92</f>
        <v>32.949999999999989</v>
      </c>
      <c r="M92" s="1"/>
      <c r="N92" s="5">
        <f t="shared" ref="N92:N95" si="48">IF(H92=0,0,L92/H92)</f>
        <v>0.13179999999999994</v>
      </c>
      <c r="O92" s="14"/>
      <c r="P92" s="1">
        <f>SUM(OSRRefP22_11x_0)</f>
        <v>1853.3</v>
      </c>
      <c r="Q92" s="1"/>
      <c r="R92" s="5">
        <f t="shared" ref="R92:R95" si="49">IF(P$12=0,0,P92/P$12)</f>
        <v>1.4531759622098033E-3</v>
      </c>
      <c r="S92" s="1"/>
      <c r="T92" s="1">
        <f>SUM(OSRRefT22_11x_0)</f>
        <v>1510</v>
      </c>
      <c r="U92" s="1"/>
      <c r="V92" s="5">
        <f t="shared" ref="V92:V95" si="50">IF(T$12=0,0,T92/T$12)</f>
        <v>1.0596164048267984E-3</v>
      </c>
      <c r="W92" s="1"/>
      <c r="X92" s="1">
        <f t="shared" ref="X92:X95" si="51">+P92-T92</f>
        <v>343.29999999999995</v>
      </c>
      <c r="Y92" s="1"/>
      <c r="Z92" s="5">
        <f t="shared" ref="Z92:Z95" si="52">IF(T92=0,0,X92/T92)</f>
        <v>0.22735099337748341</v>
      </c>
    </row>
    <row r="93" spans="1:26" s="24" customFormat="1" hidden="1" outlineLevel="2" x14ac:dyDescent="0.25">
      <c r="A93" s="29"/>
      <c r="B93" s="11" t="str">
        <f>CONCATENATE("          ", "6309", " - ", "TELEPHONE")</f>
        <v xml:space="preserve">          6309 - TELEPHONE</v>
      </c>
      <c r="C93" s="11"/>
      <c r="D93" s="7">
        <v>282.95</v>
      </c>
      <c r="E93" s="2"/>
      <c r="F93" s="6">
        <f t="shared" si="45"/>
        <v>3.5617350200058866E-3</v>
      </c>
      <c r="G93" s="2"/>
      <c r="H93" s="7">
        <v>250</v>
      </c>
      <c r="I93" s="2"/>
      <c r="J93" s="6">
        <f t="shared" si="46"/>
        <v>3.2874406616960564E-3</v>
      </c>
      <c r="K93" s="2"/>
      <c r="L93" s="7">
        <f t="shared" si="47"/>
        <v>32.949999999999989</v>
      </c>
      <c r="M93" s="2"/>
      <c r="N93" s="6">
        <f t="shared" si="48"/>
        <v>0.13179999999999994</v>
      </c>
      <c r="O93" s="11"/>
      <c r="P93" s="7">
        <v>1853.3</v>
      </c>
      <c r="Q93" s="2"/>
      <c r="R93" s="6">
        <f t="shared" si="49"/>
        <v>1.4531759622098033E-3</v>
      </c>
      <c r="S93" s="2"/>
      <c r="T93" s="7">
        <v>1510</v>
      </c>
      <c r="U93" s="2"/>
      <c r="V93" s="6">
        <f t="shared" si="50"/>
        <v>1.0596164048267984E-3</v>
      </c>
      <c r="W93" s="2"/>
      <c r="X93" s="7">
        <f t="shared" si="51"/>
        <v>343.29999999999995</v>
      </c>
      <c r="Y93" s="2"/>
      <c r="Z93" s="6">
        <f t="shared" si="52"/>
        <v>0.22735099337748341</v>
      </c>
    </row>
    <row r="94" spans="1:26" s="28" customFormat="1" outlineLevel="1" collapsed="1" x14ac:dyDescent="0.25">
      <c r="A94" s="27"/>
      <c r="B94" s="14" t="str">
        <f>CONCATENATE("     ","Training                                          ")</f>
        <v xml:space="preserve">     Training                                          </v>
      </c>
      <c r="C94" s="14"/>
      <c r="D94" s="1">
        <f>SUM(OSRRefD22_12x_0)</f>
        <v>0</v>
      </c>
      <c r="E94" s="1"/>
      <c r="F94" s="5">
        <f t="shared" si="45"/>
        <v>0</v>
      </c>
      <c r="G94" s="1"/>
      <c r="H94" s="1">
        <f>SUM(OSRRefH22_12x_0)</f>
        <v>0</v>
      </c>
      <c r="I94" s="1"/>
      <c r="J94" s="5">
        <f t="shared" si="46"/>
        <v>0</v>
      </c>
      <c r="K94" s="1"/>
      <c r="L94" s="1">
        <f t="shared" si="47"/>
        <v>0</v>
      </c>
      <c r="M94" s="1"/>
      <c r="N94" s="5">
        <f t="shared" si="48"/>
        <v>0</v>
      </c>
      <c r="O94" s="14"/>
      <c r="P94" s="1">
        <f>SUM(OSRRefP22_12x_0)</f>
        <v>100</v>
      </c>
      <c r="Q94" s="1"/>
      <c r="R94" s="5">
        <f t="shared" si="49"/>
        <v>7.8410185194507275E-5</v>
      </c>
      <c r="S94" s="1"/>
      <c r="T94" s="1">
        <f>SUM(OSRRefT22_12x_0)</f>
        <v>0</v>
      </c>
      <c r="U94" s="1"/>
      <c r="V94" s="5">
        <f t="shared" si="50"/>
        <v>0</v>
      </c>
      <c r="W94" s="1"/>
      <c r="X94" s="1">
        <f t="shared" si="51"/>
        <v>100</v>
      </c>
      <c r="Y94" s="1"/>
      <c r="Z94" s="5">
        <f t="shared" si="52"/>
        <v>0</v>
      </c>
    </row>
    <row r="95" spans="1:26" s="24" customFormat="1" hidden="1" outlineLevel="2" x14ac:dyDescent="0.25">
      <c r="A95" s="29"/>
      <c r="B95" s="11" t="str">
        <f>CONCATENATE("          ", "6376", " - ", "TRAINING")</f>
        <v xml:space="preserve">          6376 - TRAINING</v>
      </c>
      <c r="C95" s="11"/>
      <c r="D95" s="7"/>
      <c r="E95" s="2"/>
      <c r="F95" s="6">
        <f t="shared" si="45"/>
        <v>0</v>
      </c>
      <c r="G95" s="2"/>
      <c r="H95" s="7"/>
      <c r="I95" s="2"/>
      <c r="J95" s="6">
        <f t="shared" si="46"/>
        <v>0</v>
      </c>
      <c r="K95" s="2"/>
      <c r="L95" s="7">
        <f t="shared" si="47"/>
        <v>0</v>
      </c>
      <c r="M95" s="2"/>
      <c r="N95" s="6">
        <f t="shared" si="48"/>
        <v>0</v>
      </c>
      <c r="O95" s="11"/>
      <c r="P95" s="7">
        <v>100</v>
      </c>
      <c r="Q95" s="2"/>
      <c r="R95" s="6">
        <f t="shared" si="49"/>
        <v>7.8410185194507275E-5</v>
      </c>
      <c r="S95" s="2"/>
      <c r="T95" s="7"/>
      <c r="U95" s="2"/>
      <c r="V95" s="6">
        <f t="shared" si="50"/>
        <v>0</v>
      </c>
      <c r="W95" s="2"/>
      <c r="X95" s="7">
        <f t="shared" si="51"/>
        <v>100</v>
      </c>
      <c r="Y95" s="2"/>
      <c r="Z95" s="6">
        <f t="shared" si="52"/>
        <v>0</v>
      </c>
    </row>
    <row r="96" spans="1:26" s="53" customFormat="1" x14ac:dyDescent="0.2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25">
      <c r="A97" s="10"/>
      <c r="B97" s="26" t="s">
        <v>0</v>
      </c>
      <c r="C97" s="10"/>
      <c r="D97" s="4">
        <f>SUM(OSRRefD25x_0)</f>
        <v>-412.00999999999993</v>
      </c>
      <c r="E97" s="4"/>
      <c r="F97" s="12">
        <f t="shared" ref="F97:F99" si="53">IF(D$12=0,0,D97/D$12)</f>
        <v>-5.1863242466606303E-3</v>
      </c>
      <c r="G97" s="4"/>
      <c r="H97" s="4">
        <f>SUM(OSRRefH25x_0)</f>
        <v>605</v>
      </c>
      <c r="I97" s="4"/>
      <c r="J97" s="12">
        <f t="shared" ref="J97:J99" si="54">IF(H$12=0,0,H97/H$12)</f>
        <v>7.9556064013044572E-3</v>
      </c>
      <c r="K97" s="4"/>
      <c r="L97" s="4">
        <f t="shared" ref="L97:L99" si="55">+D97-H97</f>
        <v>-1017.01</v>
      </c>
      <c r="M97" s="4"/>
      <c r="N97" s="12">
        <f t="shared" ref="N97:N99" si="56">IF(H97=0,0,L97/H97)</f>
        <v>-1.6810082644628099</v>
      </c>
      <c r="O97" s="10"/>
      <c r="P97" s="4">
        <f>SUM(OSRRefP25x_0)</f>
        <v>343.1</v>
      </c>
      <c r="Q97" s="4"/>
      <c r="R97" s="12">
        <f t="shared" ref="R97:R99" si="57">IF(P$12=0,0,P97/P$12)</f>
        <v>2.6902534540235444E-4</v>
      </c>
      <c r="S97" s="4"/>
      <c r="T97" s="4">
        <f>SUM(OSRRefT25x_0)</f>
        <v>11334</v>
      </c>
      <c r="U97" s="4"/>
      <c r="V97" s="12">
        <f t="shared" ref="V97:V99" si="58">IF(T$12=0,0,T97/T$12)</f>
        <v>7.9534386306668418E-3</v>
      </c>
      <c r="W97" s="4"/>
      <c r="X97" s="4">
        <f t="shared" ref="X97:X99" si="59">+P97-T97</f>
        <v>-10990.9</v>
      </c>
      <c r="Y97" s="4"/>
      <c r="Z97" s="12">
        <f t="shared" ref="Z97:Z99" si="60">IF(T97=0,0,X97/T97)</f>
        <v>-0.96972825127933648</v>
      </c>
    </row>
    <row r="98" spans="1:26" s="24" customFormat="1" hidden="1" outlineLevel="1" x14ac:dyDescent="0.25">
      <c r="A98" s="51"/>
      <c r="B98" s="11" t="str">
        <f>CONCATENATE("          ", "4187", " - ", "NON-TAXABLE SALES-COMPUTER REP")</f>
        <v xml:space="preserve">          4187 - NON-TAXABLE SALES-COMPUTER REP</v>
      </c>
      <c r="C98" s="11"/>
      <c r="D98" s="2">
        <f>--471.29</f>
        <v>471.29</v>
      </c>
      <c r="E98" s="2"/>
      <c r="F98" s="22">
        <f t="shared" si="53"/>
        <v>5.9325325943755947E-3</v>
      </c>
      <c r="G98" s="2"/>
      <c r="H98" s="2"/>
      <c r="I98" s="2"/>
      <c r="J98" s="22">
        <f t="shared" si="54"/>
        <v>0</v>
      </c>
      <c r="K98" s="2"/>
      <c r="L98" s="2">
        <f t="shared" si="55"/>
        <v>471.29</v>
      </c>
      <c r="M98" s="2"/>
      <c r="N98" s="22">
        <f t="shared" si="56"/>
        <v>0</v>
      </c>
      <c r="O98" s="11"/>
      <c r="P98" s="2">
        <f>--1034.5</f>
        <v>1034.5</v>
      </c>
      <c r="Q98" s="2"/>
      <c r="R98" s="22">
        <f t="shared" si="57"/>
        <v>8.1115336583717772E-4</v>
      </c>
      <c r="S98" s="2"/>
      <c r="T98" s="2"/>
      <c r="U98" s="2"/>
      <c r="V98" s="22">
        <f t="shared" si="58"/>
        <v>0</v>
      </c>
      <c r="W98" s="2"/>
      <c r="X98" s="2">
        <f t="shared" si="59"/>
        <v>1034.5</v>
      </c>
      <c r="Y98" s="2"/>
      <c r="Z98" s="22">
        <f t="shared" si="60"/>
        <v>0</v>
      </c>
    </row>
    <row r="99" spans="1:26" s="24" customFormat="1" hidden="1" outlineLevel="1" x14ac:dyDescent="0.25">
      <c r="A99" s="51"/>
      <c r="B99" s="11" t="str">
        <f>CONCATENATE("          ", "9150", " - ", "MISC. INCOME")</f>
        <v xml:space="preserve">          9150 - MISC. INCOME</v>
      </c>
      <c r="C99" s="11"/>
      <c r="D99" s="2">
        <f>-883.3</f>
        <v>-883.3</v>
      </c>
      <c r="E99" s="2"/>
      <c r="F99" s="22">
        <f t="shared" si="53"/>
        <v>-1.1118856841036225E-2</v>
      </c>
      <c r="G99" s="2"/>
      <c r="H99" s="2">
        <v>605</v>
      </c>
      <c r="I99" s="2"/>
      <c r="J99" s="22">
        <f t="shared" si="54"/>
        <v>7.9556064013044572E-3</v>
      </c>
      <c r="K99" s="2"/>
      <c r="L99" s="2">
        <f t="shared" si="55"/>
        <v>-1488.3</v>
      </c>
      <c r="M99" s="2"/>
      <c r="N99" s="22">
        <f t="shared" si="56"/>
        <v>-2.46</v>
      </c>
      <c r="O99" s="11"/>
      <c r="P99" s="2">
        <f>-691.4</f>
        <v>-691.4</v>
      </c>
      <c r="Q99" s="2"/>
      <c r="R99" s="22">
        <f t="shared" si="57"/>
        <v>-5.4212802043482322E-4</v>
      </c>
      <c r="S99" s="2"/>
      <c r="T99" s="2">
        <v>11334</v>
      </c>
      <c r="U99" s="2"/>
      <c r="V99" s="22">
        <f t="shared" si="58"/>
        <v>7.9534386306668418E-3</v>
      </c>
      <c r="W99" s="2"/>
      <c r="X99" s="2">
        <f t="shared" si="59"/>
        <v>-12025.4</v>
      </c>
      <c r="Y99" s="2"/>
      <c r="Z99" s="22">
        <f t="shared" si="60"/>
        <v>-1.0610022939827068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10"/>
      <c r="B101" s="25" t="s">
        <v>3</v>
      </c>
      <c r="C101" s="25"/>
      <c r="D101" s="21">
        <f>+D46-D48+D97</f>
        <v>-9141.1200000000208</v>
      </c>
      <c r="E101" s="13"/>
      <c r="F101" s="19">
        <f>IF(D$12=0,0,D101/D$12)</f>
        <v>-0.11506713986950447</v>
      </c>
      <c r="G101" s="13"/>
      <c r="H101" s="21">
        <f>+H46-H48+H97</f>
        <v>1196.9423971538454</v>
      </c>
      <c r="I101" s="13"/>
      <c r="J101" s="19">
        <f>IF(H$12=0,0,H101/H$12)</f>
        <v>1.5739508424446005E-2</v>
      </c>
      <c r="K101" s="16"/>
      <c r="L101" s="21">
        <f>+D101-H101</f>
        <v>-10338.062397153866</v>
      </c>
      <c r="M101" s="16"/>
      <c r="N101" s="19">
        <f>IF(H101=0,0,L101/H101)</f>
        <v>-8.6370592450699988</v>
      </c>
      <c r="O101" s="26"/>
      <c r="P101" s="21">
        <f>+P46-P48+P97</f>
        <v>-20505.650000000074</v>
      </c>
      <c r="Q101" s="13"/>
      <c r="R101" s="19">
        <f>IF(P$12=0,0,P101/P$12)</f>
        <v>-1.6078518140337537E-2</v>
      </c>
      <c r="S101" s="13"/>
      <c r="T101" s="21">
        <f>+T46-T48+T97</f>
        <v>209204.09411150002</v>
      </c>
      <c r="U101" s="13"/>
      <c r="V101" s="19">
        <f>IF(T$12=0,0,T101/T$12)</f>
        <v>0.14680535766720187</v>
      </c>
      <c r="W101" s="16"/>
      <c r="X101" s="21">
        <f>+P101-T101</f>
        <v>-229709.7441115001</v>
      </c>
      <c r="Y101" s="16"/>
      <c r="Z101" s="19">
        <f>IF(T101=0,0,X101/T101)</f>
        <v>-1.0980174412316765</v>
      </c>
    </row>
    <row r="102" spans="1:26" x14ac:dyDescent="0.2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52"/>
      <c r="B103" s="10" t="s">
        <v>14</v>
      </c>
      <c r="C103" s="10"/>
      <c r="D103" s="4">
        <v>45936.74</v>
      </c>
      <c r="E103" s="4"/>
      <c r="F103" s="12">
        <f>IF(D$12=0,0,D103/D$12)</f>
        <v>0.5782452573348833</v>
      </c>
      <c r="G103" s="4"/>
      <c r="H103" s="4">
        <v>29724</v>
      </c>
      <c r="I103" s="4"/>
      <c r="J103" s="12">
        <f>IF(H$12=0,0,H103/H$12)</f>
        <v>0.39086354491301434</v>
      </c>
      <c r="K103" s="4"/>
      <c r="L103" s="4">
        <f>+D103-H103</f>
        <v>16212.739999999998</v>
      </c>
      <c r="M103" s="4"/>
      <c r="N103" s="12">
        <f>IF(H103=0,0,L103/H103)</f>
        <v>0.54544273987350278</v>
      </c>
      <c r="O103" s="10"/>
      <c r="P103" s="4">
        <v>235965.74</v>
      </c>
      <c r="Q103" s="4"/>
      <c r="R103" s="12">
        <f>IF(P$12=0,0,P103/P$12)</f>
        <v>0.18502117372958951</v>
      </c>
      <c r="S103" s="4"/>
      <c r="T103" s="4">
        <v>270318</v>
      </c>
      <c r="U103" s="4"/>
      <c r="V103" s="12">
        <f>IF(T$12=0,0,T103/T$12)</f>
        <v>0.18969098498011289</v>
      </c>
      <c r="W103" s="4"/>
      <c r="X103" s="4">
        <f>+P103-T103</f>
        <v>-34352.260000000009</v>
      </c>
      <c r="Y103" s="4"/>
      <c r="Z103" s="12">
        <f>IF(T103=0,0,X103/T103)</f>
        <v>-0.12708091950961464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5" t="s">
        <v>4</v>
      </c>
      <c r="C105" s="25"/>
      <c r="D105" s="34">
        <f>+D101-D103</f>
        <v>-55077.860000000015</v>
      </c>
      <c r="E105" s="13"/>
      <c r="F105" s="31">
        <f>IF(D$12=0,0,D105/D$12)</f>
        <v>-0.69331239720438764</v>
      </c>
      <c r="G105" s="13"/>
      <c r="H105" s="34">
        <f>+H101-H103</f>
        <v>-28527.057602846155</v>
      </c>
      <c r="I105" s="13"/>
      <c r="J105" s="31">
        <f>IF(H$12=0,0,H105/H$12)</f>
        <v>-0.37512403648856829</v>
      </c>
      <c r="K105" s="16"/>
      <c r="L105" s="34">
        <f>D105-H105</f>
        <v>-26550.802397153861</v>
      </c>
      <c r="M105" s="16"/>
      <c r="N105" s="31">
        <f>IF(H105=0,0,L105/H105)</f>
        <v>0.93072348248439329</v>
      </c>
      <c r="O105" s="26"/>
      <c r="P105" s="34">
        <f>+P101-P103</f>
        <v>-256471.39000000007</v>
      </c>
      <c r="Q105" s="13"/>
      <c r="R105" s="31">
        <f>IF(P$12=0,0,P105/P$12)</f>
        <v>-0.20109969186992704</v>
      </c>
      <c r="S105" s="13"/>
      <c r="T105" s="34">
        <f>+T101-T103</f>
        <v>-61113.905888499983</v>
      </c>
      <c r="U105" s="13"/>
      <c r="V105" s="31">
        <f>IF(T$12=0,0,T105/T$12)</f>
        <v>-4.2885627312911026E-2</v>
      </c>
      <c r="W105" s="16"/>
      <c r="X105" s="34">
        <f>P105-T105</f>
        <v>-195357.48411150009</v>
      </c>
      <c r="Y105" s="16"/>
      <c r="Z105" s="31">
        <f>IF(T105=0,0,X105/T105)</f>
        <v>3.196612641121686</v>
      </c>
    </row>
    <row r="106" spans="1:26" ht="15.75" thickTop="1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5" t="s">
        <v>5</v>
      </c>
      <c r="C108" s="25"/>
      <c r="D108" s="33">
        <f>SUM(D105:D107)</f>
        <v>-55077.860000000015</v>
      </c>
      <c r="E108" s="13"/>
      <c r="F108" s="32">
        <f>IF(D$12=0,0,D108/D$12)</f>
        <v>-0.69331239720438764</v>
      </c>
      <c r="G108" s="13"/>
      <c r="H108" s="33">
        <f>SUM(H105:H107)</f>
        <v>-28527.057602846155</v>
      </c>
      <c r="I108" s="13"/>
      <c r="J108" s="32">
        <f>IF(H$12=0,0,H108/H$12)</f>
        <v>-0.37512403648856829</v>
      </c>
      <c r="K108" s="16"/>
      <c r="L108" s="33">
        <f>+D108-H108</f>
        <v>-26550.802397153861</v>
      </c>
      <c r="M108" s="16"/>
      <c r="N108" s="32">
        <f>IF(H108=0,0,L108/H108)</f>
        <v>0.93072348248439329</v>
      </c>
      <c r="O108" s="26"/>
      <c r="P108" s="33">
        <f>SUM(P105:P107)</f>
        <v>-256471.39000000007</v>
      </c>
      <c r="Q108" s="13"/>
      <c r="R108" s="32">
        <f>IF(P$12=0,0,P108/P$12)</f>
        <v>-0.20109969186992704</v>
      </c>
      <c r="S108" s="13"/>
      <c r="T108" s="33">
        <f>SUM(T105:T107)</f>
        <v>-61113.905888499983</v>
      </c>
      <c r="U108" s="13"/>
      <c r="V108" s="32">
        <f>IF(T$12=0,0,T108/T$12)</f>
        <v>-4.2885627312911026E-2</v>
      </c>
      <c r="W108" s="16"/>
      <c r="X108" s="33">
        <f>+P108-T108</f>
        <v>-195357.48411150009</v>
      </c>
      <c r="Y108" s="16"/>
      <c r="Z108" s="32">
        <f>IF(T108=0,0,X108/T108)</f>
        <v>3.196612641121686</v>
      </c>
    </row>
    <row r="109" spans="1:26" ht="15.75" thickTop="1" x14ac:dyDescent="0.25">
      <c r="A109" s="9"/>
      <c r="C109" s="9"/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63">
        <v>44209.518252662034</v>
      </c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60" t="s">
        <v>314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58"/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4:24" x14ac:dyDescent="0.25"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","317", " - ", "Computer Store")</f>
        <v>Department 317 - Computer Store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79441.619999999981</v>
      </c>
      <c r="E12" s="4"/>
      <c r="F12" s="12"/>
      <c r="G12" s="4"/>
      <c r="H12" s="4">
        <f>SUM(OSRRefH13x_0)</f>
        <v>76047</v>
      </c>
      <c r="I12" s="4"/>
      <c r="J12" s="12"/>
      <c r="K12" s="4"/>
      <c r="L12" s="4">
        <f t="shared" ref="L12:L30" si="0">+D12-H12</f>
        <v>3394.6199999999808</v>
      </c>
      <c r="M12" s="4"/>
      <c r="N12" s="12">
        <f t="shared" ref="N12:N30" si="1">IF(H12=0,0,L12/H12)</f>
        <v>4.4638447276026415E-2</v>
      </c>
      <c r="O12" s="10"/>
      <c r="P12" s="4">
        <f>SUM(OSRRefP13x_0)</f>
        <v>1275344.5200000003</v>
      </c>
      <c r="Q12" s="4"/>
      <c r="R12" s="12"/>
      <c r="S12" s="4"/>
      <c r="T12" s="4">
        <f>SUM(OSRRefT13x_0)</f>
        <v>1425044</v>
      </c>
      <c r="U12" s="4"/>
      <c r="V12" s="12"/>
      <c r="W12" s="4"/>
      <c r="X12" s="4">
        <f t="shared" ref="X12:X30" si="2">+P12-T12</f>
        <v>-149699.47999999975</v>
      </c>
      <c r="Y12" s="4"/>
      <c r="Z12" s="12">
        <f t="shared" ref="Z12:Z30" si="3">IF(T12=0,0,X12/T12)</f>
        <v>-0.10504902304770923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-264.66</f>
        <v>-264.66000000000003</v>
      </c>
      <c r="E13" s="2"/>
      <c r="F13" s="22"/>
      <c r="G13" s="2"/>
      <c r="H13" s="2">
        <v>67730</v>
      </c>
      <c r="I13" s="2"/>
      <c r="J13" s="22"/>
      <c r="K13" s="2"/>
      <c r="L13" s="2">
        <f t="shared" si="0"/>
        <v>-67994.66</v>
      </c>
      <c r="M13" s="2"/>
      <c r="N13" s="22">
        <f t="shared" si="1"/>
        <v>-1.0039075741916434</v>
      </c>
      <c r="O13" s="11"/>
      <c r="P13" s="2">
        <f>-2308.77</f>
        <v>-2308.77</v>
      </c>
      <c r="Q13" s="2"/>
      <c r="R13" s="22"/>
      <c r="S13" s="2"/>
      <c r="T13" s="2">
        <v>1345441</v>
      </c>
      <c r="U13" s="2"/>
      <c r="V13" s="22"/>
      <c r="W13" s="2"/>
      <c r="X13" s="2">
        <f t="shared" si="2"/>
        <v>-1347749.77</v>
      </c>
      <c r="Y13" s="2"/>
      <c r="Z13" s="22">
        <f t="shared" si="3"/>
        <v>-1.0017159949785981</v>
      </c>
    </row>
    <row r="14" spans="1:26" s="24" customFormat="1" hidden="1" outlineLevel="1" x14ac:dyDescent="0.25">
      <c r="A14" s="51"/>
      <c r="B14" s="11" t="str">
        <f>CONCATENATE("          ", "4081", " - ", "TAXABLE SALES-ELECTRONICS")</f>
        <v xml:space="preserve">          4081 - TAXABLE SALES-ELECTRONICS</v>
      </c>
      <c r="C14" s="11"/>
      <c r="D14" s="2">
        <f>--860.25</f>
        <v>860.25</v>
      </c>
      <c r="E14" s="2"/>
      <c r="F14" s="22"/>
      <c r="G14" s="2"/>
      <c r="H14" s="2"/>
      <c r="I14" s="2"/>
      <c r="J14" s="22"/>
      <c r="K14" s="2"/>
      <c r="L14" s="2">
        <f t="shared" si="0"/>
        <v>860.25</v>
      </c>
      <c r="M14" s="2"/>
      <c r="N14" s="22">
        <f t="shared" si="1"/>
        <v>0</v>
      </c>
      <c r="O14" s="11"/>
      <c r="P14" s="2">
        <f>--56879.52</f>
        <v>56879.519999999997</v>
      </c>
      <c r="Q14" s="2"/>
      <c r="R14" s="22"/>
      <c r="S14" s="2"/>
      <c r="T14" s="2"/>
      <c r="U14" s="2"/>
      <c r="V14" s="22"/>
      <c r="W14" s="2"/>
      <c r="X14" s="2">
        <f t="shared" si="2"/>
        <v>56879.519999999997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--43662</f>
        <v>43662</v>
      </c>
      <c r="E15" s="2"/>
      <c r="F15" s="22"/>
      <c r="G15" s="2"/>
      <c r="H15" s="2"/>
      <c r="I15" s="2"/>
      <c r="J15" s="22"/>
      <c r="K15" s="2"/>
      <c r="L15" s="2">
        <f t="shared" si="0"/>
        <v>43662</v>
      </c>
      <c r="M15" s="2"/>
      <c r="N15" s="22">
        <f t="shared" si="1"/>
        <v>0</v>
      </c>
      <c r="O15" s="11"/>
      <c r="P15" s="2">
        <f>--993256.89</f>
        <v>993256.89</v>
      </c>
      <c r="Q15" s="2"/>
      <c r="R15" s="22"/>
      <c r="S15" s="2"/>
      <c r="T15" s="2"/>
      <c r="U15" s="2"/>
      <c r="V15" s="22"/>
      <c r="W15" s="2"/>
      <c r="X15" s="2">
        <f t="shared" si="2"/>
        <v>993256.89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--7787.03</f>
        <v>7787.03</v>
      </c>
      <c r="E16" s="2"/>
      <c r="F16" s="22"/>
      <c r="G16" s="2"/>
      <c r="H16" s="2"/>
      <c r="I16" s="2"/>
      <c r="J16" s="22"/>
      <c r="K16" s="2"/>
      <c r="L16" s="2">
        <f t="shared" si="0"/>
        <v>7787.03</v>
      </c>
      <c r="M16" s="2"/>
      <c r="N16" s="22">
        <f t="shared" si="1"/>
        <v>0</v>
      </c>
      <c r="O16" s="11"/>
      <c r="P16" s="2">
        <f>--84637.98</f>
        <v>84637.98</v>
      </c>
      <c r="Q16" s="2"/>
      <c r="R16" s="22"/>
      <c r="S16" s="2"/>
      <c r="T16" s="2"/>
      <c r="U16" s="2"/>
      <c r="V16" s="22"/>
      <c r="W16" s="2"/>
      <c r="X16" s="2">
        <f t="shared" si="2"/>
        <v>84637.98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"4085", " - ", "TAXABLE SALES-SOFTWARE")</f>
        <v xml:space="preserve">          4085 - TAXABLE SALES-SOFTWARE</v>
      </c>
      <c r="C17" s="11"/>
      <c r="D17" s="2">
        <f>--1228.99</f>
        <v>1228.99</v>
      </c>
      <c r="E17" s="2"/>
      <c r="F17" s="22"/>
      <c r="G17" s="2"/>
      <c r="H17" s="2"/>
      <c r="I17" s="2"/>
      <c r="J17" s="22"/>
      <c r="K17" s="2"/>
      <c r="L17" s="2">
        <f t="shared" si="0"/>
        <v>1228.99</v>
      </c>
      <c r="M17" s="2"/>
      <c r="N17" s="22">
        <f t="shared" si="1"/>
        <v>0</v>
      </c>
      <c r="O17" s="11"/>
      <c r="P17" s="2">
        <f>--2728.94</f>
        <v>2728.94</v>
      </c>
      <c r="Q17" s="2"/>
      <c r="R17" s="22"/>
      <c r="S17" s="2"/>
      <c r="T17" s="2"/>
      <c r="U17" s="2"/>
      <c r="V17" s="22"/>
      <c r="W17" s="2"/>
      <c r="X17" s="2">
        <f t="shared" si="2"/>
        <v>2728.94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--27507.98</f>
        <v>27507.98</v>
      </c>
      <c r="E18" s="2"/>
      <c r="F18" s="22"/>
      <c r="G18" s="2"/>
      <c r="H18" s="2"/>
      <c r="I18" s="2"/>
      <c r="J18" s="22"/>
      <c r="K18" s="2"/>
      <c r="L18" s="2">
        <f t="shared" si="0"/>
        <v>27507.98</v>
      </c>
      <c r="M18" s="2"/>
      <c r="N18" s="22">
        <f t="shared" si="1"/>
        <v>0</v>
      </c>
      <c r="O18" s="11"/>
      <c r="P18" s="2">
        <f>--57135.58</f>
        <v>57135.58</v>
      </c>
      <c r="Q18" s="2"/>
      <c r="R18" s="22"/>
      <c r="S18" s="2"/>
      <c r="T18" s="2"/>
      <c r="U18" s="2"/>
      <c r="V18" s="22"/>
      <c r="W18" s="2"/>
      <c r="X18" s="2">
        <f t="shared" si="2"/>
        <v>57135.58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"4100", " - ", "NON-TAXABLE SALES")</f>
        <v xml:space="preserve">          4100 - NON-TAXABLE SALES</v>
      </c>
      <c r="C19" s="11"/>
      <c r="D19" s="2">
        <f t="shared" ref="D19:D20" si="4">0</f>
        <v>0</v>
      </c>
      <c r="E19" s="2"/>
      <c r="F19" s="22"/>
      <c r="G19" s="2"/>
      <c r="H19" s="2">
        <v>8317</v>
      </c>
      <c r="I19" s="2"/>
      <c r="J19" s="22"/>
      <c r="K19" s="2"/>
      <c r="L19" s="2">
        <f t="shared" si="0"/>
        <v>-8317</v>
      </c>
      <c r="M19" s="2"/>
      <c r="N19" s="22">
        <f t="shared" si="1"/>
        <v>-1</v>
      </c>
      <c r="O19" s="11"/>
      <c r="P19" s="2">
        <f>0</f>
        <v>0</v>
      </c>
      <c r="Q19" s="2"/>
      <c r="R19" s="22"/>
      <c r="S19" s="2"/>
      <c r="T19" s="2">
        <v>79603</v>
      </c>
      <c r="U19" s="2"/>
      <c r="V19" s="22"/>
      <c r="W19" s="2"/>
      <c r="X19" s="2">
        <f t="shared" si="2"/>
        <v>-79603</v>
      </c>
      <c r="Y19" s="2"/>
      <c r="Z19" s="22">
        <f t="shared" si="3"/>
        <v>-1</v>
      </c>
    </row>
    <row r="20" spans="1:26" s="24" customFormat="1" hidden="1" outlineLevel="1" x14ac:dyDescent="0.25">
      <c r="A20" s="51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 t="shared" si="4"/>
        <v>0</v>
      </c>
      <c r="E20" s="2"/>
      <c r="F20" s="22"/>
      <c r="G20" s="2"/>
      <c r="H20" s="2"/>
      <c r="I20" s="2"/>
      <c r="J20" s="22"/>
      <c r="K20" s="2"/>
      <c r="L20" s="2">
        <f t="shared" si="0"/>
        <v>0</v>
      </c>
      <c r="M20" s="2"/>
      <c r="N20" s="22">
        <f t="shared" si="1"/>
        <v>0</v>
      </c>
      <c r="O20" s="11"/>
      <c r="P20" s="2">
        <f>--3534.12</f>
        <v>3534.12</v>
      </c>
      <c r="Q20" s="2"/>
      <c r="R20" s="22"/>
      <c r="S20" s="2"/>
      <c r="T20" s="2"/>
      <c r="U20" s="2"/>
      <c r="V20" s="22"/>
      <c r="W20" s="2"/>
      <c r="X20" s="2">
        <f t="shared" si="2"/>
        <v>3534.12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--9513.96</f>
        <v>9513.9599999999991</v>
      </c>
      <c r="E21" s="2"/>
      <c r="F21" s="22"/>
      <c r="G21" s="2"/>
      <c r="H21" s="2"/>
      <c r="I21" s="2"/>
      <c r="J21" s="22"/>
      <c r="K21" s="2"/>
      <c r="L21" s="2">
        <f t="shared" si="0"/>
        <v>9513.9599999999991</v>
      </c>
      <c r="M21" s="2"/>
      <c r="N21" s="22">
        <f t="shared" si="1"/>
        <v>0</v>
      </c>
      <c r="O21" s="11"/>
      <c r="P21" s="2">
        <f>--164308.31</f>
        <v>164308.31</v>
      </c>
      <c r="Q21" s="2"/>
      <c r="R21" s="22"/>
      <c r="S21" s="2"/>
      <c r="T21" s="2"/>
      <c r="U21" s="2"/>
      <c r="V21" s="22"/>
      <c r="W21" s="2"/>
      <c r="X21" s="2">
        <f t="shared" si="2"/>
        <v>164308.31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--258.91</f>
        <v>258.91000000000003</v>
      </c>
      <c r="E22" s="2"/>
      <c r="F22" s="22"/>
      <c r="G22" s="2"/>
      <c r="H22" s="2"/>
      <c r="I22" s="2"/>
      <c r="J22" s="22"/>
      <c r="K22" s="2"/>
      <c r="L22" s="2">
        <f t="shared" si="0"/>
        <v>258.91000000000003</v>
      </c>
      <c r="M22" s="2"/>
      <c r="N22" s="22">
        <f t="shared" si="1"/>
        <v>0</v>
      </c>
      <c r="O22" s="11"/>
      <c r="P22" s="2">
        <f>--7629.19</f>
        <v>7629.19</v>
      </c>
      <c r="Q22" s="2"/>
      <c r="R22" s="22"/>
      <c r="S22" s="2"/>
      <c r="T22" s="2"/>
      <c r="U22" s="2"/>
      <c r="V22" s="22"/>
      <c r="W22" s="2"/>
      <c r="X22" s="2">
        <f t="shared" si="2"/>
        <v>7629.19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"4185", " - ", "NON-TAXABLE SALES-SOFTWARE")</f>
        <v xml:space="preserve">          4185 - NON-TAXABLE SALES-SOFTWARE</v>
      </c>
      <c r="C23" s="11"/>
      <c r="D23" s="2">
        <f>--873.93</f>
        <v>873.93</v>
      </c>
      <c r="E23" s="2"/>
      <c r="F23" s="22"/>
      <c r="G23" s="2"/>
      <c r="H23" s="2"/>
      <c r="I23" s="2"/>
      <c r="J23" s="22"/>
      <c r="K23" s="2"/>
      <c r="L23" s="2">
        <f t="shared" si="0"/>
        <v>873.93</v>
      </c>
      <c r="M23" s="2"/>
      <c r="N23" s="22">
        <f t="shared" si="1"/>
        <v>0</v>
      </c>
      <c r="O23" s="11"/>
      <c r="P23" s="2">
        <f>--26680.67</f>
        <v>26680.67</v>
      </c>
      <c r="Q23" s="2"/>
      <c r="R23" s="22"/>
      <c r="S23" s="2"/>
      <c r="T23" s="2"/>
      <c r="U23" s="2"/>
      <c r="V23" s="22"/>
      <c r="W23" s="2"/>
      <c r="X23" s="2">
        <f t="shared" si="2"/>
        <v>26680.67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--176.22</f>
        <v>176.22</v>
      </c>
      <c r="E24" s="2"/>
      <c r="F24" s="22"/>
      <c r="G24" s="2"/>
      <c r="H24" s="2"/>
      <c r="I24" s="2"/>
      <c r="J24" s="22"/>
      <c r="K24" s="2"/>
      <c r="L24" s="2">
        <f t="shared" si="0"/>
        <v>176.22</v>
      </c>
      <c r="M24" s="2"/>
      <c r="N24" s="22">
        <f t="shared" si="1"/>
        <v>0</v>
      </c>
      <c r="O24" s="11"/>
      <c r="P24" s="2">
        <f>--1949.99</f>
        <v>1949.99</v>
      </c>
      <c r="Q24" s="2"/>
      <c r="R24" s="22"/>
      <c r="S24" s="2"/>
      <c r="T24" s="2"/>
      <c r="U24" s="2"/>
      <c r="V24" s="22"/>
      <c r="W24" s="2"/>
      <c r="X24" s="2">
        <f t="shared" si="2"/>
        <v>1949.99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"4281", " - ", "SALES RETURN TAXABLE-ELECTRONI")</f>
        <v xml:space="preserve">          4281 - SALES RETURN TAXABLE-ELECTRONI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-14632.15</f>
        <v>-14632.15</v>
      </c>
      <c r="Q25" s="2"/>
      <c r="R25" s="22"/>
      <c r="S25" s="2"/>
      <c r="T25" s="2"/>
      <c r="U25" s="2"/>
      <c r="V25" s="22"/>
      <c r="W25" s="2"/>
      <c r="X25" s="2">
        <f t="shared" si="2"/>
        <v>-14632.15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"4282", " - ", "SALES RETURN TAXABLE-COMPUTER")</f>
        <v xml:space="preserve">          4282 - SALES RETURN TAXABLE-COMPUTER</v>
      </c>
      <c r="C26" s="11"/>
      <c r="D26" s="2">
        <f>-7936</f>
        <v>-7936</v>
      </c>
      <c r="E26" s="2"/>
      <c r="F26" s="22"/>
      <c r="G26" s="2"/>
      <c r="H26" s="2"/>
      <c r="I26" s="2"/>
      <c r="J26" s="22"/>
      <c r="K26" s="2"/>
      <c r="L26" s="2">
        <f t="shared" si="0"/>
        <v>-7936</v>
      </c>
      <c r="M26" s="2"/>
      <c r="N26" s="22">
        <f t="shared" si="1"/>
        <v>0</v>
      </c>
      <c r="O26" s="11"/>
      <c r="P26" s="2">
        <f>-92020.01</f>
        <v>-92020.01</v>
      </c>
      <c r="Q26" s="2"/>
      <c r="R26" s="22"/>
      <c r="S26" s="2"/>
      <c r="T26" s="2"/>
      <c r="U26" s="2"/>
      <c r="V26" s="22"/>
      <c r="W26" s="2"/>
      <c r="X26" s="2">
        <f t="shared" si="2"/>
        <v>-92020.01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"4283", " - ", "SALES RETURN TAXABLE-COMPUTER")</f>
        <v xml:space="preserve">          4283 - SALES RETURN TAXABLE-COMPUTER</v>
      </c>
      <c r="C27" s="11"/>
      <c r="D27" s="2">
        <f>-99.99</f>
        <v>-99.99</v>
      </c>
      <c r="E27" s="2"/>
      <c r="F27" s="22"/>
      <c r="G27" s="2"/>
      <c r="H27" s="2"/>
      <c r="I27" s="2"/>
      <c r="J27" s="22"/>
      <c r="K27" s="2"/>
      <c r="L27" s="2">
        <f t="shared" si="0"/>
        <v>-99.99</v>
      </c>
      <c r="M27" s="2"/>
      <c r="N27" s="22">
        <f t="shared" si="1"/>
        <v>0</v>
      </c>
      <c r="O27" s="11"/>
      <c r="P27" s="2">
        <f>-3411.26</f>
        <v>-3411.26</v>
      </c>
      <c r="Q27" s="2"/>
      <c r="R27" s="22"/>
      <c r="S27" s="2"/>
      <c r="T27" s="2"/>
      <c r="U27" s="2"/>
      <c r="V27" s="22"/>
      <c r="W27" s="2"/>
      <c r="X27" s="2">
        <f t="shared" si="2"/>
        <v>-3411.26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"4285", " - ", "SALES RETURN TAXABLE-SOFTWARE")</f>
        <v xml:space="preserve">          4285 - SALES RETURN TAXABLE-SOFTWARE</v>
      </c>
      <c r="C28" s="11"/>
      <c r="D28" s="2">
        <f>0</f>
        <v>0</v>
      </c>
      <c r="E28" s="2"/>
      <c r="F28" s="22"/>
      <c r="G28" s="2"/>
      <c r="H28" s="2"/>
      <c r="I28" s="2"/>
      <c r="J28" s="22"/>
      <c r="K28" s="2"/>
      <c r="L28" s="2">
        <f t="shared" si="0"/>
        <v>0</v>
      </c>
      <c r="M28" s="2"/>
      <c r="N28" s="22">
        <f t="shared" si="1"/>
        <v>0</v>
      </c>
      <c r="O28" s="11"/>
      <c r="P28" s="2">
        <f>-691.98</f>
        <v>-691.98</v>
      </c>
      <c r="Q28" s="2"/>
      <c r="R28" s="22"/>
      <c r="S28" s="2"/>
      <c r="T28" s="2"/>
      <c r="U28" s="2"/>
      <c r="V28" s="22"/>
      <c r="W28" s="2"/>
      <c r="X28" s="2">
        <f t="shared" si="2"/>
        <v>-691.98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"4286", " - ", "SALES RETURN TAXABLE-COMPUTER")</f>
        <v xml:space="preserve">          4286 - SALES RETURN TAXABLE-COMPUTER</v>
      </c>
      <c r="C29" s="11"/>
      <c r="D29" s="2">
        <f>-4127</f>
        <v>-4127</v>
      </c>
      <c r="E29" s="2"/>
      <c r="F29" s="22"/>
      <c r="G29" s="2"/>
      <c r="H29" s="2"/>
      <c r="I29" s="2"/>
      <c r="J29" s="22"/>
      <c r="K29" s="2"/>
      <c r="L29" s="2">
        <f t="shared" si="0"/>
        <v>-4127</v>
      </c>
      <c r="M29" s="2"/>
      <c r="N29" s="22">
        <f t="shared" si="1"/>
        <v>0</v>
      </c>
      <c r="O29" s="11"/>
      <c r="P29" s="2">
        <f>-4708.35</f>
        <v>-4708.3500000000004</v>
      </c>
      <c r="Q29" s="2"/>
      <c r="R29" s="22"/>
      <c r="S29" s="2"/>
      <c r="T29" s="2"/>
      <c r="U29" s="2"/>
      <c r="V29" s="22"/>
      <c r="W29" s="2"/>
      <c r="X29" s="2">
        <f t="shared" si="2"/>
        <v>-4708.3500000000004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"4381", " - ", "SALES RETURN NON TAXABLE-ELECT")</f>
        <v xml:space="preserve">          4381 - SALES RETURN NON TAXABLE-ELECT</v>
      </c>
      <c r="C30" s="11"/>
      <c r="D30" s="2">
        <f>0</f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-5624.15</f>
        <v>-5624.15</v>
      </c>
      <c r="Q30" s="2"/>
      <c r="R30" s="22"/>
      <c r="S30" s="2"/>
      <c r="T30" s="2"/>
      <c r="U30" s="2"/>
      <c r="V30" s="22"/>
      <c r="W30" s="2"/>
      <c r="X30" s="2">
        <f t="shared" si="2"/>
        <v>-5624.15</v>
      </c>
      <c r="Y30" s="2"/>
      <c r="Z30" s="22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6" t="s">
        <v>8</v>
      </c>
      <c r="C32" s="10"/>
      <c r="D32" s="4">
        <f>SUM(OSRRefD16x_0)</f>
        <v>74328</v>
      </c>
      <c r="E32" s="4"/>
      <c r="F32" s="12">
        <f t="shared" ref="F32:F44" si="5">IF(D$12=0,0,D32/D$12)</f>
        <v>0.93563046675030059</v>
      </c>
      <c r="G32" s="4"/>
      <c r="H32" s="4">
        <f>SUM(OSRRefH16x_0)</f>
        <v>59390</v>
      </c>
      <c r="I32" s="4"/>
      <c r="J32" s="12">
        <f t="shared" ref="J32:J44" si="6">IF(H$12=0,0,H32/H$12)</f>
        <v>0.78096440359251518</v>
      </c>
      <c r="K32" s="4"/>
      <c r="L32" s="4">
        <f t="shared" ref="L32:L44" si="7">+D32-H32</f>
        <v>14938</v>
      </c>
      <c r="M32" s="4"/>
      <c r="N32" s="12">
        <f t="shared" ref="N32:N44" si="8">IF(H32=0,0,L32/H32)</f>
        <v>0.25152382555985858</v>
      </c>
      <c r="O32" s="10"/>
      <c r="P32" s="4">
        <f>SUM(OSRRefP16x_0)</f>
        <v>1215966.8400000003</v>
      </c>
      <c r="Q32" s="4"/>
      <c r="R32" s="12">
        <f t="shared" ref="R32:R44" si="9">IF(P$12=0,0,P32/P$12)</f>
        <v>0.95344185114779811</v>
      </c>
      <c r="S32" s="4"/>
      <c r="T32" s="4">
        <f>SUM(OSRRefT16x_0)</f>
        <v>1112906</v>
      </c>
      <c r="U32" s="4"/>
      <c r="V32" s="12">
        <f t="shared" ref="V32:V44" si="10">IF(T$12=0,0,T32/T$12)</f>
        <v>0.78096255273521376</v>
      </c>
      <c r="W32" s="4"/>
      <c r="X32" s="4">
        <f t="shared" ref="X32:X44" si="11">+P32-T32</f>
        <v>103060.84000000032</v>
      </c>
      <c r="Y32" s="4"/>
      <c r="Z32" s="12">
        <f t="shared" ref="Z32:Z44" si="12">IF(T32=0,0,X32/T32)</f>
        <v>9.2605161621916246E-2</v>
      </c>
    </row>
    <row r="33" spans="1:26" s="24" customFormat="1" hidden="1" outlineLevel="1" x14ac:dyDescent="0.25">
      <c r="A33" s="51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22">
        <f t="shared" si="5"/>
        <v>0</v>
      </c>
      <c r="G33" s="2"/>
      <c r="H33" s="2">
        <v>59390</v>
      </c>
      <c r="I33" s="2"/>
      <c r="J33" s="22">
        <f t="shared" si="6"/>
        <v>0.78096440359251518</v>
      </c>
      <c r="K33" s="2"/>
      <c r="L33" s="2">
        <f t="shared" si="7"/>
        <v>-59390</v>
      </c>
      <c r="M33" s="2"/>
      <c r="N33" s="22">
        <f t="shared" si="8"/>
        <v>-1</v>
      </c>
      <c r="O33" s="11"/>
      <c r="P33" s="2"/>
      <c r="Q33" s="2"/>
      <c r="R33" s="22">
        <f t="shared" si="9"/>
        <v>0</v>
      </c>
      <c r="S33" s="2"/>
      <c r="T33" s="2">
        <v>1112906</v>
      </c>
      <c r="U33" s="2"/>
      <c r="V33" s="22">
        <f t="shared" si="10"/>
        <v>0.78096255273521376</v>
      </c>
      <c r="W33" s="2"/>
      <c r="X33" s="2">
        <f t="shared" si="11"/>
        <v>-1112906</v>
      </c>
      <c r="Y33" s="2"/>
      <c r="Z33" s="22">
        <f t="shared" si="12"/>
        <v>-1</v>
      </c>
    </row>
    <row r="34" spans="1:26" s="24" customFormat="1" hidden="1" outlineLevel="1" x14ac:dyDescent="0.25">
      <c r="A34" s="51"/>
      <c r="B34" s="11" t="str">
        <f>CONCATENATE("          ", "5081", " - ", "PURCHASES @ COST-ELECTRONICS")</f>
        <v xml:space="preserve">          5081 - PURCHASES @ COST-ELECTRONICS</v>
      </c>
      <c r="C34" s="11"/>
      <c r="D34" s="2">
        <v>945.44</v>
      </c>
      <c r="E34" s="2"/>
      <c r="F34" s="22">
        <f t="shared" si="5"/>
        <v>1.1901066468684806E-2</v>
      </c>
      <c r="G34" s="2"/>
      <c r="H34" s="2"/>
      <c r="I34" s="2"/>
      <c r="J34" s="22">
        <f t="shared" si="6"/>
        <v>0</v>
      </c>
      <c r="K34" s="2"/>
      <c r="L34" s="2">
        <f t="shared" si="7"/>
        <v>945.44</v>
      </c>
      <c r="M34" s="2"/>
      <c r="N34" s="22">
        <f t="shared" si="8"/>
        <v>0</v>
      </c>
      <c r="O34" s="11"/>
      <c r="P34" s="2">
        <v>25260.510000000002</v>
      </c>
      <c r="Q34" s="2"/>
      <c r="R34" s="22">
        <f t="shared" si="9"/>
        <v>1.9806812672077029E-2</v>
      </c>
      <c r="S34" s="2"/>
      <c r="T34" s="2"/>
      <c r="U34" s="2"/>
      <c r="V34" s="22">
        <f t="shared" si="10"/>
        <v>0</v>
      </c>
      <c r="W34" s="2"/>
      <c r="X34" s="2">
        <f t="shared" si="11"/>
        <v>25260.510000000002</v>
      </c>
      <c r="Y34" s="2"/>
      <c r="Z34" s="22">
        <f t="shared" si="12"/>
        <v>0</v>
      </c>
    </row>
    <row r="35" spans="1:26" s="24" customFormat="1" hidden="1" outlineLevel="1" x14ac:dyDescent="0.25">
      <c r="A35" s="51"/>
      <c r="B35" s="11" t="str">
        <f>CONCATENATE("          ", "5082", " - ", "PURCHASES @ COST-COMPUTER HARD")</f>
        <v xml:space="preserve">          5082 - PURCHASES @ COST-COMPUTER HARD</v>
      </c>
      <c r="C35" s="11"/>
      <c r="D35" s="2">
        <v>20916.710000000003</v>
      </c>
      <c r="E35" s="2"/>
      <c r="F35" s="22">
        <f t="shared" si="5"/>
        <v>0.2632966195805172</v>
      </c>
      <c r="G35" s="2"/>
      <c r="H35" s="2"/>
      <c r="I35" s="2"/>
      <c r="J35" s="22">
        <f t="shared" si="6"/>
        <v>0</v>
      </c>
      <c r="K35" s="2"/>
      <c r="L35" s="2">
        <f t="shared" si="7"/>
        <v>20916.710000000003</v>
      </c>
      <c r="M35" s="2"/>
      <c r="N35" s="22">
        <f t="shared" si="8"/>
        <v>0</v>
      </c>
      <c r="O35" s="11"/>
      <c r="P35" s="2">
        <v>980936.82000000007</v>
      </c>
      <c r="Q35" s="2"/>
      <c r="R35" s="22">
        <f t="shared" si="9"/>
        <v>0.76915437720311053</v>
      </c>
      <c r="S35" s="2"/>
      <c r="T35" s="2"/>
      <c r="U35" s="2"/>
      <c r="V35" s="22">
        <f t="shared" si="10"/>
        <v>0</v>
      </c>
      <c r="W35" s="2"/>
      <c r="X35" s="2">
        <f t="shared" si="11"/>
        <v>980936.82000000007</v>
      </c>
      <c r="Y35" s="2"/>
      <c r="Z35" s="22">
        <f t="shared" si="12"/>
        <v>0</v>
      </c>
    </row>
    <row r="36" spans="1:26" s="24" customFormat="1" hidden="1" outlineLevel="1" x14ac:dyDescent="0.25">
      <c r="A36" s="51"/>
      <c r="B36" s="11" t="str">
        <f>CONCATENATE("          ", "5083", " - ", "PURCHASES @ COST-COMPUTER EQUI")</f>
        <v xml:space="preserve">          5083 - PURCHASES @ COST-COMPUTER EQUI</v>
      </c>
      <c r="C36" s="11"/>
      <c r="D36" s="2">
        <v>5833.72</v>
      </c>
      <c r="E36" s="2"/>
      <c r="F36" s="22">
        <f t="shared" si="5"/>
        <v>7.3434051319698684E-2</v>
      </c>
      <c r="G36" s="2"/>
      <c r="H36" s="2"/>
      <c r="I36" s="2"/>
      <c r="J36" s="22">
        <f t="shared" si="6"/>
        <v>0</v>
      </c>
      <c r="K36" s="2"/>
      <c r="L36" s="2">
        <f t="shared" si="7"/>
        <v>5833.72</v>
      </c>
      <c r="M36" s="2"/>
      <c r="N36" s="22">
        <f t="shared" si="8"/>
        <v>0</v>
      </c>
      <c r="O36" s="11"/>
      <c r="P36" s="2">
        <v>81726.840000000011</v>
      </c>
      <c r="Q36" s="2"/>
      <c r="R36" s="22">
        <f t="shared" si="9"/>
        <v>6.4082166597618659E-2</v>
      </c>
      <c r="S36" s="2"/>
      <c r="T36" s="2"/>
      <c r="U36" s="2"/>
      <c r="V36" s="22">
        <f t="shared" si="10"/>
        <v>0</v>
      </c>
      <c r="W36" s="2"/>
      <c r="X36" s="2">
        <f t="shared" si="11"/>
        <v>81726.840000000011</v>
      </c>
      <c r="Y36" s="2"/>
      <c r="Z36" s="22">
        <f t="shared" si="12"/>
        <v>0</v>
      </c>
    </row>
    <row r="37" spans="1:26" s="24" customFormat="1" hidden="1" outlineLevel="1" x14ac:dyDescent="0.25">
      <c r="A37" s="51"/>
      <c r="B37" s="11" t="str">
        <f>CONCATENATE("          ", "5085", " - ", "PURCHASES @ COST-SOFTWARE")</f>
        <v xml:space="preserve">          5085 - PURCHASES @ COST-SOFTWARE</v>
      </c>
      <c r="C37" s="11"/>
      <c r="D37" s="2">
        <v>496.16</v>
      </c>
      <c r="E37" s="2"/>
      <c r="F37" s="22">
        <f t="shared" si="5"/>
        <v>6.2455926754766602E-3</v>
      </c>
      <c r="G37" s="2"/>
      <c r="H37" s="2"/>
      <c r="I37" s="2"/>
      <c r="J37" s="22">
        <f t="shared" si="6"/>
        <v>0</v>
      </c>
      <c r="K37" s="2"/>
      <c r="L37" s="2">
        <f t="shared" si="7"/>
        <v>496.16</v>
      </c>
      <c r="M37" s="2"/>
      <c r="N37" s="22">
        <f t="shared" si="8"/>
        <v>0</v>
      </c>
      <c r="O37" s="11"/>
      <c r="P37" s="2">
        <v>24572.080000000002</v>
      </c>
      <c r="Q37" s="2"/>
      <c r="R37" s="22">
        <f t="shared" si="9"/>
        <v>1.9267013434142482E-2</v>
      </c>
      <c r="S37" s="2"/>
      <c r="T37" s="2"/>
      <c r="U37" s="2"/>
      <c r="V37" s="22">
        <f t="shared" si="10"/>
        <v>0</v>
      </c>
      <c r="W37" s="2"/>
      <c r="X37" s="2">
        <f t="shared" si="11"/>
        <v>24572.080000000002</v>
      </c>
      <c r="Y37" s="2"/>
      <c r="Z37" s="22">
        <f t="shared" si="12"/>
        <v>0</v>
      </c>
    </row>
    <row r="38" spans="1:26" s="24" customFormat="1" hidden="1" outlineLevel="1" x14ac:dyDescent="0.25">
      <c r="A38" s="51"/>
      <c r="B38" s="11" t="str">
        <f>CONCATENATE("          ", "5086", " - ", "PURCHASES @ COST-COMPUTER SUPP")</f>
        <v xml:space="preserve">          5086 - PURCHASES @ COST-COMPUTER SUPP</v>
      </c>
      <c r="C38" s="11"/>
      <c r="D38" s="2"/>
      <c r="E38" s="2"/>
      <c r="F38" s="22">
        <f t="shared" si="5"/>
        <v>0</v>
      </c>
      <c r="G38" s="2"/>
      <c r="H38" s="2"/>
      <c r="I38" s="2"/>
      <c r="J38" s="22">
        <f t="shared" si="6"/>
        <v>0</v>
      </c>
      <c r="K38" s="2"/>
      <c r="L38" s="2">
        <f t="shared" si="7"/>
        <v>0</v>
      </c>
      <c r="M38" s="2"/>
      <c r="N38" s="22">
        <f t="shared" si="8"/>
        <v>0</v>
      </c>
      <c r="O38" s="11"/>
      <c r="P38" s="2">
        <v>22718.609999999997</v>
      </c>
      <c r="Q38" s="2"/>
      <c r="R38" s="22">
        <f t="shared" si="9"/>
        <v>1.7813704174617844E-2</v>
      </c>
      <c r="S38" s="2"/>
      <c r="T38" s="2"/>
      <c r="U38" s="2"/>
      <c r="V38" s="22">
        <f t="shared" si="10"/>
        <v>0</v>
      </c>
      <c r="W38" s="2"/>
      <c r="X38" s="2">
        <f t="shared" si="11"/>
        <v>22718.609999999997</v>
      </c>
      <c r="Y38" s="2"/>
      <c r="Z38" s="22">
        <f t="shared" si="12"/>
        <v>0</v>
      </c>
    </row>
    <row r="39" spans="1:26" s="24" customFormat="1" hidden="1" outlineLevel="1" x14ac:dyDescent="0.25">
      <c r="A39" s="51"/>
      <c r="B39" s="11" t="str">
        <f>CONCATENATE("          ", "5200", " - ", "PURCHASES OFFSET")</f>
        <v xml:space="preserve">          5200 - PURCHASES OFFSET</v>
      </c>
      <c r="C39" s="11"/>
      <c r="D39" s="2">
        <v>-28230.26</v>
      </c>
      <c r="E39" s="2"/>
      <c r="F39" s="22">
        <f t="shared" si="5"/>
        <v>-0.35535856393663678</v>
      </c>
      <c r="G39" s="2"/>
      <c r="H39" s="2"/>
      <c r="I39" s="2"/>
      <c r="J39" s="22">
        <f t="shared" si="6"/>
        <v>0</v>
      </c>
      <c r="K39" s="2"/>
      <c r="L39" s="2">
        <f t="shared" si="7"/>
        <v>-28230.26</v>
      </c>
      <c r="M39" s="2"/>
      <c r="N39" s="22">
        <f t="shared" si="8"/>
        <v>0</v>
      </c>
      <c r="O39" s="11"/>
      <c r="P39" s="2">
        <v>-1131650.54</v>
      </c>
      <c r="Q39" s="2"/>
      <c r="R39" s="22">
        <f t="shared" si="9"/>
        <v>-0.88732928416864154</v>
      </c>
      <c r="S39" s="2"/>
      <c r="T39" s="2"/>
      <c r="U39" s="2"/>
      <c r="V39" s="22">
        <f t="shared" si="10"/>
        <v>0</v>
      </c>
      <c r="W39" s="2"/>
      <c r="X39" s="2">
        <f t="shared" si="11"/>
        <v>-1131650.54</v>
      </c>
      <c r="Y39" s="2"/>
      <c r="Z39" s="22">
        <f t="shared" si="12"/>
        <v>0</v>
      </c>
    </row>
    <row r="40" spans="1:26" s="24" customFormat="1" hidden="1" outlineLevel="1" x14ac:dyDescent="0.25">
      <c r="A40" s="51"/>
      <c r="B40" s="11" t="str">
        <f>CONCATENATE("          ", "5300", " - ", "COG$ OFFSET")</f>
        <v xml:space="preserve">          5300 - COG$ OFFSET</v>
      </c>
      <c r="C40" s="11"/>
      <c r="D40" s="2">
        <v>74328</v>
      </c>
      <c r="E40" s="2"/>
      <c r="F40" s="22">
        <f t="shared" si="5"/>
        <v>0.93563046675030059</v>
      </c>
      <c r="G40" s="2"/>
      <c r="H40" s="2"/>
      <c r="I40" s="2"/>
      <c r="J40" s="22">
        <f t="shared" si="6"/>
        <v>0</v>
      </c>
      <c r="K40" s="2"/>
      <c r="L40" s="2">
        <f t="shared" si="7"/>
        <v>74328</v>
      </c>
      <c r="M40" s="2"/>
      <c r="N40" s="22">
        <f t="shared" si="8"/>
        <v>0</v>
      </c>
      <c r="O40" s="11"/>
      <c r="P40" s="2">
        <v>1212021</v>
      </c>
      <c r="Q40" s="2"/>
      <c r="R40" s="22">
        <f t="shared" si="9"/>
        <v>0.95034791069631896</v>
      </c>
      <c r="S40" s="2"/>
      <c r="T40" s="2"/>
      <c r="U40" s="2"/>
      <c r="V40" s="22">
        <f t="shared" si="10"/>
        <v>0</v>
      </c>
      <c r="W40" s="2"/>
      <c r="X40" s="2">
        <f t="shared" si="11"/>
        <v>1212021</v>
      </c>
      <c r="Y40" s="2"/>
      <c r="Z40" s="22">
        <f t="shared" si="12"/>
        <v>0</v>
      </c>
    </row>
    <row r="41" spans="1:26" s="24" customFormat="1" hidden="1" outlineLevel="1" x14ac:dyDescent="0.25">
      <c r="A41" s="51"/>
      <c r="B41" s="11" t="str">
        <f>CONCATENATE("          ", "5581", " - ", "FREIGHT-IN-ELECTRONICS")</f>
        <v xml:space="preserve">          5581 - FREIGHT-IN-ELECTRONICS</v>
      </c>
      <c r="C41" s="11"/>
      <c r="D41" s="2">
        <v>31</v>
      </c>
      <c r="E41" s="2"/>
      <c r="F41" s="22">
        <f t="shared" si="5"/>
        <v>3.9022366361612476E-4</v>
      </c>
      <c r="G41" s="2"/>
      <c r="H41" s="2"/>
      <c r="I41" s="2"/>
      <c r="J41" s="22">
        <f t="shared" si="6"/>
        <v>0</v>
      </c>
      <c r="K41" s="2"/>
      <c r="L41" s="2">
        <f t="shared" si="7"/>
        <v>31</v>
      </c>
      <c r="M41" s="2"/>
      <c r="N41" s="22">
        <f t="shared" si="8"/>
        <v>0</v>
      </c>
      <c r="O41" s="11"/>
      <c r="P41" s="2">
        <v>31</v>
      </c>
      <c r="Q41" s="2"/>
      <c r="R41" s="22">
        <f t="shared" si="9"/>
        <v>2.4307157410297253E-5</v>
      </c>
      <c r="S41" s="2"/>
      <c r="T41" s="2"/>
      <c r="U41" s="2"/>
      <c r="V41" s="22">
        <f t="shared" si="10"/>
        <v>0</v>
      </c>
      <c r="W41" s="2"/>
      <c r="X41" s="2">
        <f t="shared" si="11"/>
        <v>31</v>
      </c>
      <c r="Y41" s="2"/>
      <c r="Z41" s="22">
        <f t="shared" si="12"/>
        <v>0</v>
      </c>
    </row>
    <row r="42" spans="1:26" s="24" customFormat="1" hidden="1" outlineLevel="1" x14ac:dyDescent="0.25">
      <c r="A42" s="51"/>
      <c r="B42" s="11" t="str">
        <f>CONCATENATE("          ", "5582", " - ", "FREIGHT-IN-COMPUTER HARDWARE")</f>
        <v xml:space="preserve">          5582 - FREIGHT-IN-COMPUTER HARDWARE</v>
      </c>
      <c r="C42" s="11"/>
      <c r="D42" s="2"/>
      <c r="E42" s="2"/>
      <c r="F42" s="22">
        <f t="shared" si="5"/>
        <v>0</v>
      </c>
      <c r="G42" s="2"/>
      <c r="H42" s="2"/>
      <c r="I42" s="2"/>
      <c r="J42" s="22">
        <f t="shared" si="6"/>
        <v>0</v>
      </c>
      <c r="K42" s="2"/>
      <c r="L42" s="2">
        <f t="shared" si="7"/>
        <v>0</v>
      </c>
      <c r="M42" s="2"/>
      <c r="N42" s="22">
        <f t="shared" si="8"/>
        <v>0</v>
      </c>
      <c r="O42" s="11"/>
      <c r="P42" s="2">
        <v>94</v>
      </c>
      <c r="Q42" s="2"/>
      <c r="R42" s="22">
        <f t="shared" si="9"/>
        <v>7.3705574082836837E-5</v>
      </c>
      <c r="S42" s="2"/>
      <c r="T42" s="2"/>
      <c r="U42" s="2"/>
      <c r="V42" s="22">
        <f t="shared" si="10"/>
        <v>0</v>
      </c>
      <c r="W42" s="2"/>
      <c r="X42" s="2">
        <f t="shared" si="11"/>
        <v>94</v>
      </c>
      <c r="Y42" s="2"/>
      <c r="Z42" s="22">
        <f t="shared" si="12"/>
        <v>0</v>
      </c>
    </row>
    <row r="43" spans="1:26" s="24" customFormat="1" hidden="1" outlineLevel="1" x14ac:dyDescent="0.25">
      <c r="A43" s="51"/>
      <c r="B43" s="11" t="str">
        <f>CONCATENATE("          ", "5583", " - ", "FREIGHT-IN-COMPUTER EQUIPMENT")</f>
        <v xml:space="preserve">          5583 - FREIGHT-IN-COMPUTER EQUIPMENT</v>
      </c>
      <c r="C43" s="11"/>
      <c r="D43" s="2">
        <v>7.23</v>
      </c>
      <c r="E43" s="2"/>
      <c r="F43" s="22">
        <f t="shared" si="5"/>
        <v>9.1010228643373614E-5</v>
      </c>
      <c r="G43" s="2"/>
      <c r="H43" s="2"/>
      <c r="I43" s="2"/>
      <c r="J43" s="22">
        <f t="shared" si="6"/>
        <v>0</v>
      </c>
      <c r="K43" s="2"/>
      <c r="L43" s="2">
        <f t="shared" si="7"/>
        <v>7.23</v>
      </c>
      <c r="M43" s="2"/>
      <c r="N43" s="22">
        <f t="shared" si="8"/>
        <v>0</v>
      </c>
      <c r="O43" s="11"/>
      <c r="P43" s="2">
        <v>232.4</v>
      </c>
      <c r="Q43" s="2"/>
      <c r="R43" s="22">
        <f t="shared" si="9"/>
        <v>1.822252703920349E-4</v>
      </c>
      <c r="S43" s="2"/>
      <c r="T43" s="2"/>
      <c r="U43" s="2"/>
      <c r="V43" s="22">
        <f t="shared" si="10"/>
        <v>0</v>
      </c>
      <c r="W43" s="2"/>
      <c r="X43" s="2">
        <f t="shared" si="11"/>
        <v>232.4</v>
      </c>
      <c r="Y43" s="2"/>
      <c r="Z43" s="22">
        <f t="shared" si="12"/>
        <v>0</v>
      </c>
    </row>
    <row r="44" spans="1:26" s="24" customFormat="1" hidden="1" outlineLevel="1" x14ac:dyDescent="0.25">
      <c r="A44" s="51"/>
      <c r="B44" s="11" t="str">
        <f>CONCATENATE("          ", "5586", " - ", "FREIGHT-IN-COMPUTER SUPPLIES")</f>
        <v xml:space="preserve">          5586 - FREIGHT-IN-COMPUTER SUPPLIES</v>
      </c>
      <c r="C44" s="11"/>
      <c r="D44" s="2"/>
      <c r="E44" s="2"/>
      <c r="F44" s="22">
        <f t="shared" si="5"/>
        <v>0</v>
      </c>
      <c r="G44" s="2"/>
      <c r="H44" s="2"/>
      <c r="I44" s="2"/>
      <c r="J44" s="22">
        <f t="shared" si="6"/>
        <v>0</v>
      </c>
      <c r="K44" s="2"/>
      <c r="L44" s="2">
        <f t="shared" si="7"/>
        <v>0</v>
      </c>
      <c r="M44" s="2"/>
      <c r="N44" s="22">
        <f t="shared" si="8"/>
        <v>0</v>
      </c>
      <c r="O44" s="11"/>
      <c r="P44" s="2">
        <v>24.12</v>
      </c>
      <c r="Q44" s="2"/>
      <c r="R44" s="22">
        <f t="shared" si="9"/>
        <v>1.8912536668915153E-5</v>
      </c>
      <c r="S44" s="2"/>
      <c r="T44" s="2"/>
      <c r="U44" s="2"/>
      <c r="V44" s="22">
        <f t="shared" si="10"/>
        <v>0</v>
      </c>
      <c r="W44" s="2"/>
      <c r="X44" s="2">
        <f t="shared" si="11"/>
        <v>24.12</v>
      </c>
      <c r="Y44" s="2"/>
      <c r="Z44" s="22">
        <f t="shared" si="12"/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5" t="s">
        <v>6</v>
      </c>
      <c r="C46" s="25"/>
      <c r="D46" s="21">
        <f>D12-D32</f>
        <v>5113.6199999999808</v>
      </c>
      <c r="E46" s="13"/>
      <c r="F46" s="19">
        <f>IF(D$12=0,0,D46/D$12)</f>
        <v>6.4369533249699365E-2</v>
      </c>
      <c r="G46" s="13"/>
      <c r="H46" s="21">
        <f>H12-H32</f>
        <v>16657</v>
      </c>
      <c r="I46" s="13"/>
      <c r="J46" s="19">
        <f>IF(H$12=0,0,H46/H$12)</f>
        <v>0.21903559640748485</v>
      </c>
      <c r="K46" s="16"/>
      <c r="L46" s="21">
        <f>+D46-H46</f>
        <v>-11543.380000000019</v>
      </c>
      <c r="M46" s="16"/>
      <c r="N46" s="19">
        <f>IF(H46=0,0,L46/H46)</f>
        <v>-0.6930047427507966</v>
      </c>
      <c r="O46" s="26"/>
      <c r="P46" s="21">
        <f>P12-P32</f>
        <v>59377.679999999935</v>
      </c>
      <c r="Q46" s="13"/>
      <c r="R46" s="19">
        <f>IF(P$12=0,0,P46/P$12)</f>
        <v>4.6558148852201851E-2</v>
      </c>
      <c r="S46" s="13"/>
      <c r="T46" s="21">
        <f>T12-T32</f>
        <v>312138</v>
      </c>
      <c r="U46" s="13"/>
      <c r="V46" s="19">
        <f>IF(T$12=0,0,T46/T$12)</f>
        <v>0.21903744726478622</v>
      </c>
      <c r="W46" s="16"/>
      <c r="X46" s="21">
        <f>+P46-T46</f>
        <v>-252760.32000000007</v>
      </c>
      <c r="Y46" s="16"/>
      <c r="Z46" s="19">
        <f>IF(T46=0,0,X46/T46)</f>
        <v>-0.80977106279914679</v>
      </c>
    </row>
    <row r="47" spans="1:26" x14ac:dyDescent="0.25">
      <c r="A47" s="9"/>
      <c r="B47" s="10"/>
      <c r="C47" s="9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6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3" customFormat="1" x14ac:dyDescent="0.25">
      <c r="A48" s="10"/>
      <c r="B48" s="26" t="s">
        <v>9</v>
      </c>
      <c r="C48" s="10"/>
      <c r="D48" s="20">
        <f>SUM(OSRRefD22x_0)</f>
        <v>13842.730000000001</v>
      </c>
      <c r="E48" s="20"/>
      <c r="F48" s="30">
        <f t="shared" ref="F48:F59" si="13">IF(D$12=0,0,D48/D$12)</f>
        <v>0.1742503488725432</v>
      </c>
      <c r="G48" s="20"/>
      <c r="H48" s="20">
        <f>SUM(OSRRefH22x_0)</f>
        <v>16065.057602846155</v>
      </c>
      <c r="I48" s="20"/>
      <c r="J48" s="30">
        <f t="shared" ref="J48:J59" si="14">IF(H$12=0,0,H48/H$12)</f>
        <v>0.2112516943843433</v>
      </c>
      <c r="K48" s="4"/>
      <c r="L48" s="20">
        <f t="shared" ref="L48:L59" si="15">+D48-H48</f>
        <v>-2222.3276028461532</v>
      </c>
      <c r="M48" s="4"/>
      <c r="N48" s="30">
        <f t="shared" ref="N48:N59" si="16">IF(H48=0,0,L48/H48)</f>
        <v>-0.13833299934464202</v>
      </c>
      <c r="O48" s="10"/>
      <c r="P48" s="20">
        <f>SUM(OSRRefP22x_0)</f>
        <v>80226.430000000008</v>
      </c>
      <c r="Q48" s="20"/>
      <c r="R48" s="30">
        <f t="shared" ref="R48:R59" si="17">IF(P$12=0,0,P48/P$12)</f>
        <v>6.2905692337941743E-2</v>
      </c>
      <c r="S48" s="20"/>
      <c r="T48" s="20">
        <f>SUM(OSRRefT22x_0)</f>
        <v>114267.9058885</v>
      </c>
      <c r="U48" s="20"/>
      <c r="V48" s="30">
        <f t="shared" ref="V48:V59" si="18">IF(T$12=0,0,T48/T$12)</f>
        <v>8.0185528228251202E-2</v>
      </c>
      <c r="W48" s="4"/>
      <c r="X48" s="20">
        <f t="shared" ref="X48:X59" si="19">+P48-T48</f>
        <v>-34041.47588849999</v>
      </c>
      <c r="Y48" s="4"/>
      <c r="Z48" s="30">
        <f t="shared" ref="Z48:Z59" si="20">IF(T48=0,0,X48/T48)</f>
        <v>-0.29790933529242131</v>
      </c>
    </row>
    <row r="49" spans="1:26" s="28" customFormat="1" outlineLevel="1" collapsed="1" x14ac:dyDescent="0.25">
      <c r="A49" s="27"/>
      <c r="B49" s="14" t="str">
        <f>CONCATENATE("     ","*Benefits                                         ")</f>
        <v xml:space="preserve">     *Benefits                                         </v>
      </c>
      <c r="C49" s="14"/>
      <c r="D49" s="1">
        <f>SUM(OSRRefD22_0x_0)</f>
        <v>2984.54</v>
      </c>
      <c r="E49" s="1"/>
      <c r="F49" s="5">
        <f t="shared" si="13"/>
        <v>3.7568972032544161E-2</v>
      </c>
      <c r="G49" s="1"/>
      <c r="H49" s="1">
        <f>SUM(OSRRefH22_0x_0)</f>
        <v>2418.7426028461541</v>
      </c>
      <c r="I49" s="1"/>
      <c r="J49" s="5">
        <f t="shared" si="14"/>
        <v>3.1805891131092008E-2</v>
      </c>
      <c r="K49" s="1"/>
      <c r="L49" s="1">
        <f t="shared" si="15"/>
        <v>565.79739715384585</v>
      </c>
      <c r="M49" s="1"/>
      <c r="N49" s="5">
        <f t="shared" si="16"/>
        <v>0.23392211990150066</v>
      </c>
      <c r="O49" s="14"/>
      <c r="P49" s="1">
        <f>SUM(OSRRefP22_0x_0)</f>
        <v>17818.880000000005</v>
      </c>
      <c r="Q49" s="1"/>
      <c r="R49" s="5">
        <f t="shared" si="17"/>
        <v>1.3971816807587021E-2</v>
      </c>
      <c r="S49" s="1"/>
      <c r="T49" s="1">
        <f>SUM(OSRRefT22_0x_0)</f>
        <v>15697.893388499997</v>
      </c>
      <c r="U49" s="1"/>
      <c r="V49" s="5">
        <f t="shared" si="18"/>
        <v>1.101572540111042E-2</v>
      </c>
      <c r="W49" s="1"/>
      <c r="X49" s="1">
        <f t="shared" si="19"/>
        <v>2120.9866115000077</v>
      </c>
      <c r="Y49" s="1"/>
      <c r="Z49" s="5">
        <f t="shared" si="20"/>
        <v>0.13511281794369973</v>
      </c>
    </row>
    <row r="50" spans="1:26" s="24" customFormat="1" hidden="1" outlineLevel="2" x14ac:dyDescent="0.25">
      <c r="A50" s="29"/>
      <c r="B50" s="11" t="str">
        <f>CONCATENATE("          ", "6111", " - ", "F.I.C.A.")</f>
        <v xml:space="preserve">          6111 - F.I.C.A.</v>
      </c>
      <c r="C50" s="11"/>
      <c r="D50" s="7">
        <v>443.32</v>
      </c>
      <c r="E50" s="2"/>
      <c r="F50" s="6">
        <f t="shared" si="13"/>
        <v>5.5804501469129165E-3</v>
      </c>
      <c r="G50" s="2"/>
      <c r="H50" s="7">
        <v>425.68281899999999</v>
      </c>
      <c r="I50" s="2"/>
      <c r="J50" s="6">
        <f t="shared" si="14"/>
        <v>5.5976280326640107E-3</v>
      </c>
      <c r="K50" s="2"/>
      <c r="L50" s="7">
        <f t="shared" si="15"/>
        <v>17.637180999999998</v>
      </c>
      <c r="M50" s="2"/>
      <c r="N50" s="6">
        <f t="shared" si="16"/>
        <v>4.143268229954096E-2</v>
      </c>
      <c r="O50" s="11"/>
      <c r="P50" s="7">
        <v>3390.36</v>
      </c>
      <c r="Q50" s="2"/>
      <c r="R50" s="6">
        <f t="shared" si="17"/>
        <v>2.6583875547604966E-3</v>
      </c>
      <c r="S50" s="2"/>
      <c r="T50" s="7">
        <v>3194.2818434999999</v>
      </c>
      <c r="U50" s="2"/>
      <c r="V50" s="6">
        <f t="shared" si="18"/>
        <v>2.2415320814655549E-3</v>
      </c>
      <c r="W50" s="2"/>
      <c r="X50" s="7">
        <f t="shared" si="19"/>
        <v>196.0781565000002</v>
      </c>
      <c r="Y50" s="2"/>
      <c r="Z50" s="6">
        <f t="shared" si="20"/>
        <v>6.1384112644598643E-2</v>
      </c>
    </row>
    <row r="51" spans="1:26" s="24" customFormat="1" hidden="1" outlineLevel="2" x14ac:dyDescent="0.25">
      <c r="A51" s="29"/>
      <c r="B51" s="11" t="str">
        <f>CONCATENATE("          ", "6112", " - ", "COMPENSATION INSURANCE")</f>
        <v xml:space="preserve">          6112 - COMPENSATION INSURANCE</v>
      </c>
      <c r="C51" s="11"/>
      <c r="D51" s="7">
        <v>256.8</v>
      </c>
      <c r="E51" s="2"/>
      <c r="F51" s="6">
        <f t="shared" si="13"/>
        <v>3.2325624779555107E-3</v>
      </c>
      <c r="G51" s="2"/>
      <c r="H51" s="7">
        <v>194.16305</v>
      </c>
      <c r="I51" s="2"/>
      <c r="J51" s="6">
        <f t="shared" si="14"/>
        <v>2.5531980222756978E-3</v>
      </c>
      <c r="K51" s="2"/>
      <c r="L51" s="7">
        <f t="shared" si="15"/>
        <v>62.636950000000013</v>
      </c>
      <c r="M51" s="2"/>
      <c r="N51" s="6">
        <f t="shared" si="16"/>
        <v>0.32259974284499554</v>
      </c>
      <c r="O51" s="11"/>
      <c r="P51" s="7">
        <v>982.53</v>
      </c>
      <c r="Q51" s="2"/>
      <c r="R51" s="6">
        <f t="shared" si="17"/>
        <v>7.7040359259159224E-4</v>
      </c>
      <c r="S51" s="2"/>
      <c r="T51" s="7">
        <v>1190.5480750000002</v>
      </c>
      <c r="U51" s="2"/>
      <c r="V51" s="6">
        <f t="shared" si="18"/>
        <v>8.3544653708938121E-4</v>
      </c>
      <c r="W51" s="2"/>
      <c r="X51" s="7">
        <f t="shared" si="19"/>
        <v>-208.01807500000018</v>
      </c>
      <c r="Y51" s="2"/>
      <c r="Z51" s="6">
        <f t="shared" si="20"/>
        <v>-0.1747246326025097</v>
      </c>
    </row>
    <row r="52" spans="1:26" s="24" customFormat="1" hidden="1" outlineLevel="2" x14ac:dyDescent="0.25">
      <c r="A52" s="29"/>
      <c r="B52" s="11" t="str">
        <f>CONCATENATE("          ", "6113", " - ", "GROUP INSURANCE")</f>
        <v xml:space="preserve">          6113 - GROUP INSURANCE</v>
      </c>
      <c r="C52" s="11"/>
      <c r="D52" s="7">
        <v>1036.33</v>
      </c>
      <c r="E52" s="2"/>
      <c r="F52" s="6">
        <f t="shared" si="13"/>
        <v>1.304517707468705E-2</v>
      </c>
      <c r="G52" s="2"/>
      <c r="H52" s="7">
        <v>946.34615384615404</v>
      </c>
      <c r="I52" s="2"/>
      <c r="J52" s="6">
        <f t="shared" si="14"/>
        <v>1.2444227304774074E-2</v>
      </c>
      <c r="K52" s="2"/>
      <c r="L52" s="7">
        <f t="shared" si="15"/>
        <v>89.983846153845889</v>
      </c>
      <c r="M52" s="2"/>
      <c r="N52" s="6">
        <f t="shared" si="16"/>
        <v>9.5085551717130359E-2</v>
      </c>
      <c r="O52" s="11"/>
      <c r="P52" s="7">
        <v>6214.78</v>
      </c>
      <c r="Q52" s="2"/>
      <c r="R52" s="6">
        <f t="shared" si="17"/>
        <v>4.8730205074311991E-3</v>
      </c>
      <c r="S52" s="2"/>
      <c r="T52" s="7">
        <v>5984.9999999999955</v>
      </c>
      <c r="U52" s="2"/>
      <c r="V52" s="6">
        <f t="shared" si="18"/>
        <v>4.1998703197936313E-3</v>
      </c>
      <c r="W52" s="2"/>
      <c r="X52" s="7">
        <f t="shared" si="19"/>
        <v>229.78000000000429</v>
      </c>
      <c r="Y52" s="2"/>
      <c r="Z52" s="6">
        <f t="shared" si="20"/>
        <v>3.8392648287385873E-2</v>
      </c>
    </row>
    <row r="53" spans="1:26" s="24" customFormat="1" hidden="1" outlineLevel="2" x14ac:dyDescent="0.25">
      <c r="A53" s="29"/>
      <c r="B53" s="11" t="str">
        <f>CONCATENATE("          ", "6114", " - ", "STATE UNEMPLOYMENT INSURANCE")</f>
        <v xml:space="preserve">          6114 - STATE UNEMPLOYMENT INSURANCE</v>
      </c>
      <c r="C53" s="11"/>
      <c r="D53" s="7"/>
      <c r="E53" s="2"/>
      <c r="F53" s="6">
        <f t="shared" si="13"/>
        <v>0</v>
      </c>
      <c r="G53" s="2"/>
      <c r="H53" s="7">
        <v>27.287780000000001</v>
      </c>
      <c r="I53" s="2"/>
      <c r="J53" s="6">
        <f t="shared" si="14"/>
        <v>3.5882783015766569E-4</v>
      </c>
      <c r="K53" s="2"/>
      <c r="L53" s="7">
        <f t="shared" si="15"/>
        <v>-27.287780000000001</v>
      </c>
      <c r="M53" s="2"/>
      <c r="N53" s="6">
        <f t="shared" si="16"/>
        <v>-1</v>
      </c>
      <c r="O53" s="11"/>
      <c r="P53" s="7">
        <v>116.69</v>
      </c>
      <c r="Q53" s="2"/>
      <c r="R53" s="6">
        <f t="shared" si="17"/>
        <v>9.1496845103470527E-5</v>
      </c>
      <c r="S53" s="2"/>
      <c r="T53" s="7">
        <v>167.32026999999999</v>
      </c>
      <c r="U53" s="2"/>
      <c r="V53" s="6">
        <f t="shared" si="18"/>
        <v>1.1741410791526437E-4</v>
      </c>
      <c r="W53" s="2"/>
      <c r="X53" s="7">
        <f t="shared" si="19"/>
        <v>-50.630269999999996</v>
      </c>
      <c r="Y53" s="2"/>
      <c r="Z53" s="6">
        <f t="shared" si="20"/>
        <v>-0.30259495756252364</v>
      </c>
    </row>
    <row r="54" spans="1:26" s="24" customFormat="1" hidden="1" outlineLevel="2" x14ac:dyDescent="0.25">
      <c r="A54" s="29"/>
      <c r="B54" s="11" t="str">
        <f>CONCATENATE("          ", "6115", " - ", "P.E.R.S.")</f>
        <v xml:space="preserve">          6115 - P.E.R.S.</v>
      </c>
      <c r="C54" s="11"/>
      <c r="D54" s="7">
        <v>176.42</v>
      </c>
      <c r="E54" s="2"/>
      <c r="F54" s="6">
        <f t="shared" si="13"/>
        <v>2.2207502817792493E-3</v>
      </c>
      <c r="G54" s="2"/>
      <c r="H54" s="7">
        <v>196.27780000000001</v>
      </c>
      <c r="I54" s="2"/>
      <c r="J54" s="6">
        <f t="shared" si="14"/>
        <v>2.5810064828329852E-3</v>
      </c>
      <c r="K54" s="2"/>
      <c r="L54" s="7">
        <f t="shared" si="15"/>
        <v>-19.857800000000026</v>
      </c>
      <c r="M54" s="2"/>
      <c r="N54" s="6">
        <f t="shared" si="16"/>
        <v>-0.10117191042491827</v>
      </c>
      <c r="O54" s="11"/>
      <c r="P54" s="7">
        <v>1146.73</v>
      </c>
      <c r="Q54" s="2"/>
      <c r="R54" s="6">
        <f t="shared" si="17"/>
        <v>8.9915311668097323E-4</v>
      </c>
      <c r="S54" s="2"/>
      <c r="T54" s="7">
        <v>1275.8056999999999</v>
      </c>
      <c r="U54" s="2"/>
      <c r="V54" s="6">
        <f t="shared" si="18"/>
        <v>8.9527460204737533E-4</v>
      </c>
      <c r="W54" s="2"/>
      <c r="X54" s="7">
        <f t="shared" si="19"/>
        <v>-129.07569999999987</v>
      </c>
      <c r="Y54" s="2"/>
      <c r="Z54" s="6">
        <f t="shared" si="20"/>
        <v>-0.10117191042491806</v>
      </c>
    </row>
    <row r="55" spans="1:26" s="24" customFormat="1" hidden="1" outlineLevel="2" x14ac:dyDescent="0.25">
      <c r="A55" s="29"/>
      <c r="B55" s="11" t="str">
        <f>CONCATENATE("          ", "6116", " - ", "EDUCATIONAL BENEFITS")</f>
        <v xml:space="preserve">          6116 - EDUCATIONAL BENEFITS</v>
      </c>
      <c r="C55" s="11"/>
      <c r="D55" s="7"/>
      <c r="E55" s="2"/>
      <c r="F55" s="6">
        <f t="shared" si="13"/>
        <v>0</v>
      </c>
      <c r="G55" s="2"/>
      <c r="H55" s="7">
        <v>0</v>
      </c>
      <c r="I55" s="2"/>
      <c r="J55" s="6">
        <f t="shared" si="14"/>
        <v>0</v>
      </c>
      <c r="K55" s="2"/>
      <c r="L55" s="7">
        <f t="shared" si="15"/>
        <v>0</v>
      </c>
      <c r="M55" s="2"/>
      <c r="N55" s="6">
        <f t="shared" si="16"/>
        <v>0</v>
      </c>
      <c r="O55" s="11"/>
      <c r="P55" s="7"/>
      <c r="Q55" s="2"/>
      <c r="R55" s="6">
        <f t="shared" si="17"/>
        <v>0</v>
      </c>
      <c r="S55" s="2"/>
      <c r="T55" s="7">
        <v>0</v>
      </c>
      <c r="U55" s="2"/>
      <c r="V55" s="6">
        <f t="shared" si="18"/>
        <v>0</v>
      </c>
      <c r="W55" s="2"/>
      <c r="X55" s="7">
        <f t="shared" si="19"/>
        <v>0</v>
      </c>
      <c r="Y55" s="2"/>
      <c r="Z55" s="6">
        <f t="shared" si="20"/>
        <v>0</v>
      </c>
    </row>
    <row r="56" spans="1:26" s="24" customFormat="1" hidden="1" outlineLevel="2" x14ac:dyDescent="0.25">
      <c r="A56" s="29"/>
      <c r="B56" s="11" t="str">
        <f>CONCATENATE("          ", "6117", " - ", "RETIREMENT STAFF HOURLY")</f>
        <v xml:space="preserve">          6117 - RETIREMENT STAFF HOURLY</v>
      </c>
      <c r="C56" s="11"/>
      <c r="D56" s="7">
        <v>170.96</v>
      </c>
      <c r="E56" s="2"/>
      <c r="F56" s="6">
        <f t="shared" si="13"/>
        <v>2.1520205655423449E-3</v>
      </c>
      <c r="G56" s="2"/>
      <c r="H56" s="7"/>
      <c r="I56" s="2"/>
      <c r="J56" s="6">
        <f t="shared" si="14"/>
        <v>0</v>
      </c>
      <c r="K56" s="2"/>
      <c r="L56" s="7">
        <f t="shared" si="15"/>
        <v>170.96</v>
      </c>
      <c r="M56" s="2"/>
      <c r="N56" s="6">
        <f t="shared" si="16"/>
        <v>0</v>
      </c>
      <c r="O56" s="11"/>
      <c r="P56" s="7">
        <v>1105.04</v>
      </c>
      <c r="Q56" s="2"/>
      <c r="R56" s="6">
        <f t="shared" si="17"/>
        <v>8.6646391047338314E-4</v>
      </c>
      <c r="S56" s="2"/>
      <c r="T56" s="7"/>
      <c r="U56" s="2"/>
      <c r="V56" s="6">
        <f t="shared" si="18"/>
        <v>0</v>
      </c>
      <c r="W56" s="2"/>
      <c r="X56" s="7">
        <f t="shared" si="19"/>
        <v>1105.04</v>
      </c>
      <c r="Y56" s="2"/>
      <c r="Z56" s="6">
        <f t="shared" si="20"/>
        <v>0</v>
      </c>
    </row>
    <row r="57" spans="1:26" s="24" customFormat="1" hidden="1" outlineLevel="2" x14ac:dyDescent="0.25">
      <c r="A57" s="29"/>
      <c r="B57" s="11" t="str">
        <f>CONCATENATE("          ", "6118", " - ", "VACATION")</f>
        <v xml:space="preserve">          6118 - VACATION</v>
      </c>
      <c r="C57" s="11"/>
      <c r="D57" s="7">
        <v>267.04000000000002</v>
      </c>
      <c r="E57" s="2"/>
      <c r="F57" s="6">
        <f t="shared" si="13"/>
        <v>3.3614621655499986E-3</v>
      </c>
      <c r="G57" s="2"/>
      <c r="H57" s="7">
        <v>194.749</v>
      </c>
      <c r="I57" s="2"/>
      <c r="J57" s="6">
        <f t="shared" si="14"/>
        <v>2.5609031256985811E-3</v>
      </c>
      <c r="K57" s="2"/>
      <c r="L57" s="7">
        <f t="shared" si="15"/>
        <v>72.291000000000025</v>
      </c>
      <c r="M57" s="2"/>
      <c r="N57" s="6">
        <f t="shared" si="16"/>
        <v>0.37120087908025218</v>
      </c>
      <c r="O57" s="11"/>
      <c r="P57" s="7">
        <v>1689.54</v>
      </c>
      <c r="Q57" s="2"/>
      <c r="R57" s="6">
        <f t="shared" si="17"/>
        <v>1.3247714429352781E-3</v>
      </c>
      <c r="S57" s="2"/>
      <c r="T57" s="7">
        <v>1265.8685</v>
      </c>
      <c r="U57" s="2"/>
      <c r="V57" s="6">
        <f t="shared" si="18"/>
        <v>8.8830134367780928E-4</v>
      </c>
      <c r="W57" s="2"/>
      <c r="X57" s="7">
        <f t="shared" si="19"/>
        <v>423.67149999999992</v>
      </c>
      <c r="Y57" s="2"/>
      <c r="Z57" s="6">
        <f t="shared" si="20"/>
        <v>0.33468839772851594</v>
      </c>
    </row>
    <row r="58" spans="1:26" s="24" customFormat="1" hidden="1" outlineLevel="2" x14ac:dyDescent="0.25">
      <c r="A58" s="29"/>
      <c r="B58" s="11" t="str">
        <f>CONCATENATE("          ", "6119", " - ", "SICK LEAVE")</f>
        <v xml:space="preserve">          6119 - SICK LEAVE</v>
      </c>
      <c r="C58" s="11"/>
      <c r="D58" s="7">
        <v>267.63</v>
      </c>
      <c r="E58" s="2"/>
      <c r="F58" s="6">
        <f t="shared" si="13"/>
        <v>3.3688890030188212E-3</v>
      </c>
      <c r="G58" s="2"/>
      <c r="H58" s="7">
        <v>259.23599999999999</v>
      </c>
      <c r="I58" s="2"/>
      <c r="J58" s="6">
        <f t="shared" si="14"/>
        <v>3.4088918695017551E-3</v>
      </c>
      <c r="K58" s="2"/>
      <c r="L58" s="7">
        <f t="shared" si="15"/>
        <v>8.3940000000000055</v>
      </c>
      <c r="M58" s="2"/>
      <c r="N58" s="6">
        <f t="shared" si="16"/>
        <v>3.2379762070082883E-2</v>
      </c>
      <c r="O58" s="11"/>
      <c r="P58" s="7">
        <v>1684.29</v>
      </c>
      <c r="Q58" s="2"/>
      <c r="R58" s="6">
        <f t="shared" si="17"/>
        <v>1.3206549082125664E-3</v>
      </c>
      <c r="S58" s="2"/>
      <c r="T58" s="7">
        <v>1569.069</v>
      </c>
      <c r="U58" s="2"/>
      <c r="V58" s="6">
        <f t="shared" si="18"/>
        <v>1.1010670547716421E-3</v>
      </c>
      <c r="W58" s="2"/>
      <c r="X58" s="7">
        <f t="shared" si="19"/>
        <v>115.221</v>
      </c>
      <c r="Y58" s="2"/>
      <c r="Z58" s="6">
        <f t="shared" si="20"/>
        <v>7.3432717108043055E-2</v>
      </c>
    </row>
    <row r="59" spans="1:26" s="24" customFormat="1" hidden="1" outlineLevel="2" x14ac:dyDescent="0.25">
      <c r="A59" s="29"/>
      <c r="B59" s="11" t="str">
        <f>CONCATENATE("          ", "6156", " - ", "EMPLOYEE MEALS")</f>
        <v xml:space="preserve">          6156 - EMPLOYEE MEALS</v>
      </c>
      <c r="C59" s="11"/>
      <c r="D59" s="7">
        <v>366.04</v>
      </c>
      <c r="E59" s="2"/>
      <c r="F59" s="6">
        <f t="shared" si="13"/>
        <v>4.6076603170982682E-3</v>
      </c>
      <c r="G59" s="2"/>
      <c r="H59" s="7">
        <v>175</v>
      </c>
      <c r="I59" s="2"/>
      <c r="J59" s="6">
        <f t="shared" si="14"/>
        <v>2.3012084631872393E-3</v>
      </c>
      <c r="K59" s="2"/>
      <c r="L59" s="7">
        <f t="shared" si="15"/>
        <v>191.04000000000002</v>
      </c>
      <c r="M59" s="2"/>
      <c r="N59" s="6">
        <f t="shared" si="16"/>
        <v>1.0916571428571429</v>
      </c>
      <c r="O59" s="11"/>
      <c r="P59" s="7">
        <v>1488.92</v>
      </c>
      <c r="Q59" s="2"/>
      <c r="R59" s="6">
        <f t="shared" si="17"/>
        <v>1.1674649293980576E-3</v>
      </c>
      <c r="S59" s="2"/>
      <c r="T59" s="7">
        <v>1050</v>
      </c>
      <c r="U59" s="2"/>
      <c r="V59" s="6">
        <f t="shared" si="18"/>
        <v>7.3681935434976047E-4</v>
      </c>
      <c r="W59" s="2"/>
      <c r="X59" s="7">
        <f t="shared" si="19"/>
        <v>438.92000000000007</v>
      </c>
      <c r="Y59" s="2"/>
      <c r="Z59" s="6">
        <f t="shared" si="20"/>
        <v>0.41801904761904768</v>
      </c>
    </row>
    <row r="60" spans="1:26" s="28" customFormat="1" outlineLevel="1" collapsed="1" x14ac:dyDescent="0.25">
      <c r="A60" s="27"/>
      <c r="B60" s="14" t="str">
        <f>CONCATENATE("     ","*Payroll                                          ")</f>
        <v xml:space="preserve">     *Payroll                                          </v>
      </c>
      <c r="C60" s="14"/>
      <c r="D60" s="1">
        <f>SUM(OSRRefD22_1x_0)</f>
        <v>7948.3600000000006</v>
      </c>
      <c r="E60" s="1"/>
      <c r="F60" s="5">
        <f t="shared" ref="F60:F70" si="21">IF(D$12=0,0,D60/D$12)</f>
        <v>0.10005284383676973</v>
      </c>
      <c r="G60" s="1"/>
      <c r="H60" s="1">
        <f>SUM(OSRRefH22_1x_0)</f>
        <v>10041.315000000001</v>
      </c>
      <c r="I60" s="1"/>
      <c r="J60" s="5">
        <f t="shared" ref="J60:J70" si="22">IF(H$12=0,0,H60/H$12)</f>
        <v>0.13204090891159415</v>
      </c>
      <c r="K60" s="1"/>
      <c r="L60" s="1">
        <f t="shared" ref="L60:L70" si="23">+D60-H60</f>
        <v>-2092.9549999999999</v>
      </c>
      <c r="M60" s="1"/>
      <c r="N60" s="5">
        <f t="shared" ref="N60:N70" si="24">IF(H60=0,0,L60/H60)</f>
        <v>-0.20843435346864428</v>
      </c>
      <c r="O60" s="14"/>
      <c r="P60" s="1">
        <f>SUM(OSRRefP22_1x_0)</f>
        <v>47428.14</v>
      </c>
      <c r="Q60" s="1"/>
      <c r="R60" s="5">
        <f t="shared" ref="R60:R70" si="25">IF(P$12=0,0,P60/P$12)</f>
        <v>3.7188492408310181E-2</v>
      </c>
      <c r="S60" s="1"/>
      <c r="T60" s="1">
        <f>SUM(OSRRefT22_1x_0)</f>
        <v>61519.012499999997</v>
      </c>
      <c r="U60" s="1"/>
      <c r="V60" s="5">
        <f t="shared" ref="V60:V70" si="26">IF(T$12=0,0,T60/T$12)</f>
        <v>4.3169903876652226E-2</v>
      </c>
      <c r="W60" s="1"/>
      <c r="X60" s="1">
        <f t="shared" ref="X60:X70" si="27">+P60-T60</f>
        <v>-14090.872499999998</v>
      </c>
      <c r="Y60" s="1"/>
      <c r="Z60" s="5">
        <f t="shared" ref="Z60:Z70" si="28">IF(T60=0,0,X60/T60)</f>
        <v>-0.22904906836727912</v>
      </c>
    </row>
    <row r="61" spans="1:26" s="24" customFormat="1" hidden="1" outlineLevel="2" x14ac:dyDescent="0.25">
      <c r="A61" s="29"/>
      <c r="B61" s="11" t="str">
        <f>CONCATENATE("          ", "6001", " - ", "ADMINISTRATIVE SALARIES")</f>
        <v xml:space="preserve">          6001 - ADMINISTRATIVE SALARIES</v>
      </c>
      <c r="C61" s="11"/>
      <c r="D61" s="7"/>
      <c r="E61" s="2"/>
      <c r="F61" s="6">
        <f t="shared" si="21"/>
        <v>0</v>
      </c>
      <c r="G61" s="2"/>
      <c r="H61" s="7">
        <v>0</v>
      </c>
      <c r="I61" s="2"/>
      <c r="J61" s="6">
        <f t="shared" si="22"/>
        <v>0</v>
      </c>
      <c r="K61" s="2"/>
      <c r="L61" s="7">
        <f t="shared" si="23"/>
        <v>0</v>
      </c>
      <c r="M61" s="2"/>
      <c r="N61" s="6">
        <f t="shared" si="24"/>
        <v>0</v>
      </c>
      <c r="O61" s="11"/>
      <c r="P61" s="7"/>
      <c r="Q61" s="2"/>
      <c r="R61" s="6">
        <f t="shared" si="25"/>
        <v>0</v>
      </c>
      <c r="S61" s="2"/>
      <c r="T61" s="7">
        <v>0</v>
      </c>
      <c r="U61" s="2"/>
      <c r="V61" s="6">
        <f t="shared" si="26"/>
        <v>0</v>
      </c>
      <c r="W61" s="2"/>
      <c r="X61" s="7">
        <f t="shared" si="27"/>
        <v>0</v>
      </c>
      <c r="Y61" s="2"/>
      <c r="Z61" s="6">
        <f t="shared" si="28"/>
        <v>0</v>
      </c>
    </row>
    <row r="62" spans="1:26" s="24" customFormat="1" hidden="1" outlineLevel="2" x14ac:dyDescent="0.25">
      <c r="A62" s="29"/>
      <c r="B62" s="11" t="str">
        <f>CONCATENATE("          ", "6002", " - ", "STAFF SALARIES")</f>
        <v xml:space="preserve">          6002 - STAFF SALARIES</v>
      </c>
      <c r="C62" s="11"/>
      <c r="D62" s="7">
        <v>1939.96</v>
      </c>
      <c r="E62" s="2"/>
      <c r="F62" s="6">
        <f t="shared" si="21"/>
        <v>2.4419945111894752E-2</v>
      </c>
      <c r="G62" s="2"/>
      <c r="H62" s="7">
        <v>2168.1849999999999</v>
      </c>
      <c r="I62" s="2"/>
      <c r="J62" s="6">
        <f t="shared" si="22"/>
        <v>2.8511118124317857E-2</v>
      </c>
      <c r="K62" s="2"/>
      <c r="L62" s="7">
        <f t="shared" si="23"/>
        <v>-228.22499999999991</v>
      </c>
      <c r="M62" s="2"/>
      <c r="N62" s="6">
        <f t="shared" si="24"/>
        <v>-0.10526085181845642</v>
      </c>
      <c r="O62" s="11"/>
      <c r="P62" s="7">
        <v>13237.35</v>
      </c>
      <c r="Q62" s="2"/>
      <c r="R62" s="6">
        <f t="shared" si="25"/>
        <v>1.0379430649845109E-2</v>
      </c>
      <c r="S62" s="2"/>
      <c r="T62" s="7">
        <v>14093.202499999999</v>
      </c>
      <c r="U62" s="2"/>
      <c r="V62" s="6">
        <f t="shared" si="26"/>
        <v>9.8896613016861232E-3</v>
      </c>
      <c r="W62" s="2"/>
      <c r="X62" s="7">
        <f t="shared" si="27"/>
        <v>-855.85249999999905</v>
      </c>
      <c r="Y62" s="2"/>
      <c r="Z62" s="6">
        <f t="shared" si="28"/>
        <v>-6.0728035377338764E-2</v>
      </c>
    </row>
    <row r="63" spans="1:26" s="24" customFormat="1" hidden="1" outlineLevel="2" x14ac:dyDescent="0.25">
      <c r="A63" s="29"/>
      <c r="B63" s="11" t="str">
        <f>CONCATENATE("          ", "6003", " - ", "STAFF HOURLY-9 MONTH")</f>
        <v xml:space="preserve">          6003 - STAFF HOURLY-9 MONTH</v>
      </c>
      <c r="C63" s="11"/>
      <c r="D63" s="7"/>
      <c r="E63" s="2"/>
      <c r="F63" s="6">
        <f t="shared" si="21"/>
        <v>0</v>
      </c>
      <c r="G63" s="2"/>
      <c r="H63" s="7">
        <v>0</v>
      </c>
      <c r="I63" s="2"/>
      <c r="J63" s="6">
        <f t="shared" si="22"/>
        <v>0</v>
      </c>
      <c r="K63" s="2"/>
      <c r="L63" s="7">
        <f t="shared" si="23"/>
        <v>0</v>
      </c>
      <c r="M63" s="2"/>
      <c r="N63" s="6">
        <f t="shared" si="24"/>
        <v>0</v>
      </c>
      <c r="O63" s="11"/>
      <c r="P63" s="7"/>
      <c r="Q63" s="2"/>
      <c r="R63" s="6">
        <f t="shared" si="25"/>
        <v>0</v>
      </c>
      <c r="S63" s="2"/>
      <c r="T63" s="7">
        <v>0</v>
      </c>
      <c r="U63" s="2"/>
      <c r="V63" s="6">
        <f t="shared" si="26"/>
        <v>0</v>
      </c>
      <c r="W63" s="2"/>
      <c r="X63" s="7">
        <f t="shared" si="27"/>
        <v>0</v>
      </c>
      <c r="Y63" s="2"/>
      <c r="Z63" s="6">
        <f t="shared" si="28"/>
        <v>0</v>
      </c>
    </row>
    <row r="64" spans="1:26" s="24" customFormat="1" hidden="1" outlineLevel="2" x14ac:dyDescent="0.25">
      <c r="A64" s="29"/>
      <c r="B64" s="11" t="str">
        <f>CONCATENATE("          ", "6004", " - ", "STAFF HOURLY")</f>
        <v xml:space="preserve">          6004 - STAFF HOURLY</v>
      </c>
      <c r="C64" s="11"/>
      <c r="D64" s="7">
        <v>3520</v>
      </c>
      <c r="E64" s="2"/>
      <c r="F64" s="6">
        <f t="shared" si="21"/>
        <v>4.4309267610605128E-2</v>
      </c>
      <c r="G64" s="2"/>
      <c r="H64" s="7">
        <v>3088.12</v>
      </c>
      <c r="I64" s="2"/>
      <c r="J64" s="6">
        <f t="shared" si="22"/>
        <v>4.06080450247873E-2</v>
      </c>
      <c r="K64" s="2"/>
      <c r="L64" s="7">
        <f t="shared" si="23"/>
        <v>431.88000000000011</v>
      </c>
      <c r="M64" s="2"/>
      <c r="N64" s="6">
        <f t="shared" si="24"/>
        <v>0.13985207828711324</v>
      </c>
      <c r="O64" s="11"/>
      <c r="P64" s="7">
        <v>21336.16</v>
      </c>
      <c r="Q64" s="2"/>
      <c r="R64" s="6">
        <f t="shared" si="25"/>
        <v>1.6729722569396383E-2</v>
      </c>
      <c r="S64" s="2"/>
      <c r="T64" s="7">
        <v>20072.78</v>
      </c>
      <c r="U64" s="2"/>
      <c r="V64" s="6">
        <f t="shared" si="26"/>
        <v>1.4085726475814079E-2</v>
      </c>
      <c r="W64" s="2"/>
      <c r="X64" s="7">
        <f t="shared" si="27"/>
        <v>1263.380000000001</v>
      </c>
      <c r="Y64" s="2"/>
      <c r="Z64" s="6">
        <f t="shared" si="28"/>
        <v>6.2939961480173709E-2</v>
      </c>
    </row>
    <row r="65" spans="1:26" s="24" customFormat="1" hidden="1" outlineLevel="2" x14ac:dyDescent="0.25">
      <c r="A65" s="29"/>
      <c r="B65" s="11" t="str">
        <f>CONCATENATE("          ", "6005", " - ", "TEMPORARY WAGES-HOURLY")</f>
        <v xml:space="preserve">          6005 - TEMPORARY WAGES-HOURLY</v>
      </c>
      <c r="C65" s="11"/>
      <c r="D65" s="7"/>
      <c r="E65" s="2"/>
      <c r="F65" s="6">
        <f t="shared" si="21"/>
        <v>0</v>
      </c>
      <c r="G65" s="2"/>
      <c r="H65" s="7">
        <v>0</v>
      </c>
      <c r="I65" s="2"/>
      <c r="J65" s="6">
        <f t="shared" si="22"/>
        <v>0</v>
      </c>
      <c r="K65" s="2"/>
      <c r="L65" s="7">
        <f t="shared" si="23"/>
        <v>0</v>
      </c>
      <c r="M65" s="2"/>
      <c r="N65" s="6">
        <f t="shared" si="24"/>
        <v>0</v>
      </c>
      <c r="O65" s="11"/>
      <c r="P65" s="7"/>
      <c r="Q65" s="2"/>
      <c r="R65" s="6">
        <f t="shared" si="25"/>
        <v>0</v>
      </c>
      <c r="S65" s="2"/>
      <c r="T65" s="7">
        <v>0</v>
      </c>
      <c r="U65" s="2"/>
      <c r="V65" s="6">
        <f t="shared" si="26"/>
        <v>0</v>
      </c>
      <c r="W65" s="2"/>
      <c r="X65" s="7">
        <f t="shared" si="27"/>
        <v>0</v>
      </c>
      <c r="Y65" s="2"/>
      <c r="Z65" s="6">
        <f t="shared" si="28"/>
        <v>0</v>
      </c>
    </row>
    <row r="66" spans="1:26" s="24" customFormat="1" hidden="1" outlineLevel="2" x14ac:dyDescent="0.25">
      <c r="A66" s="29"/>
      <c r="B66" s="11" t="str">
        <f>CONCATENATE("          ", "6006", " - ", "TEMPORARY PART TIME")</f>
        <v xml:space="preserve">          6006 - TEMPORARY PART TIME</v>
      </c>
      <c r="C66" s="11"/>
      <c r="D66" s="7"/>
      <c r="E66" s="2"/>
      <c r="F66" s="6">
        <f t="shared" si="21"/>
        <v>0</v>
      </c>
      <c r="G66" s="2"/>
      <c r="H66" s="7">
        <v>0</v>
      </c>
      <c r="I66" s="2"/>
      <c r="J66" s="6">
        <f t="shared" si="22"/>
        <v>0</v>
      </c>
      <c r="K66" s="2"/>
      <c r="L66" s="7">
        <f t="shared" si="23"/>
        <v>0</v>
      </c>
      <c r="M66" s="2"/>
      <c r="N66" s="6">
        <f t="shared" si="24"/>
        <v>0</v>
      </c>
      <c r="O66" s="11"/>
      <c r="P66" s="7"/>
      <c r="Q66" s="2"/>
      <c r="R66" s="6">
        <f t="shared" si="25"/>
        <v>0</v>
      </c>
      <c r="S66" s="2"/>
      <c r="T66" s="7">
        <v>0</v>
      </c>
      <c r="U66" s="2"/>
      <c r="V66" s="6">
        <f t="shared" si="26"/>
        <v>0</v>
      </c>
      <c r="W66" s="2"/>
      <c r="X66" s="7">
        <f t="shared" si="27"/>
        <v>0</v>
      </c>
      <c r="Y66" s="2"/>
      <c r="Z66" s="6">
        <f t="shared" si="28"/>
        <v>0</v>
      </c>
    </row>
    <row r="67" spans="1:26" s="24" customFormat="1" hidden="1" outlineLevel="2" x14ac:dyDescent="0.25">
      <c r="A67" s="29"/>
      <c r="B67" s="11" t="str">
        <f>CONCATENATE("          ", "6007", " - ", "STUDENT HOURLY")</f>
        <v xml:space="preserve">          6007 - STUDENT HOURLY</v>
      </c>
      <c r="C67" s="11"/>
      <c r="D67" s="7">
        <v>2488.4</v>
      </c>
      <c r="E67" s="2"/>
      <c r="F67" s="6">
        <f t="shared" si="21"/>
        <v>3.1323631114269834E-2</v>
      </c>
      <c r="G67" s="2"/>
      <c r="H67" s="7">
        <v>0</v>
      </c>
      <c r="I67" s="2"/>
      <c r="J67" s="6">
        <f t="shared" si="22"/>
        <v>0</v>
      </c>
      <c r="K67" s="2"/>
      <c r="L67" s="7">
        <f t="shared" si="23"/>
        <v>2488.4</v>
      </c>
      <c r="M67" s="2"/>
      <c r="N67" s="6">
        <f t="shared" si="24"/>
        <v>0</v>
      </c>
      <c r="O67" s="11"/>
      <c r="P67" s="7">
        <v>12854.63</v>
      </c>
      <c r="Q67" s="2"/>
      <c r="R67" s="6">
        <f t="shared" si="25"/>
        <v>1.0079339189068689E-2</v>
      </c>
      <c r="S67" s="2"/>
      <c r="T67" s="7">
        <v>5416.48</v>
      </c>
      <c r="U67" s="2"/>
      <c r="V67" s="6">
        <f t="shared" si="26"/>
        <v>3.8009212347127523E-3</v>
      </c>
      <c r="W67" s="2"/>
      <c r="X67" s="7">
        <f t="shared" si="27"/>
        <v>7438.15</v>
      </c>
      <c r="Y67" s="2"/>
      <c r="Z67" s="6">
        <f t="shared" si="28"/>
        <v>1.3732442471863646</v>
      </c>
    </row>
    <row r="68" spans="1:26" s="24" customFormat="1" hidden="1" outlineLevel="2" x14ac:dyDescent="0.25">
      <c r="A68" s="29"/>
      <c r="B68" s="11" t="str">
        <f>CONCATENATE("          ", "6008", " - ", "STUDENT HOURLY-FICA EXEMPT")</f>
        <v xml:space="preserve">          6008 - STUDENT HOURLY-FICA EXEMPT</v>
      </c>
      <c r="C68" s="11"/>
      <c r="D68" s="7"/>
      <c r="E68" s="2"/>
      <c r="F68" s="6">
        <f t="shared" si="21"/>
        <v>0</v>
      </c>
      <c r="G68" s="2"/>
      <c r="H68" s="7">
        <v>4785.01</v>
      </c>
      <c r="I68" s="2"/>
      <c r="J68" s="6">
        <f t="shared" si="22"/>
        <v>6.292174576248899E-2</v>
      </c>
      <c r="K68" s="2"/>
      <c r="L68" s="7">
        <f t="shared" si="23"/>
        <v>-4785.01</v>
      </c>
      <c r="M68" s="2"/>
      <c r="N68" s="6">
        <f t="shared" si="24"/>
        <v>-1</v>
      </c>
      <c r="O68" s="11"/>
      <c r="P68" s="7"/>
      <c r="Q68" s="2"/>
      <c r="R68" s="6">
        <f t="shared" si="25"/>
        <v>0</v>
      </c>
      <c r="S68" s="2"/>
      <c r="T68" s="7">
        <v>21936.550000000003</v>
      </c>
      <c r="U68" s="2"/>
      <c r="V68" s="6">
        <f t="shared" si="26"/>
        <v>1.5393594864439275E-2</v>
      </c>
      <c r="W68" s="2"/>
      <c r="X68" s="7">
        <f t="shared" si="27"/>
        <v>-21936.550000000003</v>
      </c>
      <c r="Y68" s="2"/>
      <c r="Z68" s="6">
        <f t="shared" si="28"/>
        <v>-1</v>
      </c>
    </row>
    <row r="69" spans="1:26" s="24" customFormat="1" hidden="1" outlineLevel="2" x14ac:dyDescent="0.25">
      <c r="A69" s="29"/>
      <c r="B69" s="11" t="str">
        <f>CONCATENATE("          ", "6009", " - ", "TEMPORARY-SEASONAL")</f>
        <v xml:space="preserve">          6009 - TEMPORARY-SEASONAL</v>
      </c>
      <c r="C69" s="11"/>
      <c r="D69" s="7"/>
      <c r="E69" s="2"/>
      <c r="F69" s="6">
        <f t="shared" si="21"/>
        <v>0</v>
      </c>
      <c r="G69" s="2"/>
      <c r="H69" s="7">
        <v>0</v>
      </c>
      <c r="I69" s="2"/>
      <c r="J69" s="6">
        <f t="shared" si="22"/>
        <v>0</v>
      </c>
      <c r="K69" s="2"/>
      <c r="L69" s="7">
        <f t="shared" si="23"/>
        <v>0</v>
      </c>
      <c r="M69" s="2"/>
      <c r="N69" s="6">
        <f t="shared" si="24"/>
        <v>0</v>
      </c>
      <c r="O69" s="11"/>
      <c r="P69" s="7"/>
      <c r="Q69" s="2"/>
      <c r="R69" s="6">
        <f t="shared" si="25"/>
        <v>0</v>
      </c>
      <c r="S69" s="2"/>
      <c r="T69" s="7">
        <v>0</v>
      </c>
      <c r="U69" s="2"/>
      <c r="V69" s="6">
        <f t="shared" si="26"/>
        <v>0</v>
      </c>
      <c r="W69" s="2"/>
      <c r="X69" s="7">
        <f t="shared" si="27"/>
        <v>0</v>
      </c>
      <c r="Y69" s="2"/>
      <c r="Z69" s="6">
        <f t="shared" si="28"/>
        <v>0</v>
      </c>
    </row>
    <row r="70" spans="1:26" s="24" customFormat="1" hidden="1" outlineLevel="2" x14ac:dyDescent="0.25">
      <c r="A70" s="29"/>
      <c r="B70" s="11" t="str">
        <f>CONCATENATE("          ", "6010", " - ", "GRATUITY")</f>
        <v xml:space="preserve">          6010 - GRATUITY</v>
      </c>
      <c r="C70" s="11"/>
      <c r="D70" s="7"/>
      <c r="E70" s="2"/>
      <c r="F70" s="6">
        <f t="shared" si="21"/>
        <v>0</v>
      </c>
      <c r="G70" s="2"/>
      <c r="H70" s="7">
        <v>0</v>
      </c>
      <c r="I70" s="2"/>
      <c r="J70" s="6">
        <f t="shared" si="22"/>
        <v>0</v>
      </c>
      <c r="K70" s="2"/>
      <c r="L70" s="7">
        <f t="shared" si="23"/>
        <v>0</v>
      </c>
      <c r="M70" s="2"/>
      <c r="N70" s="6">
        <f t="shared" si="24"/>
        <v>0</v>
      </c>
      <c r="O70" s="11"/>
      <c r="P70" s="7"/>
      <c r="Q70" s="2"/>
      <c r="R70" s="6">
        <f t="shared" si="25"/>
        <v>0</v>
      </c>
      <c r="S70" s="2"/>
      <c r="T70" s="7">
        <v>0</v>
      </c>
      <c r="U70" s="2"/>
      <c r="V70" s="6">
        <f t="shared" si="26"/>
        <v>0</v>
      </c>
      <c r="W70" s="2"/>
      <c r="X70" s="7">
        <f t="shared" si="27"/>
        <v>0</v>
      </c>
      <c r="Y70" s="2"/>
      <c r="Z70" s="6">
        <f t="shared" si="28"/>
        <v>0</v>
      </c>
    </row>
    <row r="71" spans="1:26" s="28" customFormat="1" outlineLevel="1" collapsed="1" x14ac:dyDescent="0.25">
      <c r="A71" s="27"/>
      <c r="B71" s="14" t="str">
        <f>CONCATENATE("     ","Advertising/Promo                                 ")</f>
        <v xml:space="preserve">     Advertising/Promo                                 </v>
      </c>
      <c r="C71" s="14"/>
      <c r="D71" s="1">
        <f>SUM(OSRRefD22_2x_0)</f>
        <v>0</v>
      </c>
      <c r="E71" s="1"/>
      <c r="F71" s="5">
        <f t="shared" ref="F71:F81" si="29">IF(D$12=0,0,D71/D$12)</f>
        <v>0</v>
      </c>
      <c r="G71" s="1"/>
      <c r="H71" s="1">
        <f>SUM(OSRRefH22_2x_0)</f>
        <v>200</v>
      </c>
      <c r="I71" s="1"/>
      <c r="J71" s="5">
        <f t="shared" ref="J71:J81" si="30">IF(H$12=0,0,H71/H$12)</f>
        <v>2.6299525293568453E-3</v>
      </c>
      <c r="K71" s="1"/>
      <c r="L71" s="1">
        <f t="shared" ref="L71:L81" si="31">+D71-H71</f>
        <v>-200</v>
      </c>
      <c r="M71" s="1"/>
      <c r="N71" s="5">
        <f t="shared" ref="N71:N81" si="32">IF(H71=0,0,L71/H71)</f>
        <v>-1</v>
      </c>
      <c r="O71" s="14"/>
      <c r="P71" s="1">
        <f>SUM(OSRRefP22_2x_0)</f>
        <v>248.88</v>
      </c>
      <c r="Q71" s="1"/>
      <c r="R71" s="5">
        <f t="shared" ref="R71:R81" si="33">IF(P$12=0,0,P71/P$12)</f>
        <v>1.9514726891208968E-4</v>
      </c>
      <c r="S71" s="1"/>
      <c r="T71" s="1">
        <f>SUM(OSRRefT22_2x_0)</f>
        <v>1200</v>
      </c>
      <c r="U71" s="1"/>
      <c r="V71" s="5">
        <f t="shared" ref="V71:V81" si="34">IF(T$12=0,0,T71/T$12)</f>
        <v>8.4207926211401195E-4</v>
      </c>
      <c r="W71" s="1"/>
      <c r="X71" s="1">
        <f t="shared" ref="X71:X81" si="35">+P71-T71</f>
        <v>-951.12</v>
      </c>
      <c r="Y71" s="1"/>
      <c r="Z71" s="5">
        <f t="shared" ref="Z71:Z81" si="36">IF(T71=0,0,X71/T71)</f>
        <v>-0.79259999999999997</v>
      </c>
    </row>
    <row r="72" spans="1:26" s="24" customFormat="1" hidden="1" outlineLevel="2" x14ac:dyDescent="0.25">
      <c r="A72" s="29"/>
      <c r="B72" s="11" t="str">
        <f>CONCATENATE("          ", "6362", " - ", "ADVERTISING EXPENSE")</f>
        <v xml:space="preserve">          6362 - ADVERTISING EXPENSE</v>
      </c>
      <c r="C72" s="11"/>
      <c r="D72" s="7"/>
      <c r="E72" s="2"/>
      <c r="F72" s="6">
        <f t="shared" si="29"/>
        <v>0</v>
      </c>
      <c r="G72" s="2"/>
      <c r="H72" s="7">
        <v>200</v>
      </c>
      <c r="I72" s="2"/>
      <c r="J72" s="6">
        <f t="shared" si="30"/>
        <v>2.6299525293568453E-3</v>
      </c>
      <c r="K72" s="2"/>
      <c r="L72" s="7">
        <f t="shared" si="31"/>
        <v>-200</v>
      </c>
      <c r="M72" s="2"/>
      <c r="N72" s="6">
        <f t="shared" si="32"/>
        <v>-1</v>
      </c>
      <c r="O72" s="11"/>
      <c r="P72" s="7">
        <v>248.88</v>
      </c>
      <c r="Q72" s="2"/>
      <c r="R72" s="6">
        <f t="shared" si="33"/>
        <v>1.9514726891208968E-4</v>
      </c>
      <c r="S72" s="2"/>
      <c r="T72" s="7">
        <v>1200</v>
      </c>
      <c r="U72" s="2"/>
      <c r="V72" s="6">
        <f t="shared" si="34"/>
        <v>8.4207926211401195E-4</v>
      </c>
      <c r="W72" s="2"/>
      <c r="X72" s="7">
        <f t="shared" si="35"/>
        <v>-951.12</v>
      </c>
      <c r="Y72" s="2"/>
      <c r="Z72" s="6">
        <f t="shared" si="36"/>
        <v>-0.79259999999999997</v>
      </c>
    </row>
    <row r="73" spans="1:26" s="28" customFormat="1" outlineLevel="1" collapsed="1" x14ac:dyDescent="0.25">
      <c r="A73" s="27"/>
      <c r="B73" s="14" t="str">
        <f>CONCATENATE("     ","Depreciation                                      ")</f>
        <v xml:space="preserve">     Depreciation                                      </v>
      </c>
      <c r="C73" s="14"/>
      <c r="D73" s="1">
        <f>SUM(OSRRefD22_3x_0)</f>
        <v>280.44</v>
      </c>
      <c r="E73" s="1"/>
      <c r="F73" s="5">
        <f t="shared" si="29"/>
        <v>3.5301394911130975E-3</v>
      </c>
      <c r="G73" s="1"/>
      <c r="H73" s="1">
        <f>SUM(OSRRefH22_3x_0)</f>
        <v>300</v>
      </c>
      <c r="I73" s="1"/>
      <c r="J73" s="5">
        <f t="shared" si="30"/>
        <v>3.9449287940352675E-3</v>
      </c>
      <c r="K73" s="1"/>
      <c r="L73" s="1">
        <f t="shared" si="31"/>
        <v>-19.560000000000002</v>
      </c>
      <c r="M73" s="1"/>
      <c r="N73" s="5">
        <f t="shared" si="32"/>
        <v>-6.5200000000000008E-2</v>
      </c>
      <c r="O73" s="14"/>
      <c r="P73" s="1">
        <f>SUM(OSRRefP22_3x_0)</f>
        <v>1682.64</v>
      </c>
      <c r="Q73" s="1"/>
      <c r="R73" s="5">
        <f t="shared" si="33"/>
        <v>1.3193611401568573E-3</v>
      </c>
      <c r="S73" s="1"/>
      <c r="T73" s="1">
        <f>SUM(OSRRefT22_3x_0)</f>
        <v>1800</v>
      </c>
      <c r="U73" s="1"/>
      <c r="V73" s="5">
        <f t="shared" si="34"/>
        <v>1.263118893171018E-3</v>
      </c>
      <c r="W73" s="1"/>
      <c r="X73" s="1">
        <f t="shared" si="35"/>
        <v>-117.3599999999999</v>
      </c>
      <c r="Y73" s="1"/>
      <c r="Z73" s="5">
        <f t="shared" si="36"/>
        <v>-6.5199999999999939E-2</v>
      </c>
    </row>
    <row r="74" spans="1:26" s="24" customFormat="1" hidden="1" outlineLevel="2" x14ac:dyDescent="0.25">
      <c r="A74" s="29"/>
      <c r="B74" s="11" t="str">
        <f>CONCATENATE("          ", "6322", " - ", "EQUIPMENT DEPRECIATION EXPENSE")</f>
        <v xml:space="preserve">          6322 - EQUIPMENT DEPRECIATION EXPENSE</v>
      </c>
      <c r="C74" s="11"/>
      <c r="D74" s="7">
        <v>280.44</v>
      </c>
      <c r="E74" s="2"/>
      <c r="F74" s="6">
        <f t="shared" si="29"/>
        <v>3.5301394911130975E-3</v>
      </c>
      <c r="G74" s="2"/>
      <c r="H74" s="7">
        <v>300</v>
      </c>
      <c r="I74" s="2"/>
      <c r="J74" s="6">
        <f t="shared" si="30"/>
        <v>3.9449287940352675E-3</v>
      </c>
      <c r="K74" s="2"/>
      <c r="L74" s="7">
        <f t="shared" si="31"/>
        <v>-19.560000000000002</v>
      </c>
      <c r="M74" s="2"/>
      <c r="N74" s="6">
        <f t="shared" si="32"/>
        <v>-6.5200000000000008E-2</v>
      </c>
      <c r="O74" s="11"/>
      <c r="P74" s="7">
        <v>1682.64</v>
      </c>
      <c r="Q74" s="2"/>
      <c r="R74" s="6">
        <f t="shared" si="33"/>
        <v>1.3193611401568573E-3</v>
      </c>
      <c r="S74" s="2"/>
      <c r="T74" s="7">
        <v>1800</v>
      </c>
      <c r="U74" s="2"/>
      <c r="V74" s="6">
        <f t="shared" si="34"/>
        <v>1.263118893171018E-3</v>
      </c>
      <c r="W74" s="2"/>
      <c r="X74" s="7">
        <f t="shared" si="35"/>
        <v>-117.3599999999999</v>
      </c>
      <c r="Y74" s="2"/>
      <c r="Z74" s="6">
        <f t="shared" si="36"/>
        <v>-6.5199999999999939E-2</v>
      </c>
    </row>
    <row r="75" spans="1:26" s="28" customFormat="1" outlineLevel="1" collapsed="1" x14ac:dyDescent="0.25">
      <c r="A75" s="27"/>
      <c r="B75" s="14" t="str">
        <f>CONCATENATE("     ","Discounts and Markdowns                           ")</f>
        <v xml:space="preserve">     Discounts and Markdowns                           </v>
      </c>
      <c r="C75" s="14"/>
      <c r="D75" s="1">
        <f>SUM(OSRRefD22_4x_0)</f>
        <v>0</v>
      </c>
      <c r="E75" s="1"/>
      <c r="F75" s="5">
        <f t="shared" si="29"/>
        <v>0</v>
      </c>
      <c r="G75" s="1"/>
      <c r="H75" s="1">
        <f>SUM(OSRRefH22_4x_0)</f>
        <v>1210</v>
      </c>
      <c r="I75" s="1"/>
      <c r="J75" s="5">
        <f t="shared" si="30"/>
        <v>1.5911212802608914E-2</v>
      </c>
      <c r="K75" s="1"/>
      <c r="L75" s="1">
        <f t="shared" si="31"/>
        <v>-1210</v>
      </c>
      <c r="M75" s="1"/>
      <c r="N75" s="5">
        <f t="shared" si="32"/>
        <v>-1</v>
      </c>
      <c r="O75" s="14"/>
      <c r="P75" s="1">
        <f>SUM(OSRRefP22_4x_0)</f>
        <v>0</v>
      </c>
      <c r="Q75" s="1"/>
      <c r="R75" s="5">
        <f t="shared" si="33"/>
        <v>0</v>
      </c>
      <c r="S75" s="1"/>
      <c r="T75" s="1">
        <f>SUM(OSRRefT22_4x_0)</f>
        <v>22666</v>
      </c>
      <c r="U75" s="1"/>
      <c r="V75" s="5">
        <f t="shared" si="34"/>
        <v>1.5905473795896827E-2</v>
      </c>
      <c r="W75" s="1"/>
      <c r="X75" s="1">
        <f t="shared" si="35"/>
        <v>-22666</v>
      </c>
      <c r="Y75" s="1"/>
      <c r="Z75" s="5">
        <f t="shared" si="36"/>
        <v>-1</v>
      </c>
    </row>
    <row r="76" spans="1:26" s="24" customFormat="1" hidden="1" outlineLevel="2" x14ac:dyDescent="0.25">
      <c r="A76" s="29"/>
      <c r="B76" s="11" t="str">
        <f>CONCATENATE("          ", "6382", " - ", "DISCOUNTS/MARK DOWNS")</f>
        <v xml:space="preserve">          6382 - DISCOUNTS/MARK DOWNS</v>
      </c>
      <c r="C76" s="11"/>
      <c r="D76" s="7"/>
      <c r="E76" s="2"/>
      <c r="F76" s="6">
        <f t="shared" si="29"/>
        <v>0</v>
      </c>
      <c r="G76" s="2"/>
      <c r="H76" s="7">
        <v>1210</v>
      </c>
      <c r="I76" s="2"/>
      <c r="J76" s="6">
        <f t="shared" si="30"/>
        <v>1.5911212802608914E-2</v>
      </c>
      <c r="K76" s="2"/>
      <c r="L76" s="7">
        <f t="shared" si="31"/>
        <v>-1210</v>
      </c>
      <c r="M76" s="2"/>
      <c r="N76" s="6">
        <f t="shared" si="32"/>
        <v>-1</v>
      </c>
      <c r="O76" s="11"/>
      <c r="P76" s="7"/>
      <c r="Q76" s="2"/>
      <c r="R76" s="6">
        <f t="shared" si="33"/>
        <v>0</v>
      </c>
      <c r="S76" s="2"/>
      <c r="T76" s="7">
        <v>22666</v>
      </c>
      <c r="U76" s="2"/>
      <c r="V76" s="6">
        <f t="shared" si="34"/>
        <v>1.5905473795896827E-2</v>
      </c>
      <c r="W76" s="2"/>
      <c r="X76" s="7">
        <f t="shared" si="35"/>
        <v>-22666</v>
      </c>
      <c r="Y76" s="2"/>
      <c r="Z76" s="6">
        <f t="shared" si="36"/>
        <v>-1</v>
      </c>
    </row>
    <row r="77" spans="1:26" s="28" customFormat="1" outlineLevel="1" collapsed="1" x14ac:dyDescent="0.25">
      <c r="A77" s="27"/>
      <c r="B77" s="14" t="str">
        <f>CONCATENATE("     ","Employees' Appreciation                           ")</f>
        <v xml:space="preserve">     Employees' Appreciation                           </v>
      </c>
      <c r="C77" s="14"/>
      <c r="D77" s="1">
        <f>SUM(OSRRefD22_5x_0)</f>
        <v>0</v>
      </c>
      <c r="E77" s="1"/>
      <c r="F77" s="5">
        <f t="shared" si="29"/>
        <v>0</v>
      </c>
      <c r="G77" s="1"/>
      <c r="H77" s="1">
        <f>SUM(OSRRefH22_5x_0)</f>
        <v>20</v>
      </c>
      <c r="I77" s="1"/>
      <c r="J77" s="5">
        <f t="shared" si="30"/>
        <v>2.6299525293568452E-4</v>
      </c>
      <c r="K77" s="1"/>
      <c r="L77" s="1">
        <f t="shared" si="31"/>
        <v>-20</v>
      </c>
      <c r="M77" s="1"/>
      <c r="N77" s="5">
        <f t="shared" si="32"/>
        <v>-1</v>
      </c>
      <c r="O77" s="14"/>
      <c r="P77" s="1">
        <f>SUM(OSRRefP22_5x_0)</f>
        <v>0</v>
      </c>
      <c r="Q77" s="1"/>
      <c r="R77" s="5">
        <f t="shared" si="33"/>
        <v>0</v>
      </c>
      <c r="S77" s="1"/>
      <c r="T77" s="1">
        <f>SUM(OSRRefT22_5x_0)</f>
        <v>120</v>
      </c>
      <c r="U77" s="1"/>
      <c r="V77" s="5">
        <f t="shared" si="34"/>
        <v>8.4207926211401197E-5</v>
      </c>
      <c r="W77" s="1"/>
      <c r="X77" s="1">
        <f t="shared" si="35"/>
        <v>-120</v>
      </c>
      <c r="Y77" s="1"/>
      <c r="Z77" s="5">
        <f t="shared" si="36"/>
        <v>-1</v>
      </c>
    </row>
    <row r="78" spans="1:26" s="24" customFormat="1" hidden="1" outlineLevel="2" x14ac:dyDescent="0.25">
      <c r="A78" s="29"/>
      <c r="B78" s="11" t="str">
        <f>CONCATENATE("          ", "6277", " - ", "EMPLOYEE APPRECIATION")</f>
        <v xml:space="preserve">          6277 - EMPLOYEE APPRECIATION</v>
      </c>
      <c r="C78" s="11"/>
      <c r="D78" s="7"/>
      <c r="E78" s="2"/>
      <c r="F78" s="6">
        <f t="shared" si="29"/>
        <v>0</v>
      </c>
      <c r="G78" s="2"/>
      <c r="H78" s="7">
        <v>20</v>
      </c>
      <c r="I78" s="2"/>
      <c r="J78" s="6">
        <f t="shared" si="30"/>
        <v>2.6299525293568452E-4</v>
      </c>
      <c r="K78" s="2"/>
      <c r="L78" s="7">
        <f t="shared" si="31"/>
        <v>-20</v>
      </c>
      <c r="M78" s="2"/>
      <c r="N78" s="6">
        <f t="shared" si="32"/>
        <v>-1</v>
      </c>
      <c r="O78" s="11"/>
      <c r="P78" s="7"/>
      <c r="Q78" s="2"/>
      <c r="R78" s="6">
        <f t="shared" si="33"/>
        <v>0</v>
      </c>
      <c r="S78" s="2"/>
      <c r="T78" s="7">
        <v>120</v>
      </c>
      <c r="U78" s="2"/>
      <c r="V78" s="6">
        <f t="shared" si="34"/>
        <v>8.4207926211401197E-5</v>
      </c>
      <c r="W78" s="2"/>
      <c r="X78" s="7">
        <f t="shared" si="35"/>
        <v>-120</v>
      </c>
      <c r="Y78" s="2"/>
      <c r="Z78" s="6">
        <f t="shared" si="36"/>
        <v>-1</v>
      </c>
    </row>
    <row r="79" spans="1:26" s="28" customFormat="1" outlineLevel="1" collapsed="1" x14ac:dyDescent="0.25">
      <c r="A79" s="27"/>
      <c r="B79" s="14" t="str">
        <f>CONCATENATE("     ","Freight out/Postage                               ")</f>
        <v xml:space="preserve">     Freight out/Postage                               </v>
      </c>
      <c r="C79" s="14"/>
      <c r="D79" s="1">
        <f>SUM(OSRRefD22_6x_0)</f>
        <v>43.58</v>
      </c>
      <c r="E79" s="1"/>
      <c r="F79" s="5">
        <f t="shared" si="29"/>
        <v>5.4857894388357143E-4</v>
      </c>
      <c r="G79" s="1"/>
      <c r="H79" s="1">
        <f>SUM(OSRRefH22_6x_0)</f>
        <v>15</v>
      </c>
      <c r="I79" s="1"/>
      <c r="J79" s="5">
        <f t="shared" si="30"/>
        <v>1.9724643970176338E-4</v>
      </c>
      <c r="K79" s="1"/>
      <c r="L79" s="1">
        <f t="shared" si="31"/>
        <v>28.58</v>
      </c>
      <c r="M79" s="1"/>
      <c r="N79" s="5">
        <f t="shared" si="32"/>
        <v>1.9053333333333333</v>
      </c>
      <c r="O79" s="14"/>
      <c r="P79" s="1">
        <f>SUM(OSRRefP22_6x_0)</f>
        <v>871.17000000000007</v>
      </c>
      <c r="Q79" s="1"/>
      <c r="R79" s="5">
        <f t="shared" si="33"/>
        <v>6.8308601035898902E-4</v>
      </c>
      <c r="S79" s="1"/>
      <c r="T79" s="1">
        <f>SUM(OSRRefT22_6x_0)</f>
        <v>90</v>
      </c>
      <c r="U79" s="1"/>
      <c r="V79" s="5">
        <f t="shared" si="34"/>
        <v>6.3155944658550888E-5</v>
      </c>
      <c r="W79" s="1"/>
      <c r="X79" s="1">
        <f t="shared" si="35"/>
        <v>781.17000000000007</v>
      </c>
      <c r="Y79" s="1"/>
      <c r="Z79" s="5">
        <f t="shared" si="36"/>
        <v>8.6796666666666678</v>
      </c>
    </row>
    <row r="80" spans="1:26" s="24" customFormat="1" hidden="1" outlineLevel="2" x14ac:dyDescent="0.25">
      <c r="A80" s="29"/>
      <c r="B80" s="11" t="str">
        <f>CONCATENATE("          ", "6305", " - ", "FREIGHT OUT")</f>
        <v xml:space="preserve">          6305 - FREIGHT OUT</v>
      </c>
      <c r="C80" s="11"/>
      <c r="D80" s="7">
        <v>43.58</v>
      </c>
      <c r="E80" s="2"/>
      <c r="F80" s="6">
        <f t="shared" si="29"/>
        <v>5.4857894388357143E-4</v>
      </c>
      <c r="G80" s="2"/>
      <c r="H80" s="7">
        <v>15</v>
      </c>
      <c r="I80" s="2"/>
      <c r="J80" s="6">
        <f t="shared" si="30"/>
        <v>1.9724643970176338E-4</v>
      </c>
      <c r="K80" s="2"/>
      <c r="L80" s="7">
        <f t="shared" si="31"/>
        <v>28.58</v>
      </c>
      <c r="M80" s="2"/>
      <c r="N80" s="6">
        <f t="shared" si="32"/>
        <v>1.9053333333333333</v>
      </c>
      <c r="O80" s="11"/>
      <c r="P80" s="7">
        <v>858.57</v>
      </c>
      <c r="Q80" s="2"/>
      <c r="R80" s="6">
        <f t="shared" si="33"/>
        <v>6.7320632702448115E-4</v>
      </c>
      <c r="S80" s="2"/>
      <c r="T80" s="7">
        <v>90</v>
      </c>
      <c r="U80" s="2"/>
      <c r="V80" s="6">
        <f t="shared" si="34"/>
        <v>6.3155944658550888E-5</v>
      </c>
      <c r="W80" s="2"/>
      <c r="X80" s="7">
        <f t="shared" si="35"/>
        <v>768.57</v>
      </c>
      <c r="Y80" s="2"/>
      <c r="Z80" s="6">
        <f t="shared" si="36"/>
        <v>8.5396666666666672</v>
      </c>
    </row>
    <row r="81" spans="1:26" s="24" customFormat="1" hidden="1" outlineLevel="2" x14ac:dyDescent="0.25">
      <c r="A81" s="29"/>
      <c r="B81" s="11" t="str">
        <f>CONCATENATE("          ", "6307", " - ", "POSTAGE")</f>
        <v xml:space="preserve">          6307 - POSTAGE</v>
      </c>
      <c r="C81" s="11"/>
      <c r="D81" s="7"/>
      <c r="E81" s="2"/>
      <c r="F81" s="6">
        <f t="shared" si="29"/>
        <v>0</v>
      </c>
      <c r="G81" s="2"/>
      <c r="H81" s="7"/>
      <c r="I81" s="2"/>
      <c r="J81" s="6">
        <f t="shared" si="30"/>
        <v>0</v>
      </c>
      <c r="K81" s="2"/>
      <c r="L81" s="7">
        <f t="shared" si="31"/>
        <v>0</v>
      </c>
      <c r="M81" s="2"/>
      <c r="N81" s="6">
        <f t="shared" si="32"/>
        <v>0</v>
      </c>
      <c r="O81" s="11"/>
      <c r="P81" s="7">
        <v>12.6</v>
      </c>
      <c r="Q81" s="2"/>
      <c r="R81" s="6">
        <f t="shared" si="33"/>
        <v>9.8796833345079152E-6</v>
      </c>
      <c r="S81" s="2"/>
      <c r="T81" s="7"/>
      <c r="U81" s="2"/>
      <c r="V81" s="6">
        <f t="shared" si="34"/>
        <v>0</v>
      </c>
      <c r="W81" s="2"/>
      <c r="X81" s="7">
        <f t="shared" si="35"/>
        <v>12.6</v>
      </c>
      <c r="Y81" s="2"/>
      <c r="Z81" s="6">
        <f t="shared" si="36"/>
        <v>0</v>
      </c>
    </row>
    <row r="82" spans="1:26" s="28" customFormat="1" outlineLevel="1" collapsed="1" x14ac:dyDescent="0.25">
      <c r="A82" s="27"/>
      <c r="B82" s="14" t="str">
        <f>CONCATENATE("     ","General                                           ")</f>
        <v xml:space="preserve">     General                                           </v>
      </c>
      <c r="C82" s="14"/>
      <c r="D82" s="1">
        <f>SUM(OSRRefD22_7x_0)</f>
        <v>0</v>
      </c>
      <c r="E82" s="1"/>
      <c r="F82" s="5">
        <f t="shared" ref="F82:F91" si="37">IF(D$12=0,0,D82/D$12)</f>
        <v>0</v>
      </c>
      <c r="G82" s="1"/>
      <c r="H82" s="1">
        <f>SUM(OSRRefH22_7x_0)</f>
        <v>30</v>
      </c>
      <c r="I82" s="1"/>
      <c r="J82" s="5">
        <f t="shared" ref="J82:J91" si="38">IF(H$12=0,0,H82/H$12)</f>
        <v>3.9449287940352675E-4</v>
      </c>
      <c r="K82" s="1"/>
      <c r="L82" s="1">
        <f t="shared" ref="L82:L91" si="39">+D82-H82</f>
        <v>-30</v>
      </c>
      <c r="M82" s="1"/>
      <c r="N82" s="5">
        <f t="shared" ref="N82:N91" si="40">IF(H82=0,0,L82/H82)</f>
        <v>-1</v>
      </c>
      <c r="O82" s="14"/>
      <c r="P82" s="1">
        <f>SUM(OSRRefP22_7x_0)</f>
        <v>-30.15</v>
      </c>
      <c r="Q82" s="1"/>
      <c r="R82" s="5">
        <f t="shared" ref="R82:R91" si="41">IF(P$12=0,0,P82/P$12)</f>
        <v>-2.3640670836143939E-5</v>
      </c>
      <c r="S82" s="1"/>
      <c r="T82" s="1">
        <f>SUM(OSRRefT22_7x_0)</f>
        <v>180</v>
      </c>
      <c r="U82" s="1"/>
      <c r="V82" s="5">
        <f t="shared" ref="V82:V91" si="42">IF(T$12=0,0,T82/T$12)</f>
        <v>1.2631188931710178E-4</v>
      </c>
      <c r="W82" s="1"/>
      <c r="X82" s="1">
        <f t="shared" ref="X82:X91" si="43">+P82-T82</f>
        <v>-210.15</v>
      </c>
      <c r="Y82" s="1"/>
      <c r="Z82" s="5">
        <f t="shared" ref="Z82:Z91" si="44">IF(T82=0,0,X82/T82)</f>
        <v>-1.1675</v>
      </c>
    </row>
    <row r="83" spans="1:26" s="24" customFormat="1" hidden="1" outlineLevel="2" x14ac:dyDescent="0.25">
      <c r="A83" s="29"/>
      <c r="B83" s="11" t="str">
        <f>CONCATENATE("          ", "6279", " - ", "GENERAL EXPENSE")</f>
        <v xml:space="preserve">          6279 - GENERAL EXPENSE</v>
      </c>
      <c r="C83" s="11"/>
      <c r="D83" s="7"/>
      <c r="E83" s="2"/>
      <c r="F83" s="6">
        <f t="shared" si="37"/>
        <v>0</v>
      </c>
      <c r="G83" s="2"/>
      <c r="H83" s="7">
        <v>30</v>
      </c>
      <c r="I83" s="2"/>
      <c r="J83" s="6">
        <f t="shared" si="38"/>
        <v>3.9449287940352675E-4</v>
      </c>
      <c r="K83" s="2"/>
      <c r="L83" s="7">
        <f t="shared" si="39"/>
        <v>-30</v>
      </c>
      <c r="M83" s="2"/>
      <c r="N83" s="6">
        <f t="shared" si="40"/>
        <v>-1</v>
      </c>
      <c r="O83" s="11"/>
      <c r="P83" s="7">
        <v>-30.15</v>
      </c>
      <c r="Q83" s="2"/>
      <c r="R83" s="6">
        <f t="shared" si="41"/>
        <v>-2.3640670836143939E-5</v>
      </c>
      <c r="S83" s="2"/>
      <c r="T83" s="7">
        <v>180</v>
      </c>
      <c r="U83" s="2"/>
      <c r="V83" s="6">
        <f t="shared" si="42"/>
        <v>1.2631188931710178E-4</v>
      </c>
      <c r="W83" s="2"/>
      <c r="X83" s="7">
        <f t="shared" si="43"/>
        <v>-210.15</v>
      </c>
      <c r="Y83" s="2"/>
      <c r="Z83" s="6">
        <f t="shared" si="44"/>
        <v>-1.1675</v>
      </c>
    </row>
    <row r="84" spans="1:26" s="28" customFormat="1" outlineLevel="1" collapsed="1" x14ac:dyDescent="0.25">
      <c r="A84" s="27"/>
      <c r="B84" s="14" t="str">
        <f>CONCATENATE("     ","Inventory Adjustment                              ")</f>
        <v xml:space="preserve">     Inventory Adjustment                              </v>
      </c>
      <c r="C84" s="14"/>
      <c r="D84" s="1">
        <f>SUM(OSRRefD22_8x_0)</f>
        <v>1250</v>
      </c>
      <c r="E84" s="1"/>
      <c r="F84" s="5">
        <f t="shared" si="37"/>
        <v>1.5734825145811482E-2</v>
      </c>
      <c r="G84" s="1"/>
      <c r="H84" s="1">
        <f>SUM(OSRRefH22_8x_0)</f>
        <v>1250</v>
      </c>
      <c r="I84" s="1"/>
      <c r="J84" s="5">
        <f t="shared" si="38"/>
        <v>1.643720330848028E-2</v>
      </c>
      <c r="K84" s="1"/>
      <c r="L84" s="1">
        <f t="shared" si="39"/>
        <v>0</v>
      </c>
      <c r="M84" s="1"/>
      <c r="N84" s="5">
        <f t="shared" si="40"/>
        <v>0</v>
      </c>
      <c r="O84" s="14"/>
      <c r="P84" s="1">
        <f>SUM(OSRRefP22_8x_0)</f>
        <v>7500</v>
      </c>
      <c r="Q84" s="1"/>
      <c r="R84" s="5">
        <f t="shared" si="41"/>
        <v>5.8807638895880454E-3</v>
      </c>
      <c r="S84" s="1"/>
      <c r="T84" s="1">
        <f>SUM(OSRRefT22_8x_0)</f>
        <v>7500</v>
      </c>
      <c r="U84" s="1"/>
      <c r="V84" s="5">
        <f t="shared" si="42"/>
        <v>5.2629953882125744E-3</v>
      </c>
      <c r="W84" s="1"/>
      <c r="X84" s="1">
        <f t="shared" si="43"/>
        <v>0</v>
      </c>
      <c r="Y84" s="1"/>
      <c r="Z84" s="5">
        <f t="shared" si="44"/>
        <v>0</v>
      </c>
    </row>
    <row r="85" spans="1:26" s="24" customFormat="1" hidden="1" outlineLevel="2" x14ac:dyDescent="0.25">
      <c r="A85" s="29"/>
      <c r="B85" s="11" t="str">
        <f>CONCATENATE("          ", "6408", " - ", "INVENTORY ADJUSTMENT")</f>
        <v xml:space="preserve">          6408 - INVENTORY ADJUSTMENT</v>
      </c>
      <c r="C85" s="11"/>
      <c r="D85" s="7">
        <v>1250</v>
      </c>
      <c r="E85" s="2"/>
      <c r="F85" s="6">
        <f t="shared" si="37"/>
        <v>1.5734825145811482E-2</v>
      </c>
      <c r="G85" s="2"/>
      <c r="H85" s="7">
        <v>1250</v>
      </c>
      <c r="I85" s="2"/>
      <c r="J85" s="6">
        <f t="shared" si="38"/>
        <v>1.643720330848028E-2</v>
      </c>
      <c r="K85" s="2"/>
      <c r="L85" s="7">
        <f t="shared" si="39"/>
        <v>0</v>
      </c>
      <c r="M85" s="2"/>
      <c r="N85" s="6">
        <f t="shared" si="40"/>
        <v>0</v>
      </c>
      <c r="O85" s="11"/>
      <c r="P85" s="7">
        <v>7500</v>
      </c>
      <c r="Q85" s="2"/>
      <c r="R85" s="6">
        <f t="shared" si="41"/>
        <v>5.8807638895880454E-3</v>
      </c>
      <c r="S85" s="2"/>
      <c r="T85" s="7">
        <v>7500</v>
      </c>
      <c r="U85" s="2"/>
      <c r="V85" s="6">
        <f t="shared" si="42"/>
        <v>5.2629953882125744E-3</v>
      </c>
      <c r="W85" s="2"/>
      <c r="X85" s="7">
        <f t="shared" si="43"/>
        <v>0</v>
      </c>
      <c r="Y85" s="2"/>
      <c r="Z85" s="6">
        <f t="shared" si="44"/>
        <v>0</v>
      </c>
    </row>
    <row r="86" spans="1:26" s="28" customFormat="1" outlineLevel="1" collapsed="1" x14ac:dyDescent="0.25">
      <c r="A86" s="27"/>
      <c r="B86" s="14" t="str">
        <f>CONCATENATE("     ","Repair and Maintenance                            ")</f>
        <v xml:space="preserve">     Repair and Maintenance                            </v>
      </c>
      <c r="C86" s="14"/>
      <c r="D86" s="1">
        <f>SUM(OSRRefD22_9x_0)</f>
        <v>0</v>
      </c>
      <c r="E86" s="1"/>
      <c r="F86" s="5">
        <f t="shared" si="37"/>
        <v>0</v>
      </c>
      <c r="G86" s="1"/>
      <c r="H86" s="1">
        <f>SUM(OSRRefH22_9x_0)</f>
        <v>20</v>
      </c>
      <c r="I86" s="1"/>
      <c r="J86" s="5">
        <f t="shared" si="38"/>
        <v>2.6299525293568452E-4</v>
      </c>
      <c r="K86" s="1"/>
      <c r="L86" s="1">
        <f t="shared" si="39"/>
        <v>-20</v>
      </c>
      <c r="M86" s="1"/>
      <c r="N86" s="5">
        <f t="shared" si="40"/>
        <v>-1</v>
      </c>
      <c r="O86" s="14"/>
      <c r="P86" s="1">
        <f>SUM(OSRRefP22_9x_0)</f>
        <v>0</v>
      </c>
      <c r="Q86" s="1"/>
      <c r="R86" s="5">
        <f t="shared" si="41"/>
        <v>0</v>
      </c>
      <c r="S86" s="1"/>
      <c r="T86" s="1">
        <f>SUM(OSRRefT22_9x_0)</f>
        <v>125</v>
      </c>
      <c r="U86" s="1"/>
      <c r="V86" s="5">
        <f t="shared" si="42"/>
        <v>8.7716589803542904E-5</v>
      </c>
      <c r="W86" s="1"/>
      <c r="X86" s="1">
        <f t="shared" si="43"/>
        <v>-125</v>
      </c>
      <c r="Y86" s="1"/>
      <c r="Z86" s="5">
        <f t="shared" si="44"/>
        <v>-1</v>
      </c>
    </row>
    <row r="87" spans="1:26" s="24" customFormat="1" hidden="1" outlineLevel="2" x14ac:dyDescent="0.25">
      <c r="A87" s="29"/>
      <c r="B87" s="11" t="str">
        <f>CONCATENATE("          ", "6375", " - ", "OUTSIDE REPAIRS &amp; MAINTENANCE")</f>
        <v xml:space="preserve">          6375 - OUTSIDE REPAIRS &amp; MAINTENANCE</v>
      </c>
      <c r="C87" s="11"/>
      <c r="D87" s="7"/>
      <c r="E87" s="2"/>
      <c r="F87" s="6">
        <f t="shared" si="37"/>
        <v>0</v>
      </c>
      <c r="G87" s="2"/>
      <c r="H87" s="7">
        <v>20</v>
      </c>
      <c r="I87" s="2"/>
      <c r="J87" s="6">
        <f t="shared" si="38"/>
        <v>2.6299525293568452E-4</v>
      </c>
      <c r="K87" s="2"/>
      <c r="L87" s="7">
        <f t="shared" si="39"/>
        <v>-20</v>
      </c>
      <c r="M87" s="2"/>
      <c r="N87" s="6">
        <f t="shared" si="40"/>
        <v>-1</v>
      </c>
      <c r="O87" s="11"/>
      <c r="P87" s="7"/>
      <c r="Q87" s="2"/>
      <c r="R87" s="6">
        <f t="shared" si="41"/>
        <v>0</v>
      </c>
      <c r="S87" s="2"/>
      <c r="T87" s="7">
        <v>125</v>
      </c>
      <c r="U87" s="2"/>
      <c r="V87" s="6">
        <f t="shared" si="42"/>
        <v>8.7716589803542904E-5</v>
      </c>
      <c r="W87" s="2"/>
      <c r="X87" s="7">
        <f t="shared" si="43"/>
        <v>-125</v>
      </c>
      <c r="Y87" s="2"/>
      <c r="Z87" s="6">
        <f t="shared" si="44"/>
        <v>-1</v>
      </c>
    </row>
    <row r="88" spans="1:26" s="28" customFormat="1" outlineLevel="1" collapsed="1" x14ac:dyDescent="0.25">
      <c r="A88" s="27"/>
      <c r="B88" s="14" t="str">
        <f>CONCATENATE("     ","Supplies                                          ")</f>
        <v xml:space="preserve">     Supplies                                          </v>
      </c>
      <c r="C88" s="14"/>
      <c r="D88" s="1">
        <f>SUM(OSRRefD22_10x_0)</f>
        <v>1052.8599999999999</v>
      </c>
      <c r="E88" s="1"/>
      <c r="F88" s="5">
        <f t="shared" si="37"/>
        <v>1.325325440241526E-2</v>
      </c>
      <c r="G88" s="1"/>
      <c r="H88" s="1">
        <f>SUM(OSRRefH22_10x_0)</f>
        <v>310</v>
      </c>
      <c r="I88" s="1"/>
      <c r="J88" s="5">
        <f t="shared" si="38"/>
        <v>4.0764264205031099E-3</v>
      </c>
      <c r="K88" s="1"/>
      <c r="L88" s="1">
        <f t="shared" si="39"/>
        <v>742.8599999999999</v>
      </c>
      <c r="M88" s="1"/>
      <c r="N88" s="5">
        <f t="shared" si="40"/>
        <v>2.3963225806451609</v>
      </c>
      <c r="O88" s="14"/>
      <c r="P88" s="1">
        <f>SUM(OSRRefP22_10x_0)</f>
        <v>2753.5699999999997</v>
      </c>
      <c r="Q88" s="1"/>
      <c r="R88" s="5">
        <f t="shared" si="41"/>
        <v>2.1590793364603938E-3</v>
      </c>
      <c r="S88" s="1"/>
      <c r="T88" s="1">
        <f>SUM(OSRRefT22_10x_0)</f>
        <v>1860</v>
      </c>
      <c r="U88" s="1"/>
      <c r="V88" s="5">
        <f t="shared" si="42"/>
        <v>1.3052228562767186E-3</v>
      </c>
      <c r="W88" s="1"/>
      <c r="X88" s="1">
        <f t="shared" si="43"/>
        <v>893.56999999999971</v>
      </c>
      <c r="Y88" s="1"/>
      <c r="Z88" s="5">
        <f t="shared" si="44"/>
        <v>0.48041397849462347</v>
      </c>
    </row>
    <row r="89" spans="1:26" s="24" customFormat="1" hidden="1" outlineLevel="2" x14ac:dyDescent="0.25">
      <c r="A89" s="29"/>
      <c r="B89" s="11" t="str">
        <f>CONCATENATE("          ", "6235", " - ", "COVID-19 EXPENSES")</f>
        <v xml:space="preserve">          6235 - COVID-19 EXPENSES</v>
      </c>
      <c r="C89" s="11"/>
      <c r="D89" s="7"/>
      <c r="E89" s="2"/>
      <c r="F89" s="6">
        <f t="shared" si="37"/>
        <v>0</v>
      </c>
      <c r="G89" s="2"/>
      <c r="H89" s="7"/>
      <c r="I89" s="2"/>
      <c r="J89" s="6">
        <f t="shared" si="38"/>
        <v>0</v>
      </c>
      <c r="K89" s="2"/>
      <c r="L89" s="7">
        <f t="shared" si="39"/>
        <v>0</v>
      </c>
      <c r="M89" s="2"/>
      <c r="N89" s="6">
        <f t="shared" si="40"/>
        <v>0</v>
      </c>
      <c r="O89" s="11"/>
      <c r="P89" s="7">
        <v>668.12</v>
      </c>
      <c r="Q89" s="2"/>
      <c r="R89" s="6">
        <f t="shared" si="41"/>
        <v>5.2387412932154199E-4</v>
      </c>
      <c r="S89" s="2"/>
      <c r="T89" s="7"/>
      <c r="U89" s="2"/>
      <c r="V89" s="6">
        <f t="shared" si="42"/>
        <v>0</v>
      </c>
      <c r="W89" s="2"/>
      <c r="X89" s="7">
        <f t="shared" si="43"/>
        <v>668.12</v>
      </c>
      <c r="Y89" s="2"/>
      <c r="Z89" s="6">
        <f t="shared" si="44"/>
        <v>0</v>
      </c>
    </row>
    <row r="90" spans="1:26" s="24" customFormat="1" hidden="1" outlineLevel="2" x14ac:dyDescent="0.25">
      <c r="A90" s="29"/>
      <c r="B90" s="11" t="str">
        <f>CONCATENATE("          ", "6241", " - ", "OFFICE EXPENSE")</f>
        <v xml:space="preserve">          6241 - OFFICE EXPENSE</v>
      </c>
      <c r="C90" s="11"/>
      <c r="D90" s="7">
        <v>1052.8599999999999</v>
      </c>
      <c r="E90" s="2"/>
      <c r="F90" s="6">
        <f t="shared" si="37"/>
        <v>1.325325440241526E-2</v>
      </c>
      <c r="G90" s="2"/>
      <c r="H90" s="7">
        <v>110</v>
      </c>
      <c r="I90" s="2"/>
      <c r="J90" s="6">
        <f t="shared" si="38"/>
        <v>1.4464738911462648E-3</v>
      </c>
      <c r="K90" s="2"/>
      <c r="L90" s="7">
        <f t="shared" si="39"/>
        <v>942.8599999999999</v>
      </c>
      <c r="M90" s="2"/>
      <c r="N90" s="6">
        <f t="shared" si="40"/>
        <v>8.5714545454545448</v>
      </c>
      <c r="O90" s="11"/>
      <c r="P90" s="7">
        <v>2085.4499999999998</v>
      </c>
      <c r="Q90" s="2"/>
      <c r="R90" s="6">
        <f t="shared" si="41"/>
        <v>1.6352052071388517E-3</v>
      </c>
      <c r="S90" s="2"/>
      <c r="T90" s="7">
        <v>660</v>
      </c>
      <c r="U90" s="2"/>
      <c r="V90" s="6">
        <f t="shared" si="42"/>
        <v>4.6314359416270656E-4</v>
      </c>
      <c r="W90" s="2"/>
      <c r="X90" s="7">
        <f t="shared" si="43"/>
        <v>1425.4499999999998</v>
      </c>
      <c r="Y90" s="2"/>
      <c r="Z90" s="6">
        <f t="shared" si="44"/>
        <v>2.1597727272727272</v>
      </c>
    </row>
    <row r="91" spans="1:26" s="24" customFormat="1" hidden="1" outlineLevel="2" x14ac:dyDescent="0.25">
      <c r="A91" s="29"/>
      <c r="B91" s="11" t="str">
        <f>CONCATENATE("          ", "6247", " - ", "STORE SUPPLIES")</f>
        <v xml:space="preserve">          6247 - STORE SUPPLIES</v>
      </c>
      <c r="C91" s="11"/>
      <c r="D91" s="7"/>
      <c r="E91" s="2"/>
      <c r="F91" s="6">
        <f t="shared" si="37"/>
        <v>0</v>
      </c>
      <c r="G91" s="2"/>
      <c r="H91" s="7">
        <v>200</v>
      </c>
      <c r="I91" s="2"/>
      <c r="J91" s="6">
        <f t="shared" si="38"/>
        <v>2.6299525293568453E-3</v>
      </c>
      <c r="K91" s="2"/>
      <c r="L91" s="7">
        <f t="shared" si="39"/>
        <v>-200</v>
      </c>
      <c r="M91" s="2"/>
      <c r="N91" s="6">
        <f t="shared" si="40"/>
        <v>-1</v>
      </c>
      <c r="O91" s="11"/>
      <c r="P91" s="7"/>
      <c r="Q91" s="2"/>
      <c r="R91" s="6">
        <f t="shared" si="41"/>
        <v>0</v>
      </c>
      <c r="S91" s="2"/>
      <c r="T91" s="7">
        <v>1200</v>
      </c>
      <c r="U91" s="2"/>
      <c r="V91" s="6">
        <f t="shared" si="42"/>
        <v>8.4207926211401195E-4</v>
      </c>
      <c r="W91" s="2"/>
      <c r="X91" s="7">
        <f t="shared" si="43"/>
        <v>-1200</v>
      </c>
      <c r="Y91" s="2"/>
      <c r="Z91" s="6">
        <f t="shared" si="44"/>
        <v>-1</v>
      </c>
    </row>
    <row r="92" spans="1:26" s="28" customFormat="1" outlineLevel="1" collapsed="1" x14ac:dyDescent="0.25">
      <c r="A92" s="27"/>
      <c r="B92" s="14" t="str">
        <f>CONCATENATE("     ","Telephone/Data Lines                              ")</f>
        <v xml:space="preserve">     Telephone/Data Lines                              </v>
      </c>
      <c r="C92" s="14"/>
      <c r="D92" s="1">
        <f>SUM(OSRRefD22_11x_0)</f>
        <v>282.95</v>
      </c>
      <c r="E92" s="1"/>
      <c r="F92" s="5">
        <f t="shared" ref="F92:F95" si="45">IF(D$12=0,0,D92/D$12)</f>
        <v>3.5617350200058866E-3</v>
      </c>
      <c r="G92" s="1"/>
      <c r="H92" s="1">
        <f>SUM(OSRRefH22_11x_0)</f>
        <v>250</v>
      </c>
      <c r="I92" s="1"/>
      <c r="J92" s="5">
        <f t="shared" ref="J92:J95" si="46">IF(H$12=0,0,H92/H$12)</f>
        <v>3.2874406616960564E-3</v>
      </c>
      <c r="K92" s="1"/>
      <c r="L92" s="1">
        <f t="shared" ref="L92:L95" si="47">+D92-H92</f>
        <v>32.949999999999989</v>
      </c>
      <c r="M92" s="1"/>
      <c r="N92" s="5">
        <f t="shared" ref="N92:N95" si="48">IF(H92=0,0,L92/H92)</f>
        <v>0.13179999999999994</v>
      </c>
      <c r="O92" s="14"/>
      <c r="P92" s="1">
        <f>SUM(OSRRefP22_11x_0)</f>
        <v>1853.3</v>
      </c>
      <c r="Q92" s="1"/>
      <c r="R92" s="5">
        <f t="shared" ref="R92:R95" si="49">IF(P$12=0,0,P92/P$12)</f>
        <v>1.4531759622098033E-3</v>
      </c>
      <c r="S92" s="1"/>
      <c r="T92" s="1">
        <f>SUM(OSRRefT22_11x_0)</f>
        <v>1510</v>
      </c>
      <c r="U92" s="1"/>
      <c r="V92" s="5">
        <f t="shared" ref="V92:V95" si="50">IF(T$12=0,0,T92/T$12)</f>
        <v>1.0596164048267984E-3</v>
      </c>
      <c r="W92" s="1"/>
      <c r="X92" s="1">
        <f t="shared" ref="X92:X95" si="51">+P92-T92</f>
        <v>343.29999999999995</v>
      </c>
      <c r="Y92" s="1"/>
      <c r="Z92" s="5">
        <f t="shared" ref="Z92:Z95" si="52">IF(T92=0,0,X92/T92)</f>
        <v>0.22735099337748341</v>
      </c>
    </row>
    <row r="93" spans="1:26" s="24" customFormat="1" hidden="1" outlineLevel="2" x14ac:dyDescent="0.25">
      <c r="A93" s="29"/>
      <c r="B93" s="11" t="str">
        <f>CONCATENATE("          ", "6309", " - ", "TELEPHONE")</f>
        <v xml:space="preserve">          6309 - TELEPHONE</v>
      </c>
      <c r="C93" s="11"/>
      <c r="D93" s="7">
        <v>282.95</v>
      </c>
      <c r="E93" s="2"/>
      <c r="F93" s="6">
        <f t="shared" si="45"/>
        <v>3.5617350200058866E-3</v>
      </c>
      <c r="G93" s="2"/>
      <c r="H93" s="7">
        <v>250</v>
      </c>
      <c r="I93" s="2"/>
      <c r="J93" s="6">
        <f t="shared" si="46"/>
        <v>3.2874406616960564E-3</v>
      </c>
      <c r="K93" s="2"/>
      <c r="L93" s="7">
        <f t="shared" si="47"/>
        <v>32.949999999999989</v>
      </c>
      <c r="M93" s="2"/>
      <c r="N93" s="6">
        <f t="shared" si="48"/>
        <v>0.13179999999999994</v>
      </c>
      <c r="O93" s="11"/>
      <c r="P93" s="7">
        <v>1853.3</v>
      </c>
      <c r="Q93" s="2"/>
      <c r="R93" s="6">
        <f t="shared" si="49"/>
        <v>1.4531759622098033E-3</v>
      </c>
      <c r="S93" s="2"/>
      <c r="T93" s="7">
        <v>1510</v>
      </c>
      <c r="U93" s="2"/>
      <c r="V93" s="6">
        <f t="shared" si="50"/>
        <v>1.0596164048267984E-3</v>
      </c>
      <c r="W93" s="2"/>
      <c r="X93" s="7">
        <f t="shared" si="51"/>
        <v>343.29999999999995</v>
      </c>
      <c r="Y93" s="2"/>
      <c r="Z93" s="6">
        <f t="shared" si="52"/>
        <v>0.22735099337748341</v>
      </c>
    </row>
    <row r="94" spans="1:26" s="28" customFormat="1" outlineLevel="1" collapsed="1" x14ac:dyDescent="0.25">
      <c r="A94" s="27"/>
      <c r="B94" s="14" t="str">
        <f>CONCATENATE("     ","Training                                          ")</f>
        <v xml:space="preserve">     Training                                          </v>
      </c>
      <c r="C94" s="14"/>
      <c r="D94" s="1">
        <f>SUM(OSRRefD22_12x_0)</f>
        <v>0</v>
      </c>
      <c r="E94" s="1"/>
      <c r="F94" s="5">
        <f t="shared" si="45"/>
        <v>0</v>
      </c>
      <c r="G94" s="1"/>
      <c r="H94" s="1">
        <f>SUM(OSRRefH22_12x_0)</f>
        <v>0</v>
      </c>
      <c r="I94" s="1"/>
      <c r="J94" s="5">
        <f t="shared" si="46"/>
        <v>0</v>
      </c>
      <c r="K94" s="1"/>
      <c r="L94" s="1">
        <f t="shared" si="47"/>
        <v>0</v>
      </c>
      <c r="M94" s="1"/>
      <c r="N94" s="5">
        <f t="shared" si="48"/>
        <v>0</v>
      </c>
      <c r="O94" s="14"/>
      <c r="P94" s="1">
        <f>SUM(OSRRefP22_12x_0)</f>
        <v>100</v>
      </c>
      <c r="Q94" s="1"/>
      <c r="R94" s="5">
        <f t="shared" si="49"/>
        <v>7.8410185194507275E-5</v>
      </c>
      <c r="S94" s="1"/>
      <c r="T94" s="1">
        <f>SUM(OSRRefT22_12x_0)</f>
        <v>0</v>
      </c>
      <c r="U94" s="1"/>
      <c r="V94" s="5">
        <f t="shared" si="50"/>
        <v>0</v>
      </c>
      <c r="W94" s="1"/>
      <c r="X94" s="1">
        <f t="shared" si="51"/>
        <v>100</v>
      </c>
      <c r="Y94" s="1"/>
      <c r="Z94" s="5">
        <f t="shared" si="52"/>
        <v>0</v>
      </c>
    </row>
    <row r="95" spans="1:26" s="24" customFormat="1" hidden="1" outlineLevel="2" x14ac:dyDescent="0.25">
      <c r="A95" s="29"/>
      <c r="B95" s="11" t="str">
        <f>CONCATENATE("          ", "6376", " - ", "TRAINING")</f>
        <v xml:space="preserve">          6376 - TRAINING</v>
      </c>
      <c r="C95" s="11"/>
      <c r="D95" s="7"/>
      <c r="E95" s="2"/>
      <c r="F95" s="6">
        <f t="shared" si="45"/>
        <v>0</v>
      </c>
      <c r="G95" s="2"/>
      <c r="H95" s="7"/>
      <c r="I95" s="2"/>
      <c r="J95" s="6">
        <f t="shared" si="46"/>
        <v>0</v>
      </c>
      <c r="K95" s="2"/>
      <c r="L95" s="7">
        <f t="shared" si="47"/>
        <v>0</v>
      </c>
      <c r="M95" s="2"/>
      <c r="N95" s="6">
        <f t="shared" si="48"/>
        <v>0</v>
      </c>
      <c r="O95" s="11"/>
      <c r="P95" s="7">
        <v>100</v>
      </c>
      <c r="Q95" s="2"/>
      <c r="R95" s="6">
        <f t="shared" si="49"/>
        <v>7.8410185194507275E-5</v>
      </c>
      <c r="S95" s="2"/>
      <c r="T95" s="7"/>
      <c r="U95" s="2"/>
      <c r="V95" s="6">
        <f t="shared" si="50"/>
        <v>0</v>
      </c>
      <c r="W95" s="2"/>
      <c r="X95" s="7">
        <f t="shared" si="51"/>
        <v>100</v>
      </c>
      <c r="Y95" s="2"/>
      <c r="Z95" s="6">
        <f t="shared" si="52"/>
        <v>0</v>
      </c>
    </row>
    <row r="96" spans="1:26" s="53" customFormat="1" x14ac:dyDescent="0.2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25">
      <c r="A97" s="10"/>
      <c r="B97" s="26" t="s">
        <v>0</v>
      </c>
      <c r="C97" s="10"/>
      <c r="D97" s="4">
        <f>SUM(OSRRefD25x_0)</f>
        <v>-412.00999999999993</v>
      </c>
      <c r="E97" s="4"/>
      <c r="F97" s="12">
        <f t="shared" ref="F97:F99" si="53">IF(D$12=0,0,D97/D$12)</f>
        <v>-5.1863242466606303E-3</v>
      </c>
      <c r="G97" s="4"/>
      <c r="H97" s="4">
        <f>SUM(OSRRefH25x_0)</f>
        <v>605</v>
      </c>
      <c r="I97" s="4"/>
      <c r="J97" s="12">
        <f t="shared" ref="J97:J99" si="54">IF(H$12=0,0,H97/H$12)</f>
        <v>7.9556064013044572E-3</v>
      </c>
      <c r="K97" s="4"/>
      <c r="L97" s="4">
        <f t="shared" ref="L97:L99" si="55">+D97-H97</f>
        <v>-1017.01</v>
      </c>
      <c r="M97" s="4"/>
      <c r="N97" s="12">
        <f t="shared" ref="N97:N99" si="56">IF(H97=0,0,L97/H97)</f>
        <v>-1.6810082644628099</v>
      </c>
      <c r="O97" s="10"/>
      <c r="P97" s="4">
        <f>SUM(OSRRefP25x_0)</f>
        <v>343.1</v>
      </c>
      <c r="Q97" s="4"/>
      <c r="R97" s="12">
        <f t="shared" ref="R97:R99" si="57">IF(P$12=0,0,P97/P$12)</f>
        <v>2.6902534540235444E-4</v>
      </c>
      <c r="S97" s="4"/>
      <c r="T97" s="4">
        <f>SUM(OSRRefT25x_0)</f>
        <v>11334</v>
      </c>
      <c r="U97" s="4"/>
      <c r="V97" s="12">
        <f t="shared" ref="V97:V99" si="58">IF(T$12=0,0,T97/T$12)</f>
        <v>7.9534386306668418E-3</v>
      </c>
      <c r="W97" s="4"/>
      <c r="X97" s="4">
        <f t="shared" ref="X97:X99" si="59">+P97-T97</f>
        <v>-10990.9</v>
      </c>
      <c r="Y97" s="4"/>
      <c r="Z97" s="12">
        <f t="shared" ref="Z97:Z99" si="60">IF(T97=0,0,X97/T97)</f>
        <v>-0.96972825127933648</v>
      </c>
    </row>
    <row r="98" spans="1:26" s="24" customFormat="1" hidden="1" outlineLevel="1" x14ac:dyDescent="0.25">
      <c r="A98" s="51"/>
      <c r="B98" s="11" t="str">
        <f>CONCATENATE("          ", "4187", " - ", "NON-TAXABLE SALES-COMPUTER REP")</f>
        <v xml:space="preserve">          4187 - NON-TAXABLE SALES-COMPUTER REP</v>
      </c>
      <c r="C98" s="11"/>
      <c r="D98" s="2">
        <f>--471.29</f>
        <v>471.29</v>
      </c>
      <c r="E98" s="2"/>
      <c r="F98" s="22">
        <f t="shared" si="53"/>
        <v>5.9325325943755947E-3</v>
      </c>
      <c r="G98" s="2"/>
      <c r="H98" s="2"/>
      <c r="I98" s="2"/>
      <c r="J98" s="22">
        <f t="shared" si="54"/>
        <v>0</v>
      </c>
      <c r="K98" s="2"/>
      <c r="L98" s="2">
        <f t="shared" si="55"/>
        <v>471.29</v>
      </c>
      <c r="M98" s="2"/>
      <c r="N98" s="22">
        <f t="shared" si="56"/>
        <v>0</v>
      </c>
      <c r="O98" s="11"/>
      <c r="P98" s="2">
        <f>--1034.5</f>
        <v>1034.5</v>
      </c>
      <c r="Q98" s="2"/>
      <c r="R98" s="22">
        <f t="shared" si="57"/>
        <v>8.1115336583717772E-4</v>
      </c>
      <c r="S98" s="2"/>
      <c r="T98" s="2"/>
      <c r="U98" s="2"/>
      <c r="V98" s="22">
        <f t="shared" si="58"/>
        <v>0</v>
      </c>
      <c r="W98" s="2"/>
      <c r="X98" s="2">
        <f t="shared" si="59"/>
        <v>1034.5</v>
      </c>
      <c r="Y98" s="2"/>
      <c r="Z98" s="22">
        <f t="shared" si="60"/>
        <v>0</v>
      </c>
    </row>
    <row r="99" spans="1:26" s="24" customFormat="1" hidden="1" outlineLevel="1" x14ac:dyDescent="0.25">
      <c r="A99" s="51"/>
      <c r="B99" s="11" t="str">
        <f>CONCATENATE("          ", "9150", " - ", "MISC. INCOME")</f>
        <v xml:space="preserve">          9150 - MISC. INCOME</v>
      </c>
      <c r="C99" s="11"/>
      <c r="D99" s="2">
        <f>-883.3</f>
        <v>-883.3</v>
      </c>
      <c r="E99" s="2"/>
      <c r="F99" s="22">
        <f t="shared" si="53"/>
        <v>-1.1118856841036225E-2</v>
      </c>
      <c r="G99" s="2"/>
      <c r="H99" s="2">
        <v>605</v>
      </c>
      <c r="I99" s="2"/>
      <c r="J99" s="22">
        <f t="shared" si="54"/>
        <v>7.9556064013044572E-3</v>
      </c>
      <c r="K99" s="2"/>
      <c r="L99" s="2">
        <f t="shared" si="55"/>
        <v>-1488.3</v>
      </c>
      <c r="M99" s="2"/>
      <c r="N99" s="22">
        <f t="shared" si="56"/>
        <v>-2.46</v>
      </c>
      <c r="O99" s="11"/>
      <c r="P99" s="2">
        <f>-691.4</f>
        <v>-691.4</v>
      </c>
      <c r="Q99" s="2"/>
      <c r="R99" s="22">
        <f t="shared" si="57"/>
        <v>-5.4212802043482322E-4</v>
      </c>
      <c r="S99" s="2"/>
      <c r="T99" s="2">
        <v>11334</v>
      </c>
      <c r="U99" s="2"/>
      <c r="V99" s="22">
        <f t="shared" si="58"/>
        <v>7.9534386306668418E-3</v>
      </c>
      <c r="W99" s="2"/>
      <c r="X99" s="2">
        <f t="shared" si="59"/>
        <v>-12025.4</v>
      </c>
      <c r="Y99" s="2"/>
      <c r="Z99" s="22">
        <f t="shared" si="60"/>
        <v>-1.0610022939827068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10"/>
      <c r="B101" s="25" t="s">
        <v>3</v>
      </c>
      <c r="C101" s="25"/>
      <c r="D101" s="21">
        <f>+D46-D48+D97</f>
        <v>-9141.1200000000208</v>
      </c>
      <c r="E101" s="13"/>
      <c r="F101" s="19">
        <f>IF(D$12=0,0,D101/D$12)</f>
        <v>-0.11506713986950447</v>
      </c>
      <c r="G101" s="13"/>
      <c r="H101" s="21">
        <f>+H46-H48+H97</f>
        <v>1196.9423971538454</v>
      </c>
      <c r="I101" s="13"/>
      <c r="J101" s="19">
        <f>IF(H$12=0,0,H101/H$12)</f>
        <v>1.5739508424446005E-2</v>
      </c>
      <c r="K101" s="16"/>
      <c r="L101" s="21">
        <f>+D101-H101</f>
        <v>-10338.062397153866</v>
      </c>
      <c r="M101" s="16"/>
      <c r="N101" s="19">
        <f>IF(H101=0,0,L101/H101)</f>
        <v>-8.6370592450699988</v>
      </c>
      <c r="O101" s="26"/>
      <c r="P101" s="21">
        <f>+P46-P48+P97</f>
        <v>-20505.650000000074</v>
      </c>
      <c r="Q101" s="13"/>
      <c r="R101" s="19">
        <f>IF(P$12=0,0,P101/P$12)</f>
        <v>-1.6078518140337537E-2</v>
      </c>
      <c r="S101" s="13"/>
      <c r="T101" s="21">
        <f>+T46-T48+T97</f>
        <v>209204.09411150002</v>
      </c>
      <c r="U101" s="13"/>
      <c r="V101" s="19">
        <f>IF(T$12=0,0,T101/T$12)</f>
        <v>0.14680535766720187</v>
      </c>
      <c r="W101" s="16"/>
      <c r="X101" s="21">
        <f>+P101-T101</f>
        <v>-229709.7441115001</v>
      </c>
      <c r="Y101" s="16"/>
      <c r="Z101" s="19">
        <f>IF(T101=0,0,X101/T101)</f>
        <v>-1.0980174412316765</v>
      </c>
    </row>
    <row r="102" spans="1:26" x14ac:dyDescent="0.2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52"/>
      <c r="B103" s="10" t="s">
        <v>14</v>
      </c>
      <c r="C103" s="10"/>
      <c r="D103" s="4">
        <v>45936.74</v>
      </c>
      <c r="E103" s="4"/>
      <c r="F103" s="12">
        <f>IF(D$12=0,0,D103/D$12)</f>
        <v>0.5782452573348833</v>
      </c>
      <c r="G103" s="4"/>
      <c r="H103" s="4">
        <v>29724</v>
      </c>
      <c r="I103" s="4"/>
      <c r="J103" s="12">
        <f>IF(H$12=0,0,H103/H$12)</f>
        <v>0.39086354491301434</v>
      </c>
      <c r="K103" s="4"/>
      <c r="L103" s="4">
        <f>+D103-H103</f>
        <v>16212.739999999998</v>
      </c>
      <c r="M103" s="4"/>
      <c r="N103" s="12">
        <f>IF(H103=0,0,L103/H103)</f>
        <v>0.54544273987350278</v>
      </c>
      <c r="O103" s="10"/>
      <c r="P103" s="4">
        <v>235965.74</v>
      </c>
      <c r="Q103" s="4"/>
      <c r="R103" s="12">
        <f>IF(P$12=0,0,P103/P$12)</f>
        <v>0.18502117372958951</v>
      </c>
      <c r="S103" s="4"/>
      <c r="T103" s="4">
        <v>270318</v>
      </c>
      <c r="U103" s="4"/>
      <c r="V103" s="12">
        <f>IF(T$12=0,0,T103/T$12)</f>
        <v>0.18969098498011289</v>
      </c>
      <c r="W103" s="4"/>
      <c r="X103" s="4">
        <f>+P103-T103</f>
        <v>-34352.260000000009</v>
      </c>
      <c r="Y103" s="4"/>
      <c r="Z103" s="12">
        <f>IF(T103=0,0,X103/T103)</f>
        <v>-0.12708091950961464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5" t="s">
        <v>4</v>
      </c>
      <c r="C105" s="25"/>
      <c r="D105" s="34">
        <f>+D101-D103</f>
        <v>-55077.860000000015</v>
      </c>
      <c r="E105" s="13"/>
      <c r="F105" s="31">
        <f>IF(D$12=0,0,D105/D$12)</f>
        <v>-0.69331239720438764</v>
      </c>
      <c r="G105" s="13"/>
      <c r="H105" s="34">
        <f>+H101-H103</f>
        <v>-28527.057602846155</v>
      </c>
      <c r="I105" s="13"/>
      <c r="J105" s="31">
        <f>IF(H$12=0,0,H105/H$12)</f>
        <v>-0.37512403648856829</v>
      </c>
      <c r="K105" s="16"/>
      <c r="L105" s="34">
        <f>D105-H105</f>
        <v>-26550.802397153861</v>
      </c>
      <c r="M105" s="16"/>
      <c r="N105" s="31">
        <f>IF(H105=0,0,L105/H105)</f>
        <v>0.93072348248439329</v>
      </c>
      <c r="O105" s="26"/>
      <c r="P105" s="34">
        <f>+P101-P103</f>
        <v>-256471.39000000007</v>
      </c>
      <c r="Q105" s="13"/>
      <c r="R105" s="31">
        <f>IF(P$12=0,0,P105/P$12)</f>
        <v>-0.20109969186992704</v>
      </c>
      <c r="S105" s="13"/>
      <c r="T105" s="34">
        <f>+T101-T103</f>
        <v>-61113.905888499983</v>
      </c>
      <c r="U105" s="13"/>
      <c r="V105" s="31">
        <f>IF(T$12=0,0,T105/T$12)</f>
        <v>-4.2885627312911026E-2</v>
      </c>
      <c r="W105" s="16"/>
      <c r="X105" s="34">
        <f>P105-T105</f>
        <v>-195357.48411150009</v>
      </c>
      <c r="Y105" s="16"/>
      <c r="Z105" s="31">
        <f>IF(T105=0,0,X105/T105)</f>
        <v>3.196612641121686</v>
      </c>
    </row>
    <row r="106" spans="1:26" ht="15.75" thickTop="1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5" t="s">
        <v>5</v>
      </c>
      <c r="C108" s="25"/>
      <c r="D108" s="33">
        <f>SUM(D105:D107)</f>
        <v>-55077.860000000015</v>
      </c>
      <c r="E108" s="13"/>
      <c r="F108" s="32">
        <f>IF(D$12=0,0,D108/D$12)</f>
        <v>-0.69331239720438764</v>
      </c>
      <c r="G108" s="13"/>
      <c r="H108" s="33">
        <f>SUM(H105:H107)</f>
        <v>-28527.057602846155</v>
      </c>
      <c r="I108" s="13"/>
      <c r="J108" s="32">
        <f>IF(H$12=0,0,H108/H$12)</f>
        <v>-0.37512403648856829</v>
      </c>
      <c r="K108" s="16"/>
      <c r="L108" s="33">
        <f>+D108-H108</f>
        <v>-26550.802397153861</v>
      </c>
      <c r="M108" s="16"/>
      <c r="N108" s="32">
        <f>IF(H108=0,0,L108/H108)</f>
        <v>0.93072348248439329</v>
      </c>
      <c r="O108" s="26"/>
      <c r="P108" s="33">
        <f>SUM(P105:P107)</f>
        <v>-256471.39000000007</v>
      </c>
      <c r="Q108" s="13"/>
      <c r="R108" s="32">
        <f>IF(P$12=0,0,P108/P$12)</f>
        <v>-0.20109969186992704</v>
      </c>
      <c r="S108" s="13"/>
      <c r="T108" s="33">
        <f>SUM(T105:T107)</f>
        <v>-61113.905888499983</v>
      </c>
      <c r="U108" s="13"/>
      <c r="V108" s="32">
        <f>IF(T$12=0,0,T108/T$12)</f>
        <v>-4.2885627312911026E-2</v>
      </c>
      <c r="W108" s="16"/>
      <c r="X108" s="33">
        <f>+P108-T108</f>
        <v>-195357.48411150009</v>
      </c>
      <c r="Y108" s="16"/>
      <c r="Z108" s="32">
        <f>IF(T108=0,0,X108/T108)</f>
        <v>3.196612641121686</v>
      </c>
    </row>
    <row r="109" spans="1:26" ht="15.75" thickTop="1" x14ac:dyDescent="0.25">
      <c r="A109" s="9"/>
      <c r="C109" s="9"/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63">
        <v>44209.518543518519</v>
      </c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60" t="s">
        <v>314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58"/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4:24" x14ac:dyDescent="0.25"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307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25254</v>
      </c>
      <c r="I12" s="4"/>
      <c r="J12" s="12"/>
      <c r="K12" s="4"/>
      <c r="L12" s="4">
        <f t="shared" ref="L12:L17" si="0">+D12-H12</f>
        <v>-25254</v>
      </c>
      <c r="M12" s="4"/>
      <c r="N12" s="12">
        <f t="shared" ref="N12:N17" si="1">IF(H12=0,0,L12/H12)</f>
        <v>-1</v>
      </c>
      <c r="O12" s="10"/>
      <c r="P12" s="4">
        <f>SUM(OSRRefP13x_0)</f>
        <v>2586.4700000000003</v>
      </c>
      <c r="Q12" s="4"/>
      <c r="R12" s="12"/>
      <c r="S12" s="4"/>
      <c r="T12" s="4">
        <f>SUM(OSRRefT13x_0)</f>
        <v>186311</v>
      </c>
      <c r="U12" s="4"/>
      <c r="V12" s="12"/>
      <c r="W12" s="4"/>
      <c r="X12" s="4">
        <f t="shared" ref="X12:X17" si="2">+P12-T12</f>
        <v>-183724.53</v>
      </c>
      <c r="Y12" s="4"/>
      <c r="Z12" s="12">
        <f t="shared" ref="Z12:Z17" si="3">IF(T12=0,0,X12/T12)</f>
        <v>-0.98611745951661467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7" si="4">0</f>
        <v>0</v>
      </c>
      <c r="E13" s="2"/>
      <c r="F13" s="22"/>
      <c r="G13" s="2"/>
      <c r="H13" s="2">
        <v>2719</v>
      </c>
      <c r="I13" s="2"/>
      <c r="J13" s="22"/>
      <c r="K13" s="2"/>
      <c r="L13" s="2">
        <f t="shared" si="0"/>
        <v>-2719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16347</v>
      </c>
      <c r="U13" s="2"/>
      <c r="V13" s="22"/>
      <c r="W13" s="2"/>
      <c r="X13" s="2">
        <f t="shared" si="2"/>
        <v>-16347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--444.59</f>
        <v>444.59</v>
      </c>
      <c r="Q14" s="2"/>
      <c r="R14" s="22"/>
      <c r="S14" s="2"/>
      <c r="T14" s="2"/>
      <c r="U14" s="2"/>
      <c r="V14" s="22"/>
      <c r="W14" s="2"/>
      <c r="X14" s="2">
        <f t="shared" si="2"/>
        <v>444.59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22"/>
      <c r="G15" s="2"/>
      <c r="H15" s="2">
        <v>22535</v>
      </c>
      <c r="I15" s="2"/>
      <c r="J15" s="22"/>
      <c r="K15" s="2"/>
      <c r="L15" s="2">
        <f t="shared" si="0"/>
        <v>-22535</v>
      </c>
      <c r="M15" s="2"/>
      <c r="N15" s="22">
        <f t="shared" si="1"/>
        <v>-1</v>
      </c>
      <c r="O15" s="11"/>
      <c r="P15" s="2">
        <f>0</f>
        <v>0</v>
      </c>
      <c r="Q15" s="2"/>
      <c r="R15" s="22"/>
      <c r="S15" s="2"/>
      <c r="T15" s="2">
        <v>169964</v>
      </c>
      <c r="U15" s="2"/>
      <c r="V15" s="22"/>
      <c r="W15" s="2"/>
      <c r="X15" s="2">
        <f t="shared" si="2"/>
        <v>-169964</v>
      </c>
      <c r="Y15" s="2"/>
      <c r="Z15" s="22">
        <f t="shared" si="3"/>
        <v>-1</v>
      </c>
    </row>
    <row r="16" spans="1:26" s="24" customFormat="1" hidden="1" outlineLevel="1" x14ac:dyDescent="0.25">
      <c r="A16" s="51"/>
      <c r="B16" s="11" t="str">
        <f>CONCATENATE("          ", "4132", " - ", "NON-TAXABLE SALES-JUICE")</f>
        <v xml:space="preserve">          4132 - NON-TAXABLE SALES-JUICE</v>
      </c>
      <c r="C16" s="11"/>
      <c r="D16" s="2">
        <f t="shared" si="4"/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--2031.88</f>
        <v>2031.88</v>
      </c>
      <c r="Q16" s="2"/>
      <c r="R16" s="22"/>
      <c r="S16" s="2"/>
      <c r="T16" s="2"/>
      <c r="U16" s="2"/>
      <c r="V16" s="22"/>
      <c r="W16" s="2"/>
      <c r="X16" s="2">
        <f t="shared" si="2"/>
        <v>2031.88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"4153", " - ", "NON-TAXABLE SALES-FOOD")</f>
        <v xml:space="preserve">          4153 - NON-TAXABLE SALES-FOOD</v>
      </c>
      <c r="C17" s="11"/>
      <c r="D17" s="2">
        <f t="shared" si="4"/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--110</f>
        <v>110</v>
      </c>
      <c r="Q17" s="2"/>
      <c r="R17" s="22"/>
      <c r="S17" s="2"/>
      <c r="T17" s="2"/>
      <c r="U17" s="2"/>
      <c r="V17" s="22"/>
      <c r="W17" s="2"/>
      <c r="X17" s="2">
        <f t="shared" si="2"/>
        <v>110</v>
      </c>
      <c r="Y17" s="2"/>
      <c r="Z17" s="22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6" t="s">
        <v>8</v>
      </c>
      <c r="C19" s="10"/>
      <c r="D19" s="4">
        <f>SUM(OSRRefD16x_0)</f>
        <v>290.37</v>
      </c>
      <c r="E19" s="4"/>
      <c r="F19" s="12">
        <f t="shared" ref="F19:F22" si="5">IF(D$12=0,0,D19/D$12)</f>
        <v>0</v>
      </c>
      <c r="G19" s="4"/>
      <c r="H19" s="4">
        <f>SUM(OSRRefH16x_0)</f>
        <v>11323</v>
      </c>
      <c r="I19" s="4"/>
      <c r="J19" s="12">
        <f t="shared" ref="J19:J22" si="6">IF(H$12=0,0,H19/H$12)</f>
        <v>0.4483646155064544</v>
      </c>
      <c r="K19" s="4"/>
      <c r="L19" s="4">
        <f t="shared" ref="L19:L22" si="7">+D19-H19</f>
        <v>-11032.63</v>
      </c>
      <c r="M19" s="4"/>
      <c r="N19" s="12">
        <f t="shared" ref="N19:N22" si="8">IF(H19=0,0,L19/H19)</f>
        <v>-0.97435573611233761</v>
      </c>
      <c r="O19" s="10"/>
      <c r="P19" s="4">
        <f>SUM(OSRRefP16x_0)</f>
        <v>9132.7099999999991</v>
      </c>
      <c r="Q19" s="4"/>
      <c r="R19" s="12">
        <f t="shared" ref="R19:R22" si="9">IF(P$12=0,0,P19/P$12)</f>
        <v>3.5309553174790342</v>
      </c>
      <c r="S19" s="4"/>
      <c r="T19" s="4">
        <f>SUM(OSRRefT16x_0)</f>
        <v>79963</v>
      </c>
      <c r="U19" s="4"/>
      <c r="V19" s="12">
        <f t="shared" ref="V19:V22" si="10">IF(T$12=0,0,T19/T$12)</f>
        <v>0.42919097637820636</v>
      </c>
      <c r="W19" s="4"/>
      <c r="X19" s="4">
        <f t="shared" ref="X19:X22" si="11">+P19-T19</f>
        <v>-70830.290000000008</v>
      </c>
      <c r="Y19" s="4"/>
      <c r="Z19" s="12">
        <f t="shared" ref="Z19:Z22" si="12">IF(T19=0,0,X19/T19)</f>
        <v>-0.88578830208971659</v>
      </c>
    </row>
    <row r="20" spans="1:26" s="24" customFormat="1" hidden="1" outlineLevel="1" x14ac:dyDescent="0.25">
      <c r="A20" s="51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22">
        <f t="shared" si="5"/>
        <v>0</v>
      </c>
      <c r="G20" s="2"/>
      <c r="H20" s="2">
        <v>11323</v>
      </c>
      <c r="I20" s="2"/>
      <c r="J20" s="22">
        <f t="shared" si="6"/>
        <v>0.4483646155064544</v>
      </c>
      <c r="K20" s="2"/>
      <c r="L20" s="2">
        <f t="shared" si="7"/>
        <v>-11323</v>
      </c>
      <c r="M20" s="2"/>
      <c r="N20" s="22">
        <f t="shared" si="8"/>
        <v>-1</v>
      </c>
      <c r="O20" s="11"/>
      <c r="P20" s="2"/>
      <c r="Q20" s="2"/>
      <c r="R20" s="22">
        <f t="shared" si="9"/>
        <v>0</v>
      </c>
      <c r="S20" s="2"/>
      <c r="T20" s="2">
        <v>79963</v>
      </c>
      <c r="U20" s="2"/>
      <c r="V20" s="22">
        <f t="shared" si="10"/>
        <v>0.42919097637820636</v>
      </c>
      <c r="W20" s="2"/>
      <c r="X20" s="2">
        <f t="shared" si="11"/>
        <v>-79963</v>
      </c>
      <c r="Y20" s="2"/>
      <c r="Z20" s="22">
        <f t="shared" si="12"/>
        <v>-1</v>
      </c>
    </row>
    <row r="21" spans="1:26" s="24" customFormat="1" hidden="1" outlineLevel="1" x14ac:dyDescent="0.25">
      <c r="A21" s="51"/>
      <c r="B21" s="11" t="str">
        <f>CONCATENATE("          ", "5053", " - ", "PURCHASES @ COST-FOOD")</f>
        <v xml:space="preserve">          5053 - PURCHASES @ COST-FOOD</v>
      </c>
      <c r="C21" s="11"/>
      <c r="D21" s="2">
        <v>290.37</v>
      </c>
      <c r="E21" s="2"/>
      <c r="F21" s="22">
        <f t="shared" si="5"/>
        <v>0</v>
      </c>
      <c r="G21" s="2"/>
      <c r="H21" s="2"/>
      <c r="I21" s="2"/>
      <c r="J21" s="22">
        <f t="shared" si="6"/>
        <v>0</v>
      </c>
      <c r="K21" s="2"/>
      <c r="L21" s="2">
        <f t="shared" si="7"/>
        <v>290.37</v>
      </c>
      <c r="M21" s="2"/>
      <c r="N21" s="22">
        <f t="shared" si="8"/>
        <v>0</v>
      </c>
      <c r="O21" s="11"/>
      <c r="P21" s="2">
        <v>-2565.1999999999998</v>
      </c>
      <c r="Q21" s="2"/>
      <c r="R21" s="22">
        <f t="shared" si="9"/>
        <v>-0.99177643661051529</v>
      </c>
      <c r="S21" s="2"/>
      <c r="T21" s="2"/>
      <c r="U21" s="2"/>
      <c r="V21" s="22">
        <f t="shared" si="10"/>
        <v>0</v>
      </c>
      <c r="W21" s="2"/>
      <c r="X21" s="2">
        <f t="shared" si="11"/>
        <v>-2565.1999999999998</v>
      </c>
      <c r="Y21" s="2"/>
      <c r="Z21" s="22">
        <f t="shared" si="12"/>
        <v>0</v>
      </c>
    </row>
    <row r="22" spans="1:26" s="24" customFormat="1" hidden="1" outlineLevel="1" x14ac:dyDescent="0.25">
      <c r="A22" s="51"/>
      <c r="B22" s="11" t="str">
        <f>CONCATENATE("          ", "5059", " - ", "PURCHASES @ COST-FOOD")</f>
        <v xml:space="preserve">          5059 - PURCHASES @ COST-FOOD</v>
      </c>
      <c r="C22" s="11"/>
      <c r="D22" s="2"/>
      <c r="E22" s="2"/>
      <c r="F22" s="22">
        <f t="shared" si="5"/>
        <v>0</v>
      </c>
      <c r="G22" s="2"/>
      <c r="H22" s="2"/>
      <c r="I22" s="2"/>
      <c r="J22" s="22">
        <f t="shared" si="6"/>
        <v>0</v>
      </c>
      <c r="K22" s="2"/>
      <c r="L22" s="2">
        <f t="shared" si="7"/>
        <v>0</v>
      </c>
      <c r="M22" s="2"/>
      <c r="N22" s="22">
        <f t="shared" si="8"/>
        <v>0</v>
      </c>
      <c r="O22" s="11"/>
      <c r="P22" s="2">
        <v>11697.91</v>
      </c>
      <c r="Q22" s="2"/>
      <c r="R22" s="22">
        <f t="shared" si="9"/>
        <v>4.5227317540895502</v>
      </c>
      <c r="S22" s="2"/>
      <c r="T22" s="2"/>
      <c r="U22" s="2"/>
      <c r="V22" s="22">
        <f t="shared" si="10"/>
        <v>0</v>
      </c>
      <c r="W22" s="2"/>
      <c r="X22" s="2">
        <f t="shared" si="11"/>
        <v>11697.91</v>
      </c>
      <c r="Y22" s="2"/>
      <c r="Z22" s="22">
        <f t="shared" si="12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5" t="s">
        <v>6</v>
      </c>
      <c r="C24" s="25"/>
      <c r="D24" s="21">
        <f>D12-D19</f>
        <v>-290.37</v>
      </c>
      <c r="E24" s="13"/>
      <c r="F24" s="19">
        <f>IF(D$12=0,0,D24/D$12)</f>
        <v>0</v>
      </c>
      <c r="G24" s="13"/>
      <c r="H24" s="21">
        <f>H12-H19</f>
        <v>13931</v>
      </c>
      <c r="I24" s="13"/>
      <c r="J24" s="19">
        <f>IF(H$12=0,0,H24/H$12)</f>
        <v>0.55163538449354554</v>
      </c>
      <c r="K24" s="16"/>
      <c r="L24" s="21">
        <f>+D24-H24</f>
        <v>-14221.37</v>
      </c>
      <c r="M24" s="16"/>
      <c r="N24" s="19">
        <f>IF(H24=0,0,L24/H24)</f>
        <v>-1.0208434426817889</v>
      </c>
      <c r="O24" s="26"/>
      <c r="P24" s="21">
        <f>P12-P19</f>
        <v>-6546.2399999999989</v>
      </c>
      <c r="Q24" s="13"/>
      <c r="R24" s="19">
        <f>IF(P$12=0,0,P24/P$12)</f>
        <v>-2.5309553174790342</v>
      </c>
      <c r="S24" s="13"/>
      <c r="T24" s="21">
        <f>T12-T19</f>
        <v>106348</v>
      </c>
      <c r="U24" s="13"/>
      <c r="V24" s="19">
        <f>IF(T$12=0,0,T24/T$12)</f>
        <v>0.57080902362179364</v>
      </c>
      <c r="W24" s="16"/>
      <c r="X24" s="21">
        <f>+P24-T24</f>
        <v>-112894.24</v>
      </c>
      <c r="Y24" s="16"/>
      <c r="Z24" s="19">
        <f>IF(T24=0,0,X24/T24)</f>
        <v>-1.0615548952495582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6" t="s">
        <v>9</v>
      </c>
      <c r="C26" s="10"/>
      <c r="D26" s="20">
        <f>SUM(OSRRefD22x_0)</f>
        <v>20431.13</v>
      </c>
      <c r="E26" s="20"/>
      <c r="F26" s="30">
        <f t="shared" ref="F26:F36" si="13">IF(D$12=0,0,D26/D$12)</f>
        <v>0</v>
      </c>
      <c r="G26" s="20"/>
      <c r="H26" s="20">
        <f>SUM(OSRRefH22x_0)</f>
        <v>47822.691341400001</v>
      </c>
      <c r="I26" s="20"/>
      <c r="J26" s="30">
        <f t="shared" ref="J26:J36" si="14">IF(H$12=0,0,H26/H$12)</f>
        <v>1.8936679869090045</v>
      </c>
      <c r="K26" s="4"/>
      <c r="L26" s="20">
        <f t="shared" ref="L26:L36" si="15">+D26-H26</f>
        <v>-27391.5613414</v>
      </c>
      <c r="M26" s="4"/>
      <c r="N26" s="30">
        <f t="shared" ref="N26:N36" si="16">IF(H26=0,0,L26/H26)</f>
        <v>-0.57277331269073062</v>
      </c>
      <c r="O26" s="10"/>
      <c r="P26" s="20">
        <f>SUM(OSRRefP22x_0)</f>
        <v>172010.90000000002</v>
      </c>
      <c r="Q26" s="20"/>
      <c r="R26" s="30">
        <f t="shared" ref="R26:R36" si="17">IF(P$12=0,0,P26/P$12)</f>
        <v>66.504115647968078</v>
      </c>
      <c r="S26" s="20"/>
      <c r="T26" s="20">
        <f>SUM(OSRRefT22x_0)</f>
        <v>301512.0462019</v>
      </c>
      <c r="U26" s="20"/>
      <c r="V26" s="30">
        <f t="shared" ref="V26:V36" si="18">IF(T$12=0,0,T26/T$12)</f>
        <v>1.6183265947898944</v>
      </c>
      <c r="W26" s="4"/>
      <c r="X26" s="20">
        <f t="shared" ref="X26:X36" si="19">+P26-T26</f>
        <v>-129501.14620189997</v>
      </c>
      <c r="Y26" s="4"/>
      <c r="Z26" s="30">
        <f t="shared" ref="Z26:Z36" si="20">IF(T26=0,0,X26/T26)</f>
        <v>-0.4295057124025578</v>
      </c>
    </row>
    <row r="27" spans="1:26" s="28" customFormat="1" outlineLevel="1" collapsed="1" x14ac:dyDescent="0.25">
      <c r="A27" s="27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2627.39</v>
      </c>
      <c r="E27" s="1"/>
      <c r="F27" s="5">
        <f t="shared" si="13"/>
        <v>0</v>
      </c>
      <c r="G27" s="1"/>
      <c r="H27" s="1">
        <f>SUM(OSRRefH22_0x_0)</f>
        <v>7171.0913413999997</v>
      </c>
      <c r="I27" s="1"/>
      <c r="J27" s="5">
        <f t="shared" si="14"/>
        <v>0.2839586339352182</v>
      </c>
      <c r="K27" s="1"/>
      <c r="L27" s="1">
        <f t="shared" si="15"/>
        <v>-4543.7013413999994</v>
      </c>
      <c r="M27" s="1"/>
      <c r="N27" s="5">
        <f t="shared" si="16"/>
        <v>-0.63361364750277194</v>
      </c>
      <c r="O27" s="14"/>
      <c r="P27" s="1">
        <f>SUM(OSRRefP22_0x_0)</f>
        <v>35025.26</v>
      </c>
      <c r="Q27" s="1"/>
      <c r="R27" s="5">
        <f t="shared" si="17"/>
        <v>13.541722888724786</v>
      </c>
      <c r="S27" s="1"/>
      <c r="T27" s="1">
        <f>SUM(OSRRefT22_0x_0)</f>
        <v>44764.514201900005</v>
      </c>
      <c r="U27" s="1"/>
      <c r="V27" s="5">
        <f t="shared" si="18"/>
        <v>0.24026769327575936</v>
      </c>
      <c r="W27" s="1"/>
      <c r="X27" s="1">
        <f t="shared" si="19"/>
        <v>-9739.254201900003</v>
      </c>
      <c r="Y27" s="1"/>
      <c r="Z27" s="5">
        <f t="shared" si="20"/>
        <v>-0.21756639998310595</v>
      </c>
    </row>
    <row r="28" spans="1:26" s="24" customFormat="1" hidden="1" outlineLevel="2" x14ac:dyDescent="0.25">
      <c r="A28" s="29"/>
      <c r="B28" s="11" t="str">
        <f>CONCATENATE("          ", "6111", " - ", "F.I.C.A.")</f>
        <v xml:space="preserve">          6111 - F.I.C.A.</v>
      </c>
      <c r="C28" s="11"/>
      <c r="D28" s="7"/>
      <c r="E28" s="2"/>
      <c r="F28" s="6">
        <f t="shared" si="13"/>
        <v>0</v>
      </c>
      <c r="G28" s="2"/>
      <c r="H28" s="7">
        <v>921.71048340000004</v>
      </c>
      <c r="I28" s="2"/>
      <c r="J28" s="6">
        <f t="shared" si="14"/>
        <v>3.6497603682584936E-2</v>
      </c>
      <c r="K28" s="2"/>
      <c r="L28" s="7">
        <f t="shared" si="15"/>
        <v>-921.71048340000004</v>
      </c>
      <c r="M28" s="2"/>
      <c r="N28" s="6">
        <f t="shared" si="16"/>
        <v>-1</v>
      </c>
      <c r="O28" s="11"/>
      <c r="P28" s="7">
        <v>3909.68</v>
      </c>
      <c r="Q28" s="2"/>
      <c r="R28" s="6">
        <f t="shared" si="17"/>
        <v>1.5115891543300326</v>
      </c>
      <c r="S28" s="2"/>
      <c r="T28" s="7">
        <v>6153.7872489000001</v>
      </c>
      <c r="U28" s="2"/>
      <c r="V28" s="6">
        <f t="shared" si="18"/>
        <v>3.3029650685681471E-2</v>
      </c>
      <c r="W28" s="2"/>
      <c r="X28" s="7">
        <f t="shared" si="19"/>
        <v>-2244.1072489000003</v>
      </c>
      <c r="Y28" s="2"/>
      <c r="Z28" s="6">
        <f t="shared" si="20"/>
        <v>-0.36467091859588391</v>
      </c>
    </row>
    <row r="29" spans="1:26" s="24" customFormat="1" hidden="1" outlineLevel="2" x14ac:dyDescent="0.25">
      <c r="A29" s="29"/>
      <c r="B29" s="11" t="str">
        <f>CONCATENATE("          ", "6112", " - ", "COMPENSATION INSURANCE")</f>
        <v xml:space="preserve">          6112 - COMPENSATION INSURANCE</v>
      </c>
      <c r="C29" s="11"/>
      <c r="D29" s="7"/>
      <c r="E29" s="2"/>
      <c r="F29" s="6">
        <f t="shared" si="13"/>
        <v>0</v>
      </c>
      <c r="G29" s="2"/>
      <c r="H29" s="7">
        <v>346.88943</v>
      </c>
      <c r="I29" s="2"/>
      <c r="J29" s="6">
        <f t="shared" si="14"/>
        <v>1.3736019244476122E-2</v>
      </c>
      <c r="K29" s="2"/>
      <c r="L29" s="7">
        <f t="shared" si="15"/>
        <v>-346.88943</v>
      </c>
      <c r="M29" s="2"/>
      <c r="N29" s="6">
        <f t="shared" si="16"/>
        <v>-1</v>
      </c>
      <c r="O29" s="11"/>
      <c r="P29" s="7">
        <v>830.67</v>
      </c>
      <c r="Q29" s="2"/>
      <c r="R29" s="6">
        <f t="shared" si="17"/>
        <v>0.32115972735040416</v>
      </c>
      <c r="S29" s="2"/>
      <c r="T29" s="7">
        <v>2258.7062550000001</v>
      </c>
      <c r="U29" s="2"/>
      <c r="V29" s="6">
        <f t="shared" si="18"/>
        <v>1.2123311318172304E-2</v>
      </c>
      <c r="W29" s="2"/>
      <c r="X29" s="7">
        <f t="shared" si="19"/>
        <v>-1428.036255</v>
      </c>
      <c r="Y29" s="2"/>
      <c r="Z29" s="6">
        <f t="shared" si="20"/>
        <v>-0.63223637506595565</v>
      </c>
    </row>
    <row r="30" spans="1:26" s="24" customFormat="1" hidden="1" outlineLevel="2" x14ac:dyDescent="0.25">
      <c r="A30" s="29"/>
      <c r="B30" s="11" t="str">
        <f>CONCATENATE("          ", "6113", " - ", "GROUP INSURANCE")</f>
        <v xml:space="preserve">          6113 - GROUP INSURANCE</v>
      </c>
      <c r="C30" s="11"/>
      <c r="D30" s="7">
        <v>2627.39</v>
      </c>
      <c r="E30" s="2"/>
      <c r="F30" s="6">
        <f t="shared" si="13"/>
        <v>0</v>
      </c>
      <c r="G30" s="2"/>
      <c r="H30" s="7">
        <v>3960</v>
      </c>
      <c r="I30" s="2"/>
      <c r="J30" s="6">
        <f t="shared" si="14"/>
        <v>0.15680684248039914</v>
      </c>
      <c r="K30" s="2"/>
      <c r="L30" s="7">
        <f t="shared" si="15"/>
        <v>-1332.6100000000001</v>
      </c>
      <c r="M30" s="2"/>
      <c r="N30" s="6">
        <f t="shared" si="16"/>
        <v>-0.3365176767676768</v>
      </c>
      <c r="O30" s="11"/>
      <c r="P30" s="7">
        <v>18067.72</v>
      </c>
      <c r="Q30" s="2"/>
      <c r="R30" s="6">
        <f t="shared" si="17"/>
        <v>6.9854744110699132</v>
      </c>
      <c r="S30" s="2"/>
      <c r="T30" s="7">
        <v>23760</v>
      </c>
      <c r="U30" s="2"/>
      <c r="V30" s="6">
        <f t="shared" si="18"/>
        <v>0.12752870200900646</v>
      </c>
      <c r="W30" s="2"/>
      <c r="X30" s="7">
        <f t="shared" si="19"/>
        <v>-5692.2799999999988</v>
      </c>
      <c r="Y30" s="2"/>
      <c r="Z30" s="6">
        <f t="shared" si="20"/>
        <v>-0.23957407407407402</v>
      </c>
    </row>
    <row r="31" spans="1:26" s="24" customFormat="1" hidden="1" outlineLevel="2" x14ac:dyDescent="0.25">
      <c r="A31" s="29"/>
      <c r="B31" s="11" t="str">
        <f>CONCATENATE("          ", "6114", " - ", "STATE UNEMPLOYMENT INSURANCE")</f>
        <v xml:space="preserve">          6114 - STATE UNEMPLOYMENT INSURANCE</v>
      </c>
      <c r="C31" s="11"/>
      <c r="D31" s="7"/>
      <c r="E31" s="2"/>
      <c r="F31" s="6">
        <f t="shared" si="13"/>
        <v>0</v>
      </c>
      <c r="G31" s="2"/>
      <c r="H31" s="7">
        <v>48.752028000000003</v>
      </c>
      <c r="I31" s="2"/>
      <c r="J31" s="6">
        <f t="shared" si="14"/>
        <v>1.9304675694939418E-3</v>
      </c>
      <c r="K31" s="2"/>
      <c r="L31" s="7">
        <f t="shared" si="15"/>
        <v>-48.752028000000003</v>
      </c>
      <c r="M31" s="2"/>
      <c r="N31" s="6">
        <f t="shared" si="16"/>
        <v>-1</v>
      </c>
      <c r="O31" s="11"/>
      <c r="P31" s="7">
        <v>132.15</v>
      </c>
      <c r="Q31" s="2"/>
      <c r="R31" s="6">
        <f t="shared" si="17"/>
        <v>5.1092802158927031E-2</v>
      </c>
      <c r="S31" s="2"/>
      <c r="T31" s="7">
        <v>317.439798</v>
      </c>
      <c r="U31" s="2"/>
      <c r="V31" s="6">
        <f t="shared" si="18"/>
        <v>1.7038167257971886E-3</v>
      </c>
      <c r="W31" s="2"/>
      <c r="X31" s="7">
        <f t="shared" si="19"/>
        <v>-185.28979799999999</v>
      </c>
      <c r="Y31" s="2"/>
      <c r="Z31" s="6">
        <f t="shared" si="20"/>
        <v>-0.5837005919465712</v>
      </c>
    </row>
    <row r="32" spans="1:26" s="24" customFormat="1" hidden="1" outlineLevel="2" x14ac:dyDescent="0.25">
      <c r="A32" s="29"/>
      <c r="B32" s="11" t="str">
        <f>CONCATENATE("          ", "6115", " - ", "P.E.R.S.")</f>
        <v xml:space="preserve">          6115 - P.E.R.S.</v>
      </c>
      <c r="C32" s="11"/>
      <c r="D32" s="7"/>
      <c r="E32" s="2"/>
      <c r="F32" s="6">
        <f t="shared" si="13"/>
        <v>0</v>
      </c>
      <c r="G32" s="2"/>
      <c r="H32" s="7">
        <v>836.43600000000004</v>
      </c>
      <c r="I32" s="2"/>
      <c r="J32" s="6">
        <f t="shared" si="14"/>
        <v>3.3120931337609884E-2</v>
      </c>
      <c r="K32" s="2"/>
      <c r="L32" s="7">
        <f t="shared" si="15"/>
        <v>-836.43600000000004</v>
      </c>
      <c r="M32" s="2"/>
      <c r="N32" s="6">
        <f t="shared" si="16"/>
        <v>-1</v>
      </c>
      <c r="O32" s="11"/>
      <c r="P32" s="7">
        <v>5525.49</v>
      </c>
      <c r="Q32" s="2"/>
      <c r="R32" s="6">
        <f t="shared" si="17"/>
        <v>2.1363054665238721</v>
      </c>
      <c r="S32" s="2"/>
      <c r="T32" s="7">
        <v>5436.8339999999998</v>
      </c>
      <c r="U32" s="2"/>
      <c r="V32" s="6">
        <f t="shared" si="18"/>
        <v>2.9181497603469466E-2</v>
      </c>
      <c r="W32" s="2"/>
      <c r="X32" s="7">
        <f t="shared" si="19"/>
        <v>88.655999999999949</v>
      </c>
      <c r="Y32" s="2"/>
      <c r="Z32" s="6">
        <f t="shared" si="20"/>
        <v>1.6306548995242445E-2</v>
      </c>
    </row>
    <row r="33" spans="1:26" s="24" customFormat="1" hidden="1" outlineLevel="2" x14ac:dyDescent="0.25">
      <c r="A33" s="29"/>
      <c r="B33" s="11" t="str">
        <f>CONCATENATE("          ", "6116", " - ", "EDUCATIONAL BENEFITS")</f>
        <v xml:space="preserve">          6116 - EDUCATIONAL BENEFITS</v>
      </c>
      <c r="C33" s="11"/>
      <c r="D33" s="7"/>
      <c r="E33" s="2"/>
      <c r="F33" s="6">
        <f t="shared" si="13"/>
        <v>0</v>
      </c>
      <c r="G33" s="2"/>
      <c r="H33" s="7">
        <v>0</v>
      </c>
      <c r="I33" s="2"/>
      <c r="J33" s="6">
        <f t="shared" si="14"/>
        <v>0</v>
      </c>
      <c r="K33" s="2"/>
      <c r="L33" s="7">
        <f t="shared" si="15"/>
        <v>0</v>
      </c>
      <c r="M33" s="2"/>
      <c r="N33" s="6">
        <f t="shared" si="16"/>
        <v>0</v>
      </c>
      <c r="O33" s="11"/>
      <c r="P33" s="7"/>
      <c r="Q33" s="2"/>
      <c r="R33" s="6">
        <f t="shared" si="17"/>
        <v>0</v>
      </c>
      <c r="S33" s="2"/>
      <c r="T33" s="7">
        <v>0</v>
      </c>
      <c r="U33" s="2"/>
      <c r="V33" s="6">
        <f t="shared" si="18"/>
        <v>0</v>
      </c>
      <c r="W33" s="2"/>
      <c r="X33" s="7">
        <f t="shared" si="19"/>
        <v>0</v>
      </c>
      <c r="Y33" s="2"/>
      <c r="Z33" s="6">
        <f t="shared" si="20"/>
        <v>0</v>
      </c>
    </row>
    <row r="34" spans="1:26" s="24" customFormat="1" hidden="1" outlineLevel="2" x14ac:dyDescent="0.25">
      <c r="A34" s="29"/>
      <c r="B34" s="11" t="str">
        <f>CONCATENATE("          ", "6118", " - ", "VACATION")</f>
        <v xml:space="preserve">          6118 - VACATION</v>
      </c>
      <c r="C34" s="11"/>
      <c r="D34" s="7"/>
      <c r="E34" s="2"/>
      <c r="F34" s="6">
        <f t="shared" si="13"/>
        <v>0</v>
      </c>
      <c r="G34" s="2"/>
      <c r="H34" s="7">
        <v>374.98</v>
      </c>
      <c r="I34" s="2"/>
      <c r="J34" s="6">
        <f t="shared" si="14"/>
        <v>1.4848340856893958E-2</v>
      </c>
      <c r="K34" s="2"/>
      <c r="L34" s="7">
        <f t="shared" si="15"/>
        <v>-374.98</v>
      </c>
      <c r="M34" s="2"/>
      <c r="N34" s="6">
        <f t="shared" si="16"/>
        <v>-1</v>
      </c>
      <c r="O34" s="11"/>
      <c r="P34" s="7">
        <v>3386</v>
      </c>
      <c r="Q34" s="2"/>
      <c r="R34" s="6">
        <f t="shared" si="17"/>
        <v>1.3091201521765183</v>
      </c>
      <c r="S34" s="2"/>
      <c r="T34" s="7">
        <v>2437.37</v>
      </c>
      <c r="U34" s="2"/>
      <c r="V34" s="6">
        <f t="shared" si="18"/>
        <v>1.3082265674061112E-2</v>
      </c>
      <c r="W34" s="2"/>
      <c r="X34" s="7">
        <f t="shared" si="19"/>
        <v>948.63000000000011</v>
      </c>
      <c r="Y34" s="2"/>
      <c r="Z34" s="6">
        <f t="shared" si="20"/>
        <v>0.38920229591732081</v>
      </c>
    </row>
    <row r="35" spans="1:26" s="24" customFormat="1" hidden="1" outlineLevel="2" x14ac:dyDescent="0.25">
      <c r="A35" s="29"/>
      <c r="B35" s="11" t="str">
        <f>CONCATENATE("          ", "6119", " - ", "SICK LEAVE")</f>
        <v xml:space="preserve">          6119 - SICK LEAVE</v>
      </c>
      <c r="C35" s="11"/>
      <c r="D35" s="7"/>
      <c r="E35" s="2"/>
      <c r="F35" s="6">
        <f t="shared" si="13"/>
        <v>0</v>
      </c>
      <c r="G35" s="2"/>
      <c r="H35" s="7">
        <v>507.32339999999999</v>
      </c>
      <c r="I35" s="2"/>
      <c r="J35" s="6">
        <f t="shared" si="14"/>
        <v>2.0088833452126396E-2</v>
      </c>
      <c r="K35" s="2"/>
      <c r="L35" s="7">
        <f t="shared" si="15"/>
        <v>-507.32339999999999</v>
      </c>
      <c r="M35" s="2"/>
      <c r="N35" s="6">
        <f t="shared" si="16"/>
        <v>-1</v>
      </c>
      <c r="O35" s="11"/>
      <c r="P35" s="7">
        <v>2447.1799999999998</v>
      </c>
      <c r="Q35" s="2"/>
      <c r="R35" s="6">
        <f t="shared" si="17"/>
        <v>0.94614667867788904</v>
      </c>
      <c r="S35" s="2"/>
      <c r="T35" s="7">
        <v>3350.3769000000002</v>
      </c>
      <c r="U35" s="2"/>
      <c r="V35" s="6">
        <f t="shared" si="18"/>
        <v>1.7982711165739008E-2</v>
      </c>
      <c r="W35" s="2"/>
      <c r="X35" s="7">
        <f t="shared" si="19"/>
        <v>-903.19690000000037</v>
      </c>
      <c r="Y35" s="2"/>
      <c r="Z35" s="6">
        <f t="shared" si="20"/>
        <v>-0.26958068508650485</v>
      </c>
    </row>
    <row r="36" spans="1:26" s="24" customFormat="1" hidden="1" outlineLevel="2" x14ac:dyDescent="0.25">
      <c r="A36" s="29"/>
      <c r="B36" s="11" t="str">
        <f>CONCATENATE("          ", "6156", " - ", "EMPLOYEE MEALS")</f>
        <v xml:space="preserve">          6156 - EMPLOYEE MEALS</v>
      </c>
      <c r="C36" s="11"/>
      <c r="D36" s="7"/>
      <c r="E36" s="2"/>
      <c r="F36" s="6">
        <f t="shared" si="13"/>
        <v>0</v>
      </c>
      <c r="G36" s="2"/>
      <c r="H36" s="7">
        <v>175</v>
      </c>
      <c r="I36" s="2"/>
      <c r="J36" s="6">
        <f t="shared" si="14"/>
        <v>6.9295953116338006E-3</v>
      </c>
      <c r="K36" s="2"/>
      <c r="L36" s="7">
        <f t="shared" si="15"/>
        <v>-175</v>
      </c>
      <c r="M36" s="2"/>
      <c r="N36" s="6">
        <f t="shared" si="16"/>
        <v>-1</v>
      </c>
      <c r="O36" s="11"/>
      <c r="P36" s="7">
        <v>726.37</v>
      </c>
      <c r="Q36" s="2"/>
      <c r="R36" s="6">
        <f t="shared" si="17"/>
        <v>0.28083449643722908</v>
      </c>
      <c r="S36" s="2"/>
      <c r="T36" s="7">
        <v>1050</v>
      </c>
      <c r="U36" s="2"/>
      <c r="V36" s="6">
        <f t="shared" si="18"/>
        <v>5.6357380938323555E-3</v>
      </c>
      <c r="W36" s="2"/>
      <c r="X36" s="7">
        <f t="shared" si="19"/>
        <v>-323.63</v>
      </c>
      <c r="Y36" s="2"/>
      <c r="Z36" s="6">
        <f t="shared" si="20"/>
        <v>-0.30821904761904761</v>
      </c>
    </row>
    <row r="37" spans="1:26" s="28" customFormat="1" outlineLevel="1" collapsed="1" x14ac:dyDescent="0.2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0</v>
      </c>
      <c r="E37" s="1"/>
      <c r="F37" s="5">
        <f t="shared" ref="F37:F47" si="21">IF(D$12=0,0,D37/D$12)</f>
        <v>0</v>
      </c>
      <c r="G37" s="1"/>
      <c r="H37" s="1">
        <f>SUM(OSRRefH22_1x_0)</f>
        <v>17942.600000000002</v>
      </c>
      <c r="I37" s="1"/>
      <c r="J37" s="5">
        <f t="shared" ref="J37:J47" si="22">IF(H$12=0,0,H37/H$12)</f>
        <v>0.71048546764868936</v>
      </c>
      <c r="K37" s="1"/>
      <c r="L37" s="1">
        <f t="shared" ref="L37:L47" si="23">+D37-H37</f>
        <v>-17942.600000000002</v>
      </c>
      <c r="M37" s="1"/>
      <c r="N37" s="5">
        <f t="shared" ref="N37:N47" si="24">IF(H37=0,0,L37/H37)</f>
        <v>-1</v>
      </c>
      <c r="O37" s="14"/>
      <c r="P37" s="1">
        <f>SUM(OSRRefP22_1x_0)</f>
        <v>41960.38</v>
      </c>
      <c r="Q37" s="1"/>
      <c r="R37" s="5">
        <f t="shared" ref="R37:R47" si="25">IF(P$12=0,0,P37/P$12)</f>
        <v>16.223029843763893</v>
      </c>
      <c r="S37" s="1"/>
      <c r="T37" s="1">
        <f>SUM(OSRRefT22_1x_0)</f>
        <v>116934.53200000001</v>
      </c>
      <c r="U37" s="1"/>
      <c r="V37" s="5">
        <f t="shared" ref="V37:V47" si="26">IF(T$12=0,0,T37/T$12)</f>
        <v>0.6276308537874844</v>
      </c>
      <c r="W37" s="1"/>
      <c r="X37" s="1">
        <f t="shared" ref="X37:X47" si="27">+P37-T37</f>
        <v>-74974.152000000002</v>
      </c>
      <c r="Y37" s="1"/>
      <c r="Z37" s="5">
        <f t="shared" ref="Z37:Z47" si="28">IF(T37=0,0,X37/T37)</f>
        <v>-0.6411634845385108</v>
      </c>
    </row>
    <row r="38" spans="1:26" s="24" customFormat="1" hidden="1" outlineLevel="2" x14ac:dyDescent="0.25">
      <c r="A38" s="29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1"/>
        <v>0</v>
      </c>
      <c r="G38" s="2"/>
      <c r="H38" s="7">
        <v>5287.7</v>
      </c>
      <c r="I38" s="2"/>
      <c r="J38" s="6">
        <f t="shared" si="22"/>
        <v>0.2093806921675774</v>
      </c>
      <c r="K38" s="2"/>
      <c r="L38" s="7">
        <f t="shared" si="23"/>
        <v>-5287.7</v>
      </c>
      <c r="M38" s="2"/>
      <c r="N38" s="6">
        <f t="shared" si="24"/>
        <v>-1</v>
      </c>
      <c r="O38" s="11"/>
      <c r="P38" s="7"/>
      <c r="Q38" s="2"/>
      <c r="R38" s="6">
        <f t="shared" si="25"/>
        <v>0</v>
      </c>
      <c r="S38" s="2"/>
      <c r="T38" s="7">
        <v>34370.049999999996</v>
      </c>
      <c r="U38" s="2"/>
      <c r="V38" s="6">
        <f t="shared" si="26"/>
        <v>0.18447676197325974</v>
      </c>
      <c r="W38" s="2"/>
      <c r="X38" s="7">
        <f t="shared" si="27"/>
        <v>-34370.049999999996</v>
      </c>
      <c r="Y38" s="2"/>
      <c r="Z38" s="6">
        <f t="shared" si="28"/>
        <v>-1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7"/>
      <c r="E39" s="2"/>
      <c r="F39" s="6">
        <f t="shared" si="21"/>
        <v>0</v>
      </c>
      <c r="G39" s="2"/>
      <c r="H39" s="7">
        <v>3744</v>
      </c>
      <c r="I39" s="2"/>
      <c r="J39" s="6">
        <f t="shared" si="22"/>
        <v>0.14825374198146829</v>
      </c>
      <c r="K39" s="2"/>
      <c r="L39" s="7">
        <f t="shared" si="23"/>
        <v>-3744</v>
      </c>
      <c r="M39" s="2"/>
      <c r="N39" s="6">
        <f t="shared" si="24"/>
        <v>-1</v>
      </c>
      <c r="O39" s="11"/>
      <c r="P39" s="7">
        <v>39828.42</v>
      </c>
      <c r="Q39" s="2"/>
      <c r="R39" s="6">
        <f t="shared" si="25"/>
        <v>15.398755833239896</v>
      </c>
      <c r="S39" s="2"/>
      <c r="T39" s="7">
        <v>24336</v>
      </c>
      <c r="U39" s="2"/>
      <c r="V39" s="6">
        <f t="shared" si="26"/>
        <v>0.13062030690619447</v>
      </c>
      <c r="W39" s="2"/>
      <c r="X39" s="7">
        <f t="shared" si="27"/>
        <v>15492.419999999998</v>
      </c>
      <c r="Y39" s="2"/>
      <c r="Z39" s="6">
        <f t="shared" si="28"/>
        <v>0.63660502958579879</v>
      </c>
    </row>
    <row r="40" spans="1:26" s="24" customFormat="1" hidden="1" outlineLevel="2" x14ac:dyDescent="0.25">
      <c r="A40" s="29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9"/>
      <c r="B41" s="11" t="str">
        <f>CONCATENATE("          ", "6004", " - ", "STAFF HOURLY")</f>
        <v xml:space="preserve">          6004 - STAFF HOURLY</v>
      </c>
      <c r="C41" s="11"/>
      <c r="D41" s="7"/>
      <c r="E41" s="2"/>
      <c r="F41" s="6">
        <f t="shared" si="21"/>
        <v>0</v>
      </c>
      <c r="G41" s="2"/>
      <c r="H41" s="7">
        <v>2317.7800000000002</v>
      </c>
      <c r="I41" s="2"/>
      <c r="J41" s="6">
        <f t="shared" si="22"/>
        <v>9.1778728122277664E-2</v>
      </c>
      <c r="K41" s="2"/>
      <c r="L41" s="7">
        <f t="shared" si="23"/>
        <v>-2317.7800000000002</v>
      </c>
      <c r="M41" s="2"/>
      <c r="N41" s="6">
        <f t="shared" si="24"/>
        <v>-1</v>
      </c>
      <c r="O41" s="11"/>
      <c r="P41" s="7"/>
      <c r="Q41" s="2"/>
      <c r="R41" s="6">
        <f t="shared" si="25"/>
        <v>0</v>
      </c>
      <c r="S41" s="2"/>
      <c r="T41" s="7">
        <v>16411.129999999997</v>
      </c>
      <c r="U41" s="2"/>
      <c r="V41" s="6">
        <f t="shared" si="26"/>
        <v>8.8084600479842831E-2</v>
      </c>
      <c r="W41" s="2"/>
      <c r="X41" s="7">
        <f t="shared" si="27"/>
        <v>-16411.129999999997</v>
      </c>
      <c r="Y41" s="2"/>
      <c r="Z41" s="6">
        <f t="shared" si="28"/>
        <v>-1</v>
      </c>
    </row>
    <row r="42" spans="1:26" s="24" customFormat="1" hidden="1" outlineLevel="2" x14ac:dyDescent="0.25">
      <c r="A42" s="29"/>
      <c r="B42" s="11" t="str">
        <f>CONCATENATE("          ", "6005", " - ", "TEMPORARY WAGES-HOURLY")</f>
        <v xml:space="preserve">          6005 - TEMPORARY WAGES-HOURLY</v>
      </c>
      <c r="C42" s="11"/>
      <c r="D42" s="7"/>
      <c r="E42" s="2"/>
      <c r="F42" s="6">
        <f t="shared" si="21"/>
        <v>0</v>
      </c>
      <c r="G42" s="2"/>
      <c r="H42" s="7">
        <v>3036.22</v>
      </c>
      <c r="I42" s="2"/>
      <c r="J42" s="6">
        <f t="shared" si="22"/>
        <v>0.12022729072622158</v>
      </c>
      <c r="K42" s="2"/>
      <c r="L42" s="7">
        <f t="shared" si="23"/>
        <v>-3036.22</v>
      </c>
      <c r="M42" s="2"/>
      <c r="N42" s="6">
        <f t="shared" si="24"/>
        <v>-1</v>
      </c>
      <c r="O42" s="11"/>
      <c r="P42" s="7">
        <v>2131.96</v>
      </c>
      <c r="Q42" s="2"/>
      <c r="R42" s="6">
        <f t="shared" si="25"/>
        <v>0.82427401052399596</v>
      </c>
      <c r="S42" s="2"/>
      <c r="T42" s="7">
        <v>18418.322</v>
      </c>
      <c r="U42" s="2"/>
      <c r="V42" s="6">
        <f t="shared" si="26"/>
        <v>9.8857941828448134E-2</v>
      </c>
      <c r="W42" s="2"/>
      <c r="X42" s="7">
        <f t="shared" si="27"/>
        <v>-16286.362000000001</v>
      </c>
      <c r="Y42" s="2"/>
      <c r="Z42" s="6">
        <f t="shared" si="28"/>
        <v>-0.88424787013713846</v>
      </c>
    </row>
    <row r="43" spans="1:26" s="24" customFormat="1" hidden="1" outlineLevel="2" x14ac:dyDescent="0.25">
      <c r="A43" s="29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9"/>
      <c r="B44" s="11" t="str">
        <f>CONCATENATE("          ", "6007", " - ", "STUDENT HOURLY")</f>
        <v xml:space="preserve">          6007 - STUDENT HOURLY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>
        <v>0</v>
      </c>
      <c r="Q44" s="2"/>
      <c r="R44" s="6">
        <f t="shared" si="25"/>
        <v>0</v>
      </c>
      <c r="S44" s="2"/>
      <c r="T44" s="7">
        <v>756.6</v>
      </c>
      <c r="U44" s="2"/>
      <c r="V44" s="6">
        <f t="shared" si="26"/>
        <v>4.0609518493272007E-3</v>
      </c>
      <c r="W44" s="2"/>
      <c r="X44" s="7">
        <f t="shared" si="27"/>
        <v>-756.6</v>
      </c>
      <c r="Y44" s="2"/>
      <c r="Z44" s="6">
        <f t="shared" si="28"/>
        <v>-1</v>
      </c>
    </row>
    <row r="45" spans="1:26" s="24" customFormat="1" hidden="1" outlineLevel="2" x14ac:dyDescent="0.25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1"/>
        <v>0</v>
      </c>
      <c r="G45" s="2"/>
      <c r="H45" s="7">
        <v>3556.9</v>
      </c>
      <c r="I45" s="2"/>
      <c r="J45" s="6">
        <f t="shared" si="22"/>
        <v>0.14084501465114438</v>
      </c>
      <c r="K45" s="2"/>
      <c r="L45" s="7">
        <f t="shared" si="23"/>
        <v>-3556.9</v>
      </c>
      <c r="M45" s="2"/>
      <c r="N45" s="6">
        <f t="shared" si="24"/>
        <v>-1</v>
      </c>
      <c r="O45" s="11"/>
      <c r="P45" s="7"/>
      <c r="Q45" s="2"/>
      <c r="R45" s="6">
        <f t="shared" si="25"/>
        <v>0</v>
      </c>
      <c r="S45" s="2"/>
      <c r="T45" s="7">
        <v>22642.43</v>
      </c>
      <c r="U45" s="2"/>
      <c r="V45" s="6">
        <f t="shared" si="26"/>
        <v>0.12153029075041195</v>
      </c>
      <c r="W45" s="2"/>
      <c r="X45" s="7">
        <f t="shared" si="27"/>
        <v>-22642.43</v>
      </c>
      <c r="Y45" s="2"/>
      <c r="Z45" s="6">
        <f t="shared" si="28"/>
        <v>-1</v>
      </c>
    </row>
    <row r="46" spans="1:26" s="24" customFormat="1" hidden="1" outlineLevel="2" x14ac:dyDescent="0.25">
      <c r="A46" s="29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4" customFormat="1" hidden="1" outlineLevel="2" x14ac:dyDescent="0.25">
      <c r="A47" s="29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1"/>
        <v>0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0</v>
      </c>
      <c r="M47" s="2"/>
      <c r="N47" s="6">
        <f t="shared" si="24"/>
        <v>0</v>
      </c>
      <c r="O47" s="11"/>
      <c r="P47" s="7"/>
      <c r="Q47" s="2"/>
      <c r="R47" s="6">
        <f t="shared" si="25"/>
        <v>0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0</v>
      </c>
      <c r="Y47" s="2"/>
      <c r="Z47" s="6">
        <f t="shared" si="28"/>
        <v>0</v>
      </c>
    </row>
    <row r="48" spans="1:26" s="28" customFormat="1" outlineLevel="1" collapsed="1" x14ac:dyDescent="0.2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56" si="29">IF(D$12=0,0,D48/D$12)</f>
        <v>0</v>
      </c>
      <c r="G48" s="1"/>
      <c r="H48" s="1">
        <f>SUM(OSRRefH22_2x_0)</f>
        <v>277</v>
      </c>
      <c r="I48" s="1"/>
      <c r="J48" s="5">
        <f t="shared" ref="J48:J56" si="30">IF(H$12=0,0,H48/H$12)</f>
        <v>1.0968559436128931E-2</v>
      </c>
      <c r="K48" s="1"/>
      <c r="L48" s="1">
        <f t="shared" ref="L48:L56" si="31">+D48-H48</f>
        <v>-277</v>
      </c>
      <c r="M48" s="1"/>
      <c r="N48" s="5">
        <f t="shared" ref="N48:N56" si="32">IF(H48=0,0,L48/H48)</f>
        <v>-1</v>
      </c>
      <c r="O48" s="14"/>
      <c r="P48" s="1">
        <f>SUM(OSRRefP22_2x_0)</f>
        <v>0</v>
      </c>
      <c r="Q48" s="1"/>
      <c r="R48" s="5">
        <f t="shared" ref="R48:R56" si="33">IF(P$12=0,0,P48/P$12)</f>
        <v>0</v>
      </c>
      <c r="S48" s="1"/>
      <c r="T48" s="1">
        <f>SUM(OSRRefT22_2x_0)</f>
        <v>1818</v>
      </c>
      <c r="U48" s="1"/>
      <c r="V48" s="5">
        <f t="shared" ref="V48:V56" si="34">IF(T$12=0,0,T48/T$12)</f>
        <v>9.7578779567497349E-3</v>
      </c>
      <c r="W48" s="1"/>
      <c r="X48" s="1">
        <f t="shared" ref="X48:X56" si="35">+P48-T48</f>
        <v>-1818</v>
      </c>
      <c r="Y48" s="1"/>
      <c r="Z48" s="5">
        <f t="shared" ref="Z48:Z56" si="36">IF(T48=0,0,X48/T48)</f>
        <v>-1</v>
      </c>
    </row>
    <row r="49" spans="1:26" s="24" customFormat="1" hidden="1" outlineLevel="2" x14ac:dyDescent="0.25">
      <c r="A49" s="29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9"/>
        <v>0</v>
      </c>
      <c r="G49" s="2"/>
      <c r="H49" s="7">
        <v>277</v>
      </c>
      <c r="I49" s="2"/>
      <c r="J49" s="6">
        <f t="shared" si="30"/>
        <v>1.0968559436128931E-2</v>
      </c>
      <c r="K49" s="2"/>
      <c r="L49" s="7">
        <f t="shared" si="31"/>
        <v>-277</v>
      </c>
      <c r="M49" s="2"/>
      <c r="N49" s="6">
        <f t="shared" si="32"/>
        <v>-1</v>
      </c>
      <c r="O49" s="11"/>
      <c r="P49" s="7"/>
      <c r="Q49" s="2"/>
      <c r="R49" s="6">
        <f t="shared" si="33"/>
        <v>0</v>
      </c>
      <c r="S49" s="2"/>
      <c r="T49" s="7">
        <v>1818</v>
      </c>
      <c r="U49" s="2"/>
      <c r="V49" s="6">
        <f t="shared" si="34"/>
        <v>9.7578779567497349E-3</v>
      </c>
      <c r="W49" s="2"/>
      <c r="X49" s="7">
        <f t="shared" si="35"/>
        <v>-1818</v>
      </c>
      <c r="Y49" s="2"/>
      <c r="Z49" s="6">
        <f t="shared" si="36"/>
        <v>-1</v>
      </c>
    </row>
    <row r="50" spans="1:26" s="28" customFormat="1" outlineLevel="1" collapsed="1" x14ac:dyDescent="0.2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9"/>
        <v>0</v>
      </c>
      <c r="G50" s="1"/>
      <c r="H50" s="1">
        <f>SUM(OSRRefH22_3x_0)</f>
        <v>8</v>
      </c>
      <c r="I50" s="1"/>
      <c r="J50" s="5">
        <f t="shared" si="30"/>
        <v>3.1678149996040232E-4</v>
      </c>
      <c r="K50" s="1"/>
      <c r="L50" s="1">
        <f t="shared" si="31"/>
        <v>-8</v>
      </c>
      <c r="M50" s="1"/>
      <c r="N50" s="5">
        <f t="shared" si="32"/>
        <v>-1</v>
      </c>
      <c r="O50" s="14"/>
      <c r="P50" s="1">
        <f>SUM(OSRRefP22_3x_0)</f>
        <v>3.31</v>
      </c>
      <c r="Q50" s="1"/>
      <c r="R50" s="5">
        <f t="shared" si="33"/>
        <v>1.2797364748092959E-3</v>
      </c>
      <c r="S50" s="1"/>
      <c r="T50" s="1">
        <f>SUM(OSRRefT22_3x_0)</f>
        <v>54</v>
      </c>
      <c r="U50" s="1"/>
      <c r="V50" s="5">
        <f t="shared" si="34"/>
        <v>2.898379591113783E-4</v>
      </c>
      <c r="W50" s="1"/>
      <c r="X50" s="1">
        <f t="shared" si="35"/>
        <v>-50.69</v>
      </c>
      <c r="Y50" s="1"/>
      <c r="Z50" s="5">
        <f t="shared" si="36"/>
        <v>-0.93870370370370371</v>
      </c>
    </row>
    <row r="51" spans="1:26" s="24" customFormat="1" hidden="1" outlineLevel="2" x14ac:dyDescent="0.25">
      <c r="A51" s="29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9"/>
        <v>0</v>
      </c>
      <c r="G51" s="2"/>
      <c r="H51" s="7">
        <v>8</v>
      </c>
      <c r="I51" s="2"/>
      <c r="J51" s="6">
        <f t="shared" si="30"/>
        <v>3.1678149996040232E-4</v>
      </c>
      <c r="K51" s="2"/>
      <c r="L51" s="7">
        <f t="shared" si="31"/>
        <v>-8</v>
      </c>
      <c r="M51" s="2"/>
      <c r="N51" s="6">
        <f t="shared" si="32"/>
        <v>-1</v>
      </c>
      <c r="O51" s="11"/>
      <c r="P51" s="7">
        <v>3.31</v>
      </c>
      <c r="Q51" s="2"/>
      <c r="R51" s="6">
        <f t="shared" si="33"/>
        <v>1.2797364748092959E-3</v>
      </c>
      <c r="S51" s="2"/>
      <c r="T51" s="7">
        <v>54</v>
      </c>
      <c r="U51" s="2"/>
      <c r="V51" s="6">
        <f t="shared" si="34"/>
        <v>2.898379591113783E-4</v>
      </c>
      <c r="W51" s="2"/>
      <c r="X51" s="7">
        <f t="shared" si="35"/>
        <v>-50.69</v>
      </c>
      <c r="Y51" s="2"/>
      <c r="Z51" s="6">
        <f t="shared" si="36"/>
        <v>-0.93870370370370371</v>
      </c>
    </row>
    <row r="52" spans="1:26" s="28" customFormat="1" outlineLevel="1" collapsed="1" x14ac:dyDescent="0.2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274</v>
      </c>
      <c r="E52" s="1"/>
      <c r="F52" s="5">
        <f t="shared" si="29"/>
        <v>0</v>
      </c>
      <c r="G52" s="1"/>
      <c r="H52" s="1">
        <f>SUM(OSRRefH22_4x_0)</f>
        <v>2598</v>
      </c>
      <c r="I52" s="1"/>
      <c r="J52" s="5">
        <f t="shared" si="30"/>
        <v>0.10287479211214065</v>
      </c>
      <c r="K52" s="1"/>
      <c r="L52" s="1">
        <f t="shared" si="31"/>
        <v>-2324</v>
      </c>
      <c r="M52" s="1"/>
      <c r="N52" s="5">
        <f t="shared" si="32"/>
        <v>-0.89453425712086221</v>
      </c>
      <c r="O52" s="14"/>
      <c r="P52" s="1">
        <f>SUM(OSRRefP22_4x_0)</f>
        <v>913.33</v>
      </c>
      <c r="Q52" s="1"/>
      <c r="R52" s="5">
        <f t="shared" si="33"/>
        <v>0.35311834276059645</v>
      </c>
      <c r="S52" s="1"/>
      <c r="T52" s="1">
        <f>SUM(OSRRefT22_4x_0)</f>
        <v>20397</v>
      </c>
      <c r="U52" s="1"/>
      <c r="V52" s="5">
        <f t="shared" si="34"/>
        <v>0.10947823799990339</v>
      </c>
      <c r="W52" s="1"/>
      <c r="X52" s="1">
        <f t="shared" si="35"/>
        <v>-19483.669999999998</v>
      </c>
      <c r="Y52" s="1"/>
      <c r="Z52" s="5">
        <f t="shared" si="36"/>
        <v>-0.95522233661813005</v>
      </c>
    </row>
    <row r="53" spans="1:26" s="24" customFormat="1" hidden="1" outlineLevel="2" x14ac:dyDescent="0.25">
      <c r="A53" s="29"/>
      <c r="B53" s="11" t="str">
        <f>CONCATENATE("          ", "6381", " - ", "BANK/CREDIT CARD FEES")</f>
        <v xml:space="preserve">          6381 - BANK/CREDIT CARD FEES</v>
      </c>
      <c r="C53" s="11"/>
      <c r="D53" s="7">
        <v>274</v>
      </c>
      <c r="E53" s="2"/>
      <c r="F53" s="6">
        <f t="shared" si="29"/>
        <v>0</v>
      </c>
      <c r="G53" s="2"/>
      <c r="H53" s="7">
        <v>2598</v>
      </c>
      <c r="I53" s="2"/>
      <c r="J53" s="6">
        <f t="shared" si="30"/>
        <v>0.10287479211214065</v>
      </c>
      <c r="K53" s="2"/>
      <c r="L53" s="7">
        <f t="shared" si="31"/>
        <v>-2324</v>
      </c>
      <c r="M53" s="2"/>
      <c r="N53" s="6">
        <f t="shared" si="32"/>
        <v>-0.89453425712086221</v>
      </c>
      <c r="O53" s="11"/>
      <c r="P53" s="7">
        <v>913.33</v>
      </c>
      <c r="Q53" s="2"/>
      <c r="R53" s="6">
        <f t="shared" si="33"/>
        <v>0.35311834276059645</v>
      </c>
      <c r="S53" s="2"/>
      <c r="T53" s="7">
        <v>20397</v>
      </c>
      <c r="U53" s="2"/>
      <c r="V53" s="6">
        <f t="shared" si="34"/>
        <v>0.10947823799990339</v>
      </c>
      <c r="W53" s="2"/>
      <c r="X53" s="7">
        <f t="shared" si="35"/>
        <v>-19483.669999999998</v>
      </c>
      <c r="Y53" s="2"/>
      <c r="Z53" s="6">
        <f t="shared" si="36"/>
        <v>-0.95522233661813005</v>
      </c>
    </row>
    <row r="54" spans="1:26" s="28" customFormat="1" outlineLevel="1" collapsed="1" x14ac:dyDescent="0.2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9152.09</v>
      </c>
      <c r="E54" s="1"/>
      <c r="F54" s="5">
        <f t="shared" si="29"/>
        <v>0</v>
      </c>
      <c r="G54" s="1"/>
      <c r="H54" s="1">
        <f>SUM(OSRRefH22_5x_0)</f>
        <v>8563</v>
      </c>
      <c r="I54" s="1"/>
      <c r="J54" s="5">
        <f t="shared" si="30"/>
        <v>0.33907499802011565</v>
      </c>
      <c r="K54" s="1"/>
      <c r="L54" s="1">
        <f t="shared" si="31"/>
        <v>589.09000000000015</v>
      </c>
      <c r="M54" s="1"/>
      <c r="N54" s="5">
        <f t="shared" si="32"/>
        <v>6.8794814901319654E-2</v>
      </c>
      <c r="O54" s="14"/>
      <c r="P54" s="1">
        <f>SUM(OSRRefP22_5x_0)</f>
        <v>55093.819999999992</v>
      </c>
      <c r="Q54" s="1"/>
      <c r="R54" s="5">
        <f t="shared" si="33"/>
        <v>21.300776734313558</v>
      </c>
      <c r="S54" s="1"/>
      <c r="T54" s="1">
        <f>SUM(OSRRefT22_5x_0)</f>
        <v>51826</v>
      </c>
      <c r="U54" s="1"/>
      <c r="V54" s="5">
        <f t="shared" si="34"/>
        <v>0.27816929757233871</v>
      </c>
      <c r="W54" s="1"/>
      <c r="X54" s="1">
        <f t="shared" si="35"/>
        <v>3267.8199999999924</v>
      </c>
      <c r="Y54" s="1"/>
      <c r="Z54" s="5">
        <f t="shared" si="36"/>
        <v>6.3053679620267672E-2</v>
      </c>
    </row>
    <row r="55" spans="1:26" s="24" customFormat="1" hidden="1" outlineLevel="2" x14ac:dyDescent="0.25">
      <c r="A55" s="29"/>
      <c r="B55" s="11" t="str">
        <f>CONCATENATE("          ", "6321", " - ", "BUILDING DEPRECIATION")</f>
        <v xml:space="preserve">          6321 - BUILDING DEPRECIATION</v>
      </c>
      <c r="C55" s="11"/>
      <c r="D55" s="7">
        <v>5080.51</v>
      </c>
      <c r="E55" s="2"/>
      <c r="F55" s="6">
        <f t="shared" si="29"/>
        <v>0</v>
      </c>
      <c r="G55" s="2"/>
      <c r="H55" s="7"/>
      <c r="I55" s="2"/>
      <c r="J55" s="6">
        <f t="shared" si="30"/>
        <v>0</v>
      </c>
      <c r="K55" s="2"/>
      <c r="L55" s="7">
        <f t="shared" si="31"/>
        <v>5080.51</v>
      </c>
      <c r="M55" s="2"/>
      <c r="N55" s="6">
        <f t="shared" si="32"/>
        <v>0</v>
      </c>
      <c r="O55" s="11"/>
      <c r="P55" s="7">
        <v>30483.059999999998</v>
      </c>
      <c r="Q55" s="2"/>
      <c r="R55" s="6">
        <f t="shared" si="33"/>
        <v>11.785584213232704</v>
      </c>
      <c r="S55" s="2"/>
      <c r="T55" s="7"/>
      <c r="U55" s="2"/>
      <c r="V55" s="6">
        <f t="shared" si="34"/>
        <v>0</v>
      </c>
      <c r="W55" s="2"/>
      <c r="X55" s="7">
        <f t="shared" si="35"/>
        <v>30483.059999999998</v>
      </c>
      <c r="Y55" s="2"/>
      <c r="Z55" s="6">
        <f t="shared" si="36"/>
        <v>0</v>
      </c>
    </row>
    <row r="56" spans="1:26" s="24" customFormat="1" hidden="1" outlineLevel="2" x14ac:dyDescent="0.25">
      <c r="A56" s="29"/>
      <c r="B56" s="11" t="str">
        <f>CONCATENATE("          ", "6322", " - ", "EQUIPMENT DEPRECIATION EXPENSE")</f>
        <v xml:space="preserve">          6322 - EQUIPMENT DEPRECIATION EXPENSE</v>
      </c>
      <c r="C56" s="11"/>
      <c r="D56" s="7">
        <v>4071.58</v>
      </c>
      <c r="E56" s="2"/>
      <c r="F56" s="6">
        <f t="shared" si="29"/>
        <v>0</v>
      </c>
      <c r="G56" s="2"/>
      <c r="H56" s="7">
        <v>8563</v>
      </c>
      <c r="I56" s="2"/>
      <c r="J56" s="6">
        <f t="shared" si="30"/>
        <v>0.33907499802011565</v>
      </c>
      <c r="K56" s="2"/>
      <c r="L56" s="7">
        <f t="shared" si="31"/>
        <v>-4491.42</v>
      </c>
      <c r="M56" s="2"/>
      <c r="N56" s="6">
        <f t="shared" si="32"/>
        <v>-0.52451477285997894</v>
      </c>
      <c r="O56" s="11"/>
      <c r="P56" s="7">
        <v>24610.76</v>
      </c>
      <c r="Q56" s="2"/>
      <c r="R56" s="6">
        <f t="shared" si="33"/>
        <v>9.5151925210808539</v>
      </c>
      <c r="S56" s="2"/>
      <c r="T56" s="7">
        <v>51826</v>
      </c>
      <c r="U56" s="2"/>
      <c r="V56" s="6">
        <f t="shared" si="34"/>
        <v>0.27816929757233871</v>
      </c>
      <c r="W56" s="2"/>
      <c r="X56" s="7">
        <f t="shared" si="35"/>
        <v>-27215.24</v>
      </c>
      <c r="Y56" s="2"/>
      <c r="Z56" s="6">
        <f t="shared" si="36"/>
        <v>-0.52512715625361794</v>
      </c>
    </row>
    <row r="57" spans="1:26" s="28" customFormat="1" outlineLevel="1" collapsed="1" x14ac:dyDescent="0.25">
      <c r="A57" s="27"/>
      <c r="B57" s="14" t="str">
        <f>CONCATENATE("     ","Employees' Appreciation                           ")</f>
        <v xml:space="preserve">     Employees' Appreciation                           </v>
      </c>
      <c r="C57" s="14"/>
      <c r="D57" s="1">
        <f>SUM(OSRRefD22_6x_0)</f>
        <v>0</v>
      </c>
      <c r="E57" s="1"/>
      <c r="F57" s="5">
        <f t="shared" ref="F57:F75" si="37">IF(D$12=0,0,D57/D$12)</f>
        <v>0</v>
      </c>
      <c r="G57" s="1"/>
      <c r="H57" s="1">
        <f>SUM(OSRRefH22_6x_0)</f>
        <v>50</v>
      </c>
      <c r="I57" s="1"/>
      <c r="J57" s="5">
        <f t="shared" ref="J57:J75" si="38">IF(H$12=0,0,H57/H$12)</f>
        <v>1.9798843747525145E-3</v>
      </c>
      <c r="K57" s="1"/>
      <c r="L57" s="1">
        <f t="shared" ref="L57:L75" si="39">+D57-H57</f>
        <v>-50</v>
      </c>
      <c r="M57" s="1"/>
      <c r="N57" s="5">
        <f t="shared" ref="N57:N75" si="40">IF(H57=0,0,L57/H57)</f>
        <v>-1</v>
      </c>
      <c r="O57" s="14"/>
      <c r="P57" s="1">
        <f>SUM(OSRRefP22_6x_0)</f>
        <v>0</v>
      </c>
      <c r="Q57" s="1"/>
      <c r="R57" s="5">
        <f t="shared" ref="R57:R75" si="41">IF(P$12=0,0,P57/P$12)</f>
        <v>0</v>
      </c>
      <c r="S57" s="1"/>
      <c r="T57" s="1">
        <f>SUM(OSRRefT22_6x_0)</f>
        <v>50</v>
      </c>
      <c r="U57" s="1"/>
      <c r="V57" s="5">
        <f t="shared" ref="V57:V75" si="42">IF(T$12=0,0,T57/T$12)</f>
        <v>2.6836848065868359E-4</v>
      </c>
      <c r="W57" s="1"/>
      <c r="X57" s="1">
        <f t="shared" ref="X57:X75" si="43">+P57-T57</f>
        <v>-50</v>
      </c>
      <c r="Y57" s="1"/>
      <c r="Z57" s="5">
        <f t="shared" ref="Z57:Z75" si="44">IF(T57=0,0,X57/T57)</f>
        <v>-1</v>
      </c>
    </row>
    <row r="58" spans="1:26" s="24" customFormat="1" hidden="1" outlineLevel="2" x14ac:dyDescent="0.25">
      <c r="A58" s="29"/>
      <c r="B58" s="11" t="str">
        <f>CONCATENATE("          ", "6277", " - ", "EMPLOYEE APPRECIATION")</f>
        <v xml:space="preserve">          6277 - EMPLOYEE APPRECIATION</v>
      </c>
      <c r="C58" s="11"/>
      <c r="D58" s="7"/>
      <c r="E58" s="2"/>
      <c r="F58" s="6">
        <f t="shared" si="37"/>
        <v>0</v>
      </c>
      <c r="G58" s="2"/>
      <c r="H58" s="7">
        <v>50</v>
      </c>
      <c r="I58" s="2"/>
      <c r="J58" s="6">
        <f t="shared" si="38"/>
        <v>1.9798843747525145E-3</v>
      </c>
      <c r="K58" s="2"/>
      <c r="L58" s="7">
        <f t="shared" si="39"/>
        <v>-50</v>
      </c>
      <c r="M58" s="2"/>
      <c r="N58" s="6">
        <f t="shared" si="40"/>
        <v>-1</v>
      </c>
      <c r="O58" s="11"/>
      <c r="P58" s="7"/>
      <c r="Q58" s="2"/>
      <c r="R58" s="6">
        <f t="shared" si="41"/>
        <v>0</v>
      </c>
      <c r="S58" s="2"/>
      <c r="T58" s="7">
        <v>50</v>
      </c>
      <c r="U58" s="2"/>
      <c r="V58" s="6">
        <f t="shared" si="42"/>
        <v>2.6836848065868359E-4</v>
      </c>
      <c r="W58" s="2"/>
      <c r="X58" s="7">
        <f t="shared" si="43"/>
        <v>-50</v>
      </c>
      <c r="Y58" s="2"/>
      <c r="Z58" s="6">
        <f t="shared" si="44"/>
        <v>-1</v>
      </c>
    </row>
    <row r="59" spans="1:26" s="28" customFormat="1" outlineLevel="1" collapsed="1" x14ac:dyDescent="0.25">
      <c r="A59" s="27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SUM(OSRRefD22_7x_0)</f>
        <v>88.15</v>
      </c>
      <c r="E59" s="1"/>
      <c r="F59" s="5">
        <f t="shared" si="37"/>
        <v>0</v>
      </c>
      <c r="G59" s="1"/>
      <c r="H59" s="1">
        <f>SUM(OSRRefH22_7x_0)</f>
        <v>146</v>
      </c>
      <c r="I59" s="1"/>
      <c r="J59" s="5">
        <f t="shared" si="38"/>
        <v>5.7812623742773423E-3</v>
      </c>
      <c r="K59" s="1"/>
      <c r="L59" s="1">
        <f t="shared" si="39"/>
        <v>-57.849999999999994</v>
      </c>
      <c r="M59" s="1"/>
      <c r="N59" s="5">
        <f t="shared" si="40"/>
        <v>-0.39623287671232871</v>
      </c>
      <c r="O59" s="14"/>
      <c r="P59" s="1">
        <f>SUM(OSRRefP22_7x_0)</f>
        <v>88.15</v>
      </c>
      <c r="Q59" s="1"/>
      <c r="R59" s="5">
        <f t="shared" si="41"/>
        <v>3.4081199472640315E-2</v>
      </c>
      <c r="S59" s="1"/>
      <c r="T59" s="1">
        <f>SUM(OSRRefT22_7x_0)</f>
        <v>438</v>
      </c>
      <c r="U59" s="1"/>
      <c r="V59" s="5">
        <f t="shared" si="42"/>
        <v>2.3509078905700684E-3</v>
      </c>
      <c r="W59" s="1"/>
      <c r="X59" s="1">
        <f t="shared" si="43"/>
        <v>-349.85</v>
      </c>
      <c r="Y59" s="1"/>
      <c r="Z59" s="5">
        <f t="shared" si="44"/>
        <v>-0.79874429223744292</v>
      </c>
    </row>
    <row r="60" spans="1:26" s="24" customFormat="1" hidden="1" outlineLevel="2" x14ac:dyDescent="0.25">
      <c r="A60" s="29"/>
      <c r="B60" s="11" t="str">
        <f>CONCATENATE("          ", "6351", " - ", "EQUIPMENT RENTAL")</f>
        <v xml:space="preserve">          6351 - EQUIPMENT RENTAL</v>
      </c>
      <c r="C60" s="11"/>
      <c r="D60" s="7">
        <v>88.15</v>
      </c>
      <c r="E60" s="2"/>
      <c r="F60" s="6">
        <f t="shared" si="37"/>
        <v>0</v>
      </c>
      <c r="G60" s="2"/>
      <c r="H60" s="7">
        <v>146</v>
      </c>
      <c r="I60" s="2"/>
      <c r="J60" s="6">
        <f t="shared" si="38"/>
        <v>5.7812623742773423E-3</v>
      </c>
      <c r="K60" s="2"/>
      <c r="L60" s="7">
        <f t="shared" si="39"/>
        <v>-57.849999999999994</v>
      </c>
      <c r="M60" s="2"/>
      <c r="N60" s="6">
        <f t="shared" si="40"/>
        <v>-0.39623287671232871</v>
      </c>
      <c r="O60" s="11"/>
      <c r="P60" s="7">
        <v>88.15</v>
      </c>
      <c r="Q60" s="2"/>
      <c r="R60" s="6">
        <f t="shared" si="41"/>
        <v>3.4081199472640315E-2</v>
      </c>
      <c r="S60" s="2"/>
      <c r="T60" s="7">
        <v>438</v>
      </c>
      <c r="U60" s="2"/>
      <c r="V60" s="6">
        <f t="shared" si="42"/>
        <v>2.3509078905700684E-3</v>
      </c>
      <c r="W60" s="2"/>
      <c r="X60" s="7">
        <f t="shared" si="43"/>
        <v>-349.85</v>
      </c>
      <c r="Y60" s="2"/>
      <c r="Z60" s="6">
        <f t="shared" si="44"/>
        <v>-0.79874429223744292</v>
      </c>
    </row>
    <row r="61" spans="1:26" s="28" customFormat="1" outlineLevel="1" collapsed="1" x14ac:dyDescent="0.25">
      <c r="A61" s="27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SUM(OSRRefD22_8x_0)</f>
        <v>3.93</v>
      </c>
      <c r="E61" s="1"/>
      <c r="F61" s="5">
        <f t="shared" si="37"/>
        <v>0</v>
      </c>
      <c r="G61" s="1"/>
      <c r="H61" s="1">
        <f>SUM(OSRRefH22_8x_0)</f>
        <v>0</v>
      </c>
      <c r="I61" s="1"/>
      <c r="J61" s="5">
        <f t="shared" si="38"/>
        <v>0</v>
      </c>
      <c r="K61" s="1"/>
      <c r="L61" s="1">
        <f t="shared" si="39"/>
        <v>3.93</v>
      </c>
      <c r="M61" s="1"/>
      <c r="N61" s="5">
        <f t="shared" si="40"/>
        <v>0</v>
      </c>
      <c r="O61" s="14"/>
      <c r="P61" s="1">
        <f>SUM(OSRRefP22_8x_0)</f>
        <v>109.26</v>
      </c>
      <c r="Q61" s="1"/>
      <c r="R61" s="5">
        <f t="shared" si="41"/>
        <v>4.2242902488720147E-2</v>
      </c>
      <c r="S61" s="1"/>
      <c r="T61" s="1">
        <f>SUM(OSRRefT22_8x_0)</f>
        <v>0</v>
      </c>
      <c r="U61" s="1"/>
      <c r="V61" s="5">
        <f t="shared" si="42"/>
        <v>0</v>
      </c>
      <c r="W61" s="1"/>
      <c r="X61" s="1">
        <f t="shared" si="43"/>
        <v>109.26</v>
      </c>
      <c r="Y61" s="1"/>
      <c r="Z61" s="5">
        <f t="shared" si="44"/>
        <v>0</v>
      </c>
    </row>
    <row r="62" spans="1:26" s="24" customFormat="1" hidden="1" outlineLevel="2" x14ac:dyDescent="0.25">
      <c r="A62" s="29"/>
      <c r="B62" s="11" t="str">
        <f>CONCATENATE("          ", "6305", " - ", "FREIGHT OUT")</f>
        <v xml:space="preserve">          6305 - FREIGHT OUT</v>
      </c>
      <c r="C62" s="11"/>
      <c r="D62" s="7">
        <v>3.93</v>
      </c>
      <c r="E62" s="2"/>
      <c r="F62" s="6">
        <f t="shared" si="37"/>
        <v>0</v>
      </c>
      <c r="G62" s="2"/>
      <c r="H62" s="7"/>
      <c r="I62" s="2"/>
      <c r="J62" s="6">
        <f t="shared" si="38"/>
        <v>0</v>
      </c>
      <c r="K62" s="2"/>
      <c r="L62" s="7">
        <f t="shared" si="39"/>
        <v>3.93</v>
      </c>
      <c r="M62" s="2"/>
      <c r="N62" s="6">
        <f t="shared" si="40"/>
        <v>0</v>
      </c>
      <c r="O62" s="11"/>
      <c r="P62" s="7">
        <v>109.26</v>
      </c>
      <c r="Q62" s="2"/>
      <c r="R62" s="6">
        <f t="shared" si="41"/>
        <v>4.2242902488720147E-2</v>
      </c>
      <c r="S62" s="2"/>
      <c r="T62" s="7"/>
      <c r="U62" s="2"/>
      <c r="V62" s="6">
        <f t="shared" si="42"/>
        <v>0</v>
      </c>
      <c r="W62" s="2"/>
      <c r="X62" s="7">
        <f t="shared" si="43"/>
        <v>109.26</v>
      </c>
      <c r="Y62" s="2"/>
      <c r="Z62" s="6">
        <f t="shared" si="44"/>
        <v>0</v>
      </c>
    </row>
    <row r="63" spans="1:26" s="28" customFormat="1" outlineLevel="1" collapsed="1" x14ac:dyDescent="0.25">
      <c r="A63" s="27"/>
      <c r="B63" s="14" t="str">
        <f>CONCATENATE("     ","General                                           ")</f>
        <v xml:space="preserve">     General                                           </v>
      </c>
      <c r="C63" s="14"/>
      <c r="D63" s="1">
        <f>SUM(OSRRefD22_9x_0)</f>
        <v>1286.3800000000001</v>
      </c>
      <c r="E63" s="1"/>
      <c r="F63" s="5">
        <f t="shared" si="37"/>
        <v>0</v>
      </c>
      <c r="G63" s="1"/>
      <c r="H63" s="1">
        <f>SUM(OSRRefH22_9x_0)</f>
        <v>0</v>
      </c>
      <c r="I63" s="1"/>
      <c r="J63" s="5">
        <f t="shared" si="38"/>
        <v>0</v>
      </c>
      <c r="K63" s="1"/>
      <c r="L63" s="1">
        <f t="shared" si="39"/>
        <v>1286.3800000000001</v>
      </c>
      <c r="M63" s="1"/>
      <c r="N63" s="5">
        <f t="shared" si="40"/>
        <v>0</v>
      </c>
      <c r="O63" s="14"/>
      <c r="P63" s="1">
        <f>SUM(OSRRefP22_9x_0)</f>
        <v>3210.48</v>
      </c>
      <c r="Q63" s="1"/>
      <c r="R63" s="5">
        <f t="shared" si="41"/>
        <v>1.2412593225515856</v>
      </c>
      <c r="S63" s="1"/>
      <c r="T63" s="1">
        <f>SUM(OSRRefT22_9x_0)</f>
        <v>3150</v>
      </c>
      <c r="U63" s="1"/>
      <c r="V63" s="5">
        <f t="shared" si="42"/>
        <v>1.6907214281497066E-2</v>
      </c>
      <c r="W63" s="1"/>
      <c r="X63" s="1">
        <f t="shared" si="43"/>
        <v>60.480000000000018</v>
      </c>
      <c r="Y63" s="1"/>
      <c r="Z63" s="5">
        <f t="shared" si="44"/>
        <v>1.9200000000000005E-2</v>
      </c>
    </row>
    <row r="64" spans="1:26" s="24" customFormat="1" hidden="1" outlineLevel="2" x14ac:dyDescent="0.25">
      <c r="A64" s="29"/>
      <c r="B64" s="11" t="str">
        <f>CONCATENATE("          ", "6279", " - ", "GENERAL EXPENSE")</f>
        <v xml:space="preserve">          6279 - GENERAL EXPENSE</v>
      </c>
      <c r="C64" s="11"/>
      <c r="D64" s="7">
        <v>1286.3800000000001</v>
      </c>
      <c r="E64" s="2"/>
      <c r="F64" s="6">
        <f t="shared" si="37"/>
        <v>0</v>
      </c>
      <c r="G64" s="2"/>
      <c r="H64" s="7"/>
      <c r="I64" s="2"/>
      <c r="J64" s="6">
        <f t="shared" si="38"/>
        <v>0</v>
      </c>
      <c r="K64" s="2"/>
      <c r="L64" s="7">
        <f t="shared" si="39"/>
        <v>1286.3800000000001</v>
      </c>
      <c r="M64" s="2"/>
      <c r="N64" s="6">
        <f t="shared" si="40"/>
        <v>0</v>
      </c>
      <c r="O64" s="11"/>
      <c r="P64" s="7">
        <v>3210.48</v>
      </c>
      <c r="Q64" s="2"/>
      <c r="R64" s="6">
        <f t="shared" si="41"/>
        <v>1.2412593225515856</v>
      </c>
      <c r="S64" s="2"/>
      <c r="T64" s="7">
        <v>3150</v>
      </c>
      <c r="U64" s="2"/>
      <c r="V64" s="6">
        <f t="shared" si="42"/>
        <v>1.6907214281497066E-2</v>
      </c>
      <c r="W64" s="2"/>
      <c r="X64" s="7">
        <f t="shared" si="43"/>
        <v>60.480000000000018</v>
      </c>
      <c r="Y64" s="2"/>
      <c r="Z64" s="6">
        <f t="shared" si="44"/>
        <v>1.9200000000000005E-2</v>
      </c>
    </row>
    <row r="65" spans="1:26" s="28" customFormat="1" outlineLevel="1" collapsed="1" x14ac:dyDescent="0.25">
      <c r="A65" s="27"/>
      <c r="B65" s="14" t="str">
        <f>CONCATENATE("     ","Insurance                                         ")</f>
        <v xml:space="preserve">     Insurance                                         </v>
      </c>
      <c r="C65" s="14"/>
      <c r="D65" s="1">
        <f>SUM(OSRRefD22_10x_0)</f>
        <v>243.54</v>
      </c>
      <c r="E65" s="1"/>
      <c r="F65" s="5">
        <f t="shared" si="37"/>
        <v>0</v>
      </c>
      <c r="G65" s="1"/>
      <c r="H65" s="1">
        <f>SUM(OSRRefH22_10x_0)</f>
        <v>270</v>
      </c>
      <c r="I65" s="1"/>
      <c r="J65" s="5">
        <f t="shared" si="38"/>
        <v>1.0691375623663579E-2</v>
      </c>
      <c r="K65" s="1"/>
      <c r="L65" s="1">
        <f t="shared" si="39"/>
        <v>-26.460000000000008</v>
      </c>
      <c r="M65" s="1"/>
      <c r="N65" s="5">
        <f t="shared" si="40"/>
        <v>-9.8000000000000032E-2</v>
      </c>
      <c r="O65" s="14"/>
      <c r="P65" s="1">
        <f>SUM(OSRRefP22_10x_0)</f>
        <v>1461.24</v>
      </c>
      <c r="Q65" s="1"/>
      <c r="R65" s="5">
        <f t="shared" si="41"/>
        <v>0.56495532521158176</v>
      </c>
      <c r="S65" s="1"/>
      <c r="T65" s="1">
        <f>SUM(OSRRefT22_10x_0)</f>
        <v>1620</v>
      </c>
      <c r="U65" s="1"/>
      <c r="V65" s="5">
        <f t="shared" si="42"/>
        <v>8.6951387733413491E-3</v>
      </c>
      <c r="W65" s="1"/>
      <c r="X65" s="1">
        <f t="shared" si="43"/>
        <v>-158.76</v>
      </c>
      <c r="Y65" s="1"/>
      <c r="Z65" s="5">
        <f t="shared" si="44"/>
        <v>-9.799999999999999E-2</v>
      </c>
    </row>
    <row r="66" spans="1:26" s="24" customFormat="1" hidden="1" outlineLevel="2" x14ac:dyDescent="0.25">
      <c r="A66" s="29"/>
      <c r="B66" s="11" t="str">
        <f>CONCATENATE("          ", "6314", " - ", "LIABILITY INSURANCE")</f>
        <v xml:space="preserve">          6314 - LIABILITY INSURANCE</v>
      </c>
      <c r="C66" s="11"/>
      <c r="D66" s="7">
        <v>243.54</v>
      </c>
      <c r="E66" s="2"/>
      <c r="F66" s="6">
        <f t="shared" si="37"/>
        <v>0</v>
      </c>
      <c r="G66" s="2"/>
      <c r="H66" s="7">
        <v>270</v>
      </c>
      <c r="I66" s="2"/>
      <c r="J66" s="6">
        <f t="shared" si="38"/>
        <v>1.0691375623663579E-2</v>
      </c>
      <c r="K66" s="2"/>
      <c r="L66" s="7">
        <f t="shared" si="39"/>
        <v>-26.460000000000008</v>
      </c>
      <c r="M66" s="2"/>
      <c r="N66" s="6">
        <f t="shared" si="40"/>
        <v>-9.8000000000000032E-2</v>
      </c>
      <c r="O66" s="11"/>
      <c r="P66" s="7">
        <v>1461.24</v>
      </c>
      <c r="Q66" s="2"/>
      <c r="R66" s="6">
        <f t="shared" si="41"/>
        <v>0.56495532521158176</v>
      </c>
      <c r="S66" s="2"/>
      <c r="T66" s="7">
        <v>1620</v>
      </c>
      <c r="U66" s="2"/>
      <c r="V66" s="6">
        <f t="shared" si="42"/>
        <v>8.6951387733413491E-3</v>
      </c>
      <c r="W66" s="2"/>
      <c r="X66" s="7">
        <f t="shared" si="43"/>
        <v>-158.76</v>
      </c>
      <c r="Y66" s="2"/>
      <c r="Z66" s="6">
        <f t="shared" si="44"/>
        <v>-9.799999999999999E-2</v>
      </c>
    </row>
    <row r="67" spans="1:26" s="28" customFormat="1" outlineLevel="1" collapsed="1" x14ac:dyDescent="0.25">
      <c r="A67" s="27"/>
      <c r="B67" s="14" t="str">
        <f>CONCATENATE("     ","Interest                                          ")</f>
        <v xml:space="preserve">     Interest                                          </v>
      </c>
      <c r="C67" s="14"/>
      <c r="D67" s="1">
        <f>SUM(OSRRefD22_11x_0)</f>
        <v>4044</v>
      </c>
      <c r="E67" s="1"/>
      <c r="F67" s="5">
        <f t="shared" si="37"/>
        <v>0</v>
      </c>
      <c r="G67" s="1"/>
      <c r="H67" s="1">
        <f>SUM(OSRRefH22_11x_0)</f>
        <v>4044</v>
      </c>
      <c r="I67" s="1"/>
      <c r="J67" s="5">
        <f t="shared" si="38"/>
        <v>0.16013304822998337</v>
      </c>
      <c r="K67" s="1"/>
      <c r="L67" s="1">
        <f t="shared" si="39"/>
        <v>0</v>
      </c>
      <c r="M67" s="1"/>
      <c r="N67" s="5">
        <f t="shared" si="40"/>
        <v>0</v>
      </c>
      <c r="O67" s="14"/>
      <c r="P67" s="1">
        <f>SUM(OSRRefP22_11x_0)</f>
        <v>24001.85</v>
      </c>
      <c r="Q67" s="1"/>
      <c r="R67" s="5">
        <f t="shared" si="41"/>
        <v>9.2797712712693343</v>
      </c>
      <c r="S67" s="1"/>
      <c r="T67" s="1">
        <f>SUM(OSRRefT22_11x_0)</f>
        <v>24264</v>
      </c>
      <c r="U67" s="1"/>
      <c r="V67" s="5">
        <f t="shared" si="42"/>
        <v>0.13023385629404596</v>
      </c>
      <c r="W67" s="1"/>
      <c r="X67" s="1">
        <f t="shared" si="43"/>
        <v>-262.15000000000146</v>
      </c>
      <c r="Y67" s="1"/>
      <c r="Z67" s="5">
        <f t="shared" si="44"/>
        <v>-1.0804071876030392E-2</v>
      </c>
    </row>
    <row r="68" spans="1:26" s="24" customFormat="1" hidden="1" outlineLevel="2" x14ac:dyDescent="0.25">
      <c r="A68" s="29"/>
      <c r="B68" s="11" t="str">
        <f>CONCATENATE("          ", "6401", " - ", "INTEREST EXPENSE")</f>
        <v xml:space="preserve">          6401 - INTEREST EXPENSE</v>
      </c>
      <c r="C68" s="11"/>
      <c r="D68" s="7">
        <v>4044</v>
      </c>
      <c r="E68" s="2"/>
      <c r="F68" s="6">
        <f t="shared" si="37"/>
        <v>0</v>
      </c>
      <c r="G68" s="2"/>
      <c r="H68" s="7">
        <v>4044</v>
      </c>
      <c r="I68" s="2"/>
      <c r="J68" s="6">
        <f t="shared" si="38"/>
        <v>0.16013304822998337</v>
      </c>
      <c r="K68" s="2"/>
      <c r="L68" s="7">
        <f t="shared" si="39"/>
        <v>0</v>
      </c>
      <c r="M68" s="2"/>
      <c r="N68" s="6">
        <f t="shared" si="40"/>
        <v>0</v>
      </c>
      <c r="O68" s="11"/>
      <c r="P68" s="7">
        <v>24001.85</v>
      </c>
      <c r="Q68" s="2"/>
      <c r="R68" s="6">
        <f t="shared" si="41"/>
        <v>9.2797712712693343</v>
      </c>
      <c r="S68" s="2"/>
      <c r="T68" s="7">
        <v>24264</v>
      </c>
      <c r="U68" s="2"/>
      <c r="V68" s="6">
        <f t="shared" si="42"/>
        <v>0.13023385629404596</v>
      </c>
      <c r="W68" s="2"/>
      <c r="X68" s="7">
        <f t="shared" si="43"/>
        <v>-262.15000000000146</v>
      </c>
      <c r="Y68" s="2"/>
      <c r="Z68" s="6">
        <f t="shared" si="44"/>
        <v>-1.0804071876030392E-2</v>
      </c>
    </row>
    <row r="69" spans="1:26" s="28" customFormat="1" outlineLevel="1" collapsed="1" x14ac:dyDescent="0.25">
      <c r="A69" s="27"/>
      <c r="B69" s="14" t="str">
        <f>CONCATENATE("     ","Rent                                              ")</f>
        <v xml:space="preserve">     Rent                                              </v>
      </c>
      <c r="C69" s="14"/>
      <c r="D69" s="1">
        <f>SUM(OSRRefD22_12x_0)</f>
        <v>0</v>
      </c>
      <c r="E69" s="1"/>
      <c r="F69" s="5">
        <f t="shared" si="37"/>
        <v>0</v>
      </c>
      <c r="G69" s="1"/>
      <c r="H69" s="1">
        <f>SUM(OSRRefH22_12x_0)</f>
        <v>0</v>
      </c>
      <c r="I69" s="1"/>
      <c r="J69" s="5">
        <f t="shared" si="38"/>
        <v>0</v>
      </c>
      <c r="K69" s="1"/>
      <c r="L69" s="1">
        <f t="shared" si="39"/>
        <v>0</v>
      </c>
      <c r="M69" s="1"/>
      <c r="N69" s="5">
        <f t="shared" si="40"/>
        <v>0</v>
      </c>
      <c r="O69" s="14"/>
      <c r="P69" s="1">
        <f>SUM(OSRRefP22_12x_0)</f>
        <v>0</v>
      </c>
      <c r="Q69" s="1"/>
      <c r="R69" s="5">
        <f t="shared" si="41"/>
        <v>0</v>
      </c>
      <c r="S69" s="1"/>
      <c r="T69" s="1">
        <f>SUM(OSRRefT22_12x_0)</f>
        <v>0</v>
      </c>
      <c r="U69" s="1"/>
      <c r="V69" s="5">
        <f t="shared" si="42"/>
        <v>0</v>
      </c>
      <c r="W69" s="1"/>
      <c r="X69" s="1">
        <f t="shared" si="43"/>
        <v>0</v>
      </c>
      <c r="Y69" s="1"/>
      <c r="Z69" s="5">
        <f t="shared" si="44"/>
        <v>0</v>
      </c>
    </row>
    <row r="70" spans="1:26" s="24" customFormat="1" hidden="1" outlineLevel="2" x14ac:dyDescent="0.25">
      <c r="A70" s="29"/>
      <c r="B70" s="11" t="str">
        <f>CONCATENATE("          ", "6273", " - ", "RENT")</f>
        <v xml:space="preserve">          6273 - RENT</v>
      </c>
      <c r="C70" s="11"/>
      <c r="D70" s="7"/>
      <c r="E70" s="2"/>
      <c r="F70" s="6">
        <f t="shared" si="37"/>
        <v>0</v>
      </c>
      <c r="G70" s="2"/>
      <c r="H70" s="7">
        <v>0</v>
      </c>
      <c r="I70" s="2"/>
      <c r="J70" s="6">
        <f t="shared" si="38"/>
        <v>0</v>
      </c>
      <c r="K70" s="2"/>
      <c r="L70" s="7">
        <f t="shared" si="39"/>
        <v>0</v>
      </c>
      <c r="M70" s="2"/>
      <c r="N70" s="6">
        <f t="shared" si="40"/>
        <v>0</v>
      </c>
      <c r="O70" s="11"/>
      <c r="P70" s="7"/>
      <c r="Q70" s="2"/>
      <c r="R70" s="6">
        <f t="shared" si="41"/>
        <v>0</v>
      </c>
      <c r="S70" s="2"/>
      <c r="T70" s="7">
        <v>0</v>
      </c>
      <c r="U70" s="2"/>
      <c r="V70" s="6">
        <f t="shared" si="42"/>
        <v>0</v>
      </c>
      <c r="W70" s="2"/>
      <c r="X70" s="7">
        <f t="shared" si="43"/>
        <v>0</v>
      </c>
      <c r="Y70" s="2"/>
      <c r="Z70" s="6">
        <f t="shared" si="44"/>
        <v>0</v>
      </c>
    </row>
    <row r="71" spans="1:26" s="28" customFormat="1" outlineLevel="1" collapsed="1" x14ac:dyDescent="0.25">
      <c r="A71" s="27"/>
      <c r="B71" s="14" t="str">
        <f>CONCATENATE("     ","Repair and Maintenance                            ")</f>
        <v xml:space="preserve">     Repair and Maintenance                            </v>
      </c>
      <c r="C71" s="14"/>
      <c r="D71" s="1">
        <f>SUM(OSRRefD22_13x_0)</f>
        <v>301.45</v>
      </c>
      <c r="E71" s="1"/>
      <c r="F71" s="5">
        <f t="shared" si="37"/>
        <v>0</v>
      </c>
      <c r="G71" s="1"/>
      <c r="H71" s="1">
        <f>SUM(OSRRefH22_13x_0)</f>
        <v>578</v>
      </c>
      <c r="I71" s="1"/>
      <c r="J71" s="5">
        <f t="shared" si="38"/>
        <v>2.2887463372139066E-2</v>
      </c>
      <c r="K71" s="1"/>
      <c r="L71" s="1">
        <f t="shared" si="39"/>
        <v>-276.55</v>
      </c>
      <c r="M71" s="1"/>
      <c r="N71" s="5">
        <f t="shared" si="40"/>
        <v>-0.47846020761245678</v>
      </c>
      <c r="O71" s="14"/>
      <c r="P71" s="1">
        <f>SUM(OSRRefP22_13x_0)</f>
        <v>2291.85</v>
      </c>
      <c r="Q71" s="1"/>
      <c r="R71" s="5">
        <f t="shared" si="41"/>
        <v>0.88609185492195919</v>
      </c>
      <c r="S71" s="1"/>
      <c r="T71" s="1">
        <f>SUM(OSRRefT22_13x_0)</f>
        <v>2460</v>
      </c>
      <c r="U71" s="1"/>
      <c r="V71" s="5">
        <f t="shared" si="42"/>
        <v>1.3203729248407233E-2</v>
      </c>
      <c r="W71" s="1"/>
      <c r="X71" s="1">
        <f t="shared" si="43"/>
        <v>-168.15000000000009</v>
      </c>
      <c r="Y71" s="1"/>
      <c r="Z71" s="5">
        <f t="shared" si="44"/>
        <v>-6.8353658536585399E-2</v>
      </c>
    </row>
    <row r="72" spans="1:26" s="24" customFormat="1" hidden="1" outlineLevel="2" x14ac:dyDescent="0.25">
      <c r="A72" s="29"/>
      <c r="B72" s="11" t="str">
        <f>CONCATENATE("          ", "6371", " - ", "COMPUTER SOFTWARE MAINTENANCE")</f>
        <v xml:space="preserve">          6371 - COMPUTER SOFTWARE MAINTENANCE</v>
      </c>
      <c r="C72" s="11"/>
      <c r="D72" s="7"/>
      <c r="E72" s="2"/>
      <c r="F72" s="6">
        <f t="shared" si="37"/>
        <v>0</v>
      </c>
      <c r="G72" s="2"/>
      <c r="H72" s="7"/>
      <c r="I72" s="2"/>
      <c r="J72" s="6">
        <f t="shared" si="38"/>
        <v>0</v>
      </c>
      <c r="K72" s="2"/>
      <c r="L72" s="7">
        <f t="shared" si="39"/>
        <v>0</v>
      </c>
      <c r="M72" s="2"/>
      <c r="N72" s="6">
        <f t="shared" si="40"/>
        <v>0</v>
      </c>
      <c r="O72" s="11"/>
      <c r="P72" s="7"/>
      <c r="Q72" s="2"/>
      <c r="R72" s="6">
        <f t="shared" si="41"/>
        <v>0</v>
      </c>
      <c r="S72" s="2"/>
      <c r="T72" s="7">
        <v>43</v>
      </c>
      <c r="U72" s="2"/>
      <c r="V72" s="6">
        <f t="shared" si="42"/>
        <v>2.307968933664679E-4</v>
      </c>
      <c r="W72" s="2"/>
      <c r="X72" s="7">
        <f t="shared" si="43"/>
        <v>-43</v>
      </c>
      <c r="Y72" s="2"/>
      <c r="Z72" s="6">
        <f t="shared" si="44"/>
        <v>-1</v>
      </c>
    </row>
    <row r="73" spans="1:26" s="24" customFormat="1" hidden="1" outlineLevel="2" x14ac:dyDescent="0.25">
      <c r="A73" s="29"/>
      <c r="B73" s="11" t="str">
        <f>CONCATENATE("          ", "6372", " - ", "COMPUTER HARDWARE MAINTENANCE")</f>
        <v xml:space="preserve">          6372 - COMPUTER HARDWARE MAINTENANCE</v>
      </c>
      <c r="C73" s="11"/>
      <c r="D73" s="7"/>
      <c r="E73" s="2"/>
      <c r="F73" s="6">
        <f t="shared" si="37"/>
        <v>0</v>
      </c>
      <c r="G73" s="2"/>
      <c r="H73" s="7"/>
      <c r="I73" s="2"/>
      <c r="J73" s="6">
        <f t="shared" si="38"/>
        <v>0</v>
      </c>
      <c r="K73" s="2"/>
      <c r="L73" s="7">
        <f t="shared" si="39"/>
        <v>0</v>
      </c>
      <c r="M73" s="2"/>
      <c r="N73" s="6">
        <f t="shared" si="40"/>
        <v>0</v>
      </c>
      <c r="O73" s="11"/>
      <c r="P73" s="7"/>
      <c r="Q73" s="2"/>
      <c r="R73" s="6">
        <f t="shared" si="41"/>
        <v>0</v>
      </c>
      <c r="S73" s="2"/>
      <c r="T73" s="7">
        <v>437</v>
      </c>
      <c r="U73" s="2"/>
      <c r="V73" s="6">
        <f t="shared" si="42"/>
        <v>2.3455405209568945E-3</v>
      </c>
      <c r="W73" s="2"/>
      <c r="X73" s="7">
        <f t="shared" si="43"/>
        <v>-437</v>
      </c>
      <c r="Y73" s="2"/>
      <c r="Z73" s="6">
        <f t="shared" si="44"/>
        <v>-1</v>
      </c>
    </row>
    <row r="74" spans="1:26" s="24" customFormat="1" hidden="1" outlineLevel="2" x14ac:dyDescent="0.25">
      <c r="A74" s="29"/>
      <c r="B74" s="11" t="str">
        <f>CONCATENATE("          ", "6373", " - ", "MAINTENANCE CONTRACTS")</f>
        <v xml:space="preserve">          6373 - MAINTENANCE CONTRACTS</v>
      </c>
      <c r="C74" s="11"/>
      <c r="D74" s="7">
        <v>301.45</v>
      </c>
      <c r="E74" s="2"/>
      <c r="F74" s="6">
        <f t="shared" si="37"/>
        <v>0</v>
      </c>
      <c r="G74" s="2"/>
      <c r="H74" s="7">
        <v>107</v>
      </c>
      <c r="I74" s="2"/>
      <c r="J74" s="6">
        <f t="shared" si="38"/>
        <v>4.2369525619703812E-3</v>
      </c>
      <c r="K74" s="2"/>
      <c r="L74" s="7">
        <f t="shared" si="39"/>
        <v>194.45</v>
      </c>
      <c r="M74" s="2"/>
      <c r="N74" s="6">
        <f t="shared" si="40"/>
        <v>1.8172897196261681</v>
      </c>
      <c r="O74" s="11"/>
      <c r="P74" s="7">
        <v>956.6</v>
      </c>
      <c r="Q74" s="2"/>
      <c r="R74" s="6">
        <f t="shared" si="41"/>
        <v>0.36984770749322432</v>
      </c>
      <c r="S74" s="2"/>
      <c r="T74" s="7">
        <v>210</v>
      </c>
      <c r="U74" s="2"/>
      <c r="V74" s="6">
        <f t="shared" si="42"/>
        <v>1.1271476187664712E-3</v>
      </c>
      <c r="W74" s="2"/>
      <c r="X74" s="7">
        <f t="shared" si="43"/>
        <v>746.6</v>
      </c>
      <c r="Y74" s="2"/>
      <c r="Z74" s="6">
        <f t="shared" si="44"/>
        <v>3.5552380952380953</v>
      </c>
    </row>
    <row r="75" spans="1:26" s="24" customFormat="1" hidden="1" outlineLevel="2" x14ac:dyDescent="0.25">
      <c r="A75" s="29"/>
      <c r="B75" s="11" t="str">
        <f>CONCATENATE("          ", "6375", " - ", "OUTSIDE REPAIRS &amp; MAINTENANCE")</f>
        <v xml:space="preserve">          6375 - OUTSIDE REPAIRS &amp; MAINTENANCE</v>
      </c>
      <c r="C75" s="11"/>
      <c r="D75" s="7"/>
      <c r="E75" s="2"/>
      <c r="F75" s="6">
        <f t="shared" si="37"/>
        <v>0</v>
      </c>
      <c r="G75" s="2"/>
      <c r="H75" s="7">
        <v>471</v>
      </c>
      <c r="I75" s="2"/>
      <c r="J75" s="6">
        <f t="shared" si="38"/>
        <v>1.8650510810168688E-2</v>
      </c>
      <c r="K75" s="2"/>
      <c r="L75" s="7">
        <f t="shared" si="39"/>
        <v>-471</v>
      </c>
      <c r="M75" s="2"/>
      <c r="N75" s="6">
        <f t="shared" si="40"/>
        <v>-1</v>
      </c>
      <c r="O75" s="11"/>
      <c r="P75" s="7">
        <v>1335.25</v>
      </c>
      <c r="Q75" s="2"/>
      <c r="R75" s="6">
        <f t="shared" si="41"/>
        <v>0.51624414742873481</v>
      </c>
      <c r="S75" s="2"/>
      <c r="T75" s="7">
        <v>1770</v>
      </c>
      <c r="U75" s="2"/>
      <c r="V75" s="6">
        <f t="shared" si="42"/>
        <v>9.500244215317399E-3</v>
      </c>
      <c r="W75" s="2"/>
      <c r="X75" s="7">
        <f t="shared" si="43"/>
        <v>-434.75</v>
      </c>
      <c r="Y75" s="2"/>
      <c r="Z75" s="6">
        <f t="shared" si="44"/>
        <v>-0.24562146892655368</v>
      </c>
    </row>
    <row r="76" spans="1:26" s="28" customFormat="1" outlineLevel="1" collapsed="1" x14ac:dyDescent="0.25">
      <c r="A76" s="27"/>
      <c r="B76" s="14" t="str">
        <f>CONCATENATE("     ","Royalty &amp; Commissions                             ")</f>
        <v xml:space="preserve">     Royalty &amp; Commissions                             </v>
      </c>
      <c r="C76" s="14"/>
      <c r="D76" s="1">
        <f>SUM(OSRRefD22_14x_0)</f>
        <v>0</v>
      </c>
      <c r="E76" s="1"/>
      <c r="F76" s="5">
        <f t="shared" ref="F76:F78" si="45">IF(D$12=0,0,D76/D$12)</f>
        <v>0</v>
      </c>
      <c r="G76" s="1"/>
      <c r="H76" s="1">
        <f>SUM(OSRRefH22_14x_0)</f>
        <v>433</v>
      </c>
      <c r="I76" s="1"/>
      <c r="J76" s="5">
        <f t="shared" ref="J76:J78" si="46">IF(H$12=0,0,H76/H$12)</f>
        <v>1.7145798685356775E-2</v>
      </c>
      <c r="K76" s="1"/>
      <c r="L76" s="1">
        <f t="shared" ref="L76:L78" si="47">+D76-H76</f>
        <v>-433</v>
      </c>
      <c r="M76" s="1"/>
      <c r="N76" s="5">
        <f t="shared" ref="N76:N78" si="48">IF(H76=0,0,L76/H76)</f>
        <v>-1</v>
      </c>
      <c r="O76" s="14"/>
      <c r="P76" s="1">
        <f>SUM(OSRRefP22_14x_0)</f>
        <v>185.7</v>
      </c>
      <c r="Q76" s="1"/>
      <c r="R76" s="5">
        <f t="shared" ref="R76:R78" si="49">IF(P$12=0,0,P76/P$12)</f>
        <v>7.1796695882805517E-2</v>
      </c>
      <c r="S76" s="1"/>
      <c r="T76" s="1">
        <f>SUM(OSRRefT22_14x_0)</f>
        <v>3158</v>
      </c>
      <c r="U76" s="1"/>
      <c r="V76" s="5">
        <f t="shared" ref="V76:V78" si="50">IF(T$12=0,0,T76/T$12)</f>
        <v>1.6950153238402457E-2</v>
      </c>
      <c r="W76" s="1"/>
      <c r="X76" s="1">
        <f t="shared" ref="X76:X78" si="51">+P76-T76</f>
        <v>-2972.3</v>
      </c>
      <c r="Y76" s="1"/>
      <c r="Z76" s="5">
        <f t="shared" ref="Z76:Z78" si="52">IF(T76=0,0,X76/T76)</f>
        <v>-0.94119696010133003</v>
      </c>
    </row>
    <row r="77" spans="1:26" s="24" customFormat="1" hidden="1" outlineLevel="2" x14ac:dyDescent="0.25">
      <c r="A77" s="29"/>
      <c r="B77" s="11" t="str">
        <f>CONCATENATE("          ", "6254", " - ", "ROYALTY &amp; COMMISSIONS")</f>
        <v xml:space="preserve">          6254 - ROYALTY &amp; COMMISSIONS</v>
      </c>
      <c r="C77" s="11"/>
      <c r="D77" s="7"/>
      <c r="E77" s="2"/>
      <c r="F77" s="6">
        <f t="shared" si="45"/>
        <v>0</v>
      </c>
      <c r="G77" s="2"/>
      <c r="H77" s="7"/>
      <c r="I77" s="2"/>
      <c r="J77" s="6">
        <f t="shared" si="46"/>
        <v>0</v>
      </c>
      <c r="K77" s="2"/>
      <c r="L77" s="7">
        <f t="shared" si="47"/>
        <v>0</v>
      </c>
      <c r="M77" s="2"/>
      <c r="N77" s="6">
        <f t="shared" si="48"/>
        <v>0</v>
      </c>
      <c r="O77" s="11"/>
      <c r="P77" s="7">
        <v>185.7</v>
      </c>
      <c r="Q77" s="2"/>
      <c r="R77" s="6">
        <f t="shared" si="49"/>
        <v>7.1796695882805517E-2</v>
      </c>
      <c r="S77" s="2"/>
      <c r="T77" s="7"/>
      <c r="U77" s="2"/>
      <c r="V77" s="6">
        <f t="shared" si="50"/>
        <v>0</v>
      </c>
      <c r="W77" s="2"/>
      <c r="X77" s="7">
        <f t="shared" si="51"/>
        <v>185.7</v>
      </c>
      <c r="Y77" s="2"/>
      <c r="Z77" s="6">
        <f t="shared" si="52"/>
        <v>0</v>
      </c>
    </row>
    <row r="78" spans="1:26" s="24" customFormat="1" hidden="1" outlineLevel="2" x14ac:dyDescent="0.25">
      <c r="A78" s="29"/>
      <c r="B78" s="11" t="str">
        <f>CONCATENATE("          ", "6259", " - ", "ROYALTY &amp; COMMISSIONS")</f>
        <v xml:space="preserve">          6259 - ROYALTY &amp; COMMISSIONS</v>
      </c>
      <c r="C78" s="11"/>
      <c r="D78" s="7"/>
      <c r="E78" s="2"/>
      <c r="F78" s="6">
        <f t="shared" si="45"/>
        <v>0</v>
      </c>
      <c r="G78" s="2"/>
      <c r="H78" s="7">
        <v>433</v>
      </c>
      <c r="I78" s="2"/>
      <c r="J78" s="6">
        <f t="shared" si="46"/>
        <v>1.7145798685356775E-2</v>
      </c>
      <c r="K78" s="2"/>
      <c r="L78" s="7">
        <f t="shared" si="47"/>
        <v>-433</v>
      </c>
      <c r="M78" s="2"/>
      <c r="N78" s="6">
        <f t="shared" si="48"/>
        <v>-1</v>
      </c>
      <c r="O78" s="11"/>
      <c r="P78" s="7"/>
      <c r="Q78" s="2"/>
      <c r="R78" s="6">
        <f t="shared" si="49"/>
        <v>0</v>
      </c>
      <c r="S78" s="2"/>
      <c r="T78" s="7">
        <v>3158</v>
      </c>
      <c r="U78" s="2"/>
      <c r="V78" s="6">
        <f t="shared" si="50"/>
        <v>1.6950153238402457E-2</v>
      </c>
      <c r="W78" s="2"/>
      <c r="X78" s="7">
        <f t="shared" si="51"/>
        <v>-3158</v>
      </c>
      <c r="Y78" s="2"/>
      <c r="Z78" s="6">
        <f t="shared" si="52"/>
        <v>-1</v>
      </c>
    </row>
    <row r="79" spans="1:26" s="28" customFormat="1" outlineLevel="1" collapsed="1" x14ac:dyDescent="0.25">
      <c r="A79" s="27"/>
      <c r="B79" s="14" t="str">
        <f>CONCATENATE("     ","Services                                          ")</f>
        <v xml:space="preserve">     Services                                          </v>
      </c>
      <c r="C79" s="14"/>
      <c r="D79" s="1">
        <f>SUM(OSRRefD22_15x_0)</f>
        <v>998.65</v>
      </c>
      <c r="E79" s="1"/>
      <c r="F79" s="5">
        <f t="shared" ref="F79:F83" si="53">IF(D$12=0,0,D79/D$12)</f>
        <v>0</v>
      </c>
      <c r="G79" s="1"/>
      <c r="H79" s="1">
        <f>SUM(OSRRefH22_15x_0)</f>
        <v>2126</v>
      </c>
      <c r="I79" s="1"/>
      <c r="J79" s="5">
        <f t="shared" ref="J79:J83" si="54">IF(H$12=0,0,H79/H$12)</f>
        <v>8.418468361447691E-2</v>
      </c>
      <c r="K79" s="1"/>
      <c r="L79" s="1">
        <f t="shared" ref="L79:L83" si="55">+D79-H79</f>
        <v>-1127.3499999999999</v>
      </c>
      <c r="M79" s="1"/>
      <c r="N79" s="5">
        <f t="shared" ref="N79:N83" si="56">IF(H79=0,0,L79/H79)</f>
        <v>-0.53026810912511757</v>
      </c>
      <c r="O79" s="14"/>
      <c r="P79" s="1">
        <f>SUM(OSRRefP22_15x_0)</f>
        <v>353.89</v>
      </c>
      <c r="Q79" s="1"/>
      <c r="R79" s="5">
        <f t="shared" ref="R79:R83" si="57">IF(P$12=0,0,P79/P$12)</f>
        <v>0.13682354715113648</v>
      </c>
      <c r="S79" s="1"/>
      <c r="T79" s="1">
        <f>SUM(OSRRefT22_15x_0)</f>
        <v>5832</v>
      </c>
      <c r="U79" s="1"/>
      <c r="V79" s="5">
        <f t="shared" ref="V79:V83" si="58">IF(T$12=0,0,T79/T$12)</f>
        <v>3.1302499584028858E-2</v>
      </c>
      <c r="W79" s="1"/>
      <c r="X79" s="1">
        <f t="shared" ref="X79:X83" si="59">+P79-T79</f>
        <v>-5478.11</v>
      </c>
      <c r="Y79" s="1"/>
      <c r="Z79" s="5">
        <f t="shared" ref="Z79:Z83" si="60">IF(T79=0,0,X79/T79)</f>
        <v>-0.93931927297668028</v>
      </c>
    </row>
    <row r="80" spans="1:26" s="24" customFormat="1" hidden="1" outlineLevel="2" x14ac:dyDescent="0.25">
      <c r="A80" s="29"/>
      <c r="B80" s="11" t="str">
        <f>CONCATENATE("          ", "6282", " - ", "JANITORIAL/EXTERMINATOR EXPENS")</f>
        <v xml:space="preserve">          6282 - JANITORIAL/EXTERMINATOR EXPENS</v>
      </c>
      <c r="C80" s="11"/>
      <c r="D80" s="7">
        <v>709.65</v>
      </c>
      <c r="E80" s="2"/>
      <c r="F80" s="6">
        <f t="shared" si="53"/>
        <v>0</v>
      </c>
      <c r="G80" s="2"/>
      <c r="H80" s="7">
        <v>787</v>
      </c>
      <c r="I80" s="2"/>
      <c r="J80" s="6">
        <f t="shared" si="54"/>
        <v>3.1163380058604577E-2</v>
      </c>
      <c r="K80" s="2"/>
      <c r="L80" s="7">
        <f t="shared" si="55"/>
        <v>-77.350000000000023</v>
      </c>
      <c r="M80" s="2"/>
      <c r="N80" s="6">
        <f t="shared" si="56"/>
        <v>-9.8284625158831032E-2</v>
      </c>
      <c r="O80" s="11"/>
      <c r="P80" s="7">
        <v>580.49</v>
      </c>
      <c r="Q80" s="2"/>
      <c r="R80" s="6">
        <f t="shared" si="57"/>
        <v>0.22443330098551306</v>
      </c>
      <c r="S80" s="2"/>
      <c r="T80" s="7">
        <v>1101</v>
      </c>
      <c r="U80" s="2"/>
      <c r="V80" s="6">
        <f t="shared" si="58"/>
        <v>5.9094739441042125E-3</v>
      </c>
      <c r="W80" s="2"/>
      <c r="X80" s="7">
        <f t="shared" si="59"/>
        <v>-520.51</v>
      </c>
      <c r="Y80" s="2"/>
      <c r="Z80" s="6">
        <f t="shared" si="60"/>
        <v>-0.47276112624886468</v>
      </c>
    </row>
    <row r="81" spans="1:26" s="24" customFormat="1" hidden="1" outlineLevel="2" x14ac:dyDescent="0.25">
      <c r="A81" s="29"/>
      <c r="B81" s="11" t="str">
        <f>CONCATENATE("          ", "6284", " - ", "TRASH REMOVAL EXPENSE")</f>
        <v xml:space="preserve">          6284 - TRASH REMOVAL EXPENSE</v>
      </c>
      <c r="C81" s="11"/>
      <c r="D81" s="7">
        <v>289</v>
      </c>
      <c r="E81" s="2"/>
      <c r="F81" s="6">
        <f t="shared" si="53"/>
        <v>0</v>
      </c>
      <c r="G81" s="2"/>
      <c r="H81" s="7">
        <v>785</v>
      </c>
      <c r="I81" s="2"/>
      <c r="J81" s="6">
        <f t="shared" si="54"/>
        <v>3.1084184683614478E-2</v>
      </c>
      <c r="K81" s="2"/>
      <c r="L81" s="7">
        <f t="shared" si="55"/>
        <v>-496</v>
      </c>
      <c r="M81" s="2"/>
      <c r="N81" s="6">
        <f t="shared" si="56"/>
        <v>-0.63184713375796175</v>
      </c>
      <c r="O81" s="11"/>
      <c r="P81" s="7">
        <v>578</v>
      </c>
      <c r="Q81" s="2"/>
      <c r="R81" s="6">
        <f t="shared" si="57"/>
        <v>0.22347059892440274</v>
      </c>
      <c r="S81" s="2"/>
      <c r="T81" s="7">
        <v>1733</v>
      </c>
      <c r="U81" s="2"/>
      <c r="V81" s="6">
        <f t="shared" si="58"/>
        <v>9.3016515396299737E-3</v>
      </c>
      <c r="W81" s="2"/>
      <c r="X81" s="7">
        <f t="shared" si="59"/>
        <v>-1155</v>
      </c>
      <c r="Y81" s="2"/>
      <c r="Z81" s="6">
        <f t="shared" si="60"/>
        <v>-0.66647432198499712</v>
      </c>
    </row>
    <row r="82" spans="1:26" s="24" customFormat="1" hidden="1" outlineLevel="2" x14ac:dyDescent="0.25">
      <c r="A82" s="29"/>
      <c r="B82" s="11" t="str">
        <f>CONCATENATE("          ", "6285", " - ", "JANITORIAL SERVICES")</f>
        <v xml:space="preserve">          6285 - JANITORIAL SERVICES</v>
      </c>
      <c r="C82" s="11"/>
      <c r="D82" s="7"/>
      <c r="E82" s="2"/>
      <c r="F82" s="6">
        <f t="shared" si="53"/>
        <v>0</v>
      </c>
      <c r="G82" s="2"/>
      <c r="H82" s="7">
        <v>450</v>
      </c>
      <c r="I82" s="2"/>
      <c r="J82" s="6">
        <f t="shared" si="54"/>
        <v>1.7818959372772631E-2</v>
      </c>
      <c r="K82" s="2"/>
      <c r="L82" s="7">
        <f t="shared" si="55"/>
        <v>-450</v>
      </c>
      <c r="M82" s="2"/>
      <c r="N82" s="6">
        <f t="shared" si="56"/>
        <v>-1</v>
      </c>
      <c r="O82" s="11"/>
      <c r="P82" s="7">
        <v>-804.6</v>
      </c>
      <c r="Q82" s="2"/>
      <c r="R82" s="6">
        <f t="shared" si="57"/>
        <v>-0.31108035275877932</v>
      </c>
      <c r="S82" s="2"/>
      <c r="T82" s="7">
        <v>2413</v>
      </c>
      <c r="U82" s="2"/>
      <c r="V82" s="6">
        <f t="shared" si="58"/>
        <v>1.295146287658807E-2</v>
      </c>
      <c r="W82" s="2"/>
      <c r="X82" s="7">
        <f t="shared" si="59"/>
        <v>-3217.6</v>
      </c>
      <c r="Y82" s="2"/>
      <c r="Z82" s="6">
        <f t="shared" si="60"/>
        <v>-1.3334438458350601</v>
      </c>
    </row>
    <row r="83" spans="1:26" s="24" customFormat="1" hidden="1" outlineLevel="2" x14ac:dyDescent="0.25">
      <c r="A83" s="29"/>
      <c r="B83" s="11" t="str">
        <f>CONCATENATE("          ", "6286", " - ", "LAUNDRY EXPENSE")</f>
        <v xml:space="preserve">          6286 - LAUNDRY EXPENSE</v>
      </c>
      <c r="C83" s="11"/>
      <c r="D83" s="7"/>
      <c r="E83" s="2"/>
      <c r="F83" s="6">
        <f t="shared" si="53"/>
        <v>0</v>
      </c>
      <c r="G83" s="2"/>
      <c r="H83" s="7">
        <v>104</v>
      </c>
      <c r="I83" s="2"/>
      <c r="J83" s="6">
        <f t="shared" si="54"/>
        <v>4.1181594994852298E-3</v>
      </c>
      <c r="K83" s="2"/>
      <c r="L83" s="7">
        <f t="shared" si="55"/>
        <v>-104</v>
      </c>
      <c r="M83" s="2"/>
      <c r="N83" s="6">
        <f t="shared" si="56"/>
        <v>-1</v>
      </c>
      <c r="O83" s="11"/>
      <c r="P83" s="7"/>
      <c r="Q83" s="2"/>
      <c r="R83" s="6">
        <f t="shared" si="57"/>
        <v>0</v>
      </c>
      <c r="S83" s="2"/>
      <c r="T83" s="7">
        <v>585</v>
      </c>
      <c r="U83" s="2"/>
      <c r="V83" s="6">
        <f t="shared" si="58"/>
        <v>3.139911223706598E-3</v>
      </c>
      <c r="W83" s="2"/>
      <c r="X83" s="7">
        <f t="shared" si="59"/>
        <v>-585</v>
      </c>
      <c r="Y83" s="2"/>
      <c r="Z83" s="6">
        <f t="shared" si="60"/>
        <v>-1</v>
      </c>
    </row>
    <row r="84" spans="1:26" s="28" customFormat="1" outlineLevel="1" collapsed="1" x14ac:dyDescent="0.25">
      <c r="A84" s="27"/>
      <c r="B84" s="14" t="str">
        <f>CONCATENATE("     ","Subscriptions &amp; Dues                              ")</f>
        <v xml:space="preserve">     Subscriptions &amp; Dues                              </v>
      </c>
      <c r="C84" s="14"/>
      <c r="D84" s="1">
        <f>SUM(OSRRefD22_16x_0)</f>
        <v>0</v>
      </c>
      <c r="E84" s="1"/>
      <c r="F84" s="5">
        <f t="shared" ref="F84:F93" si="61">IF(D$12=0,0,D84/D$12)</f>
        <v>0</v>
      </c>
      <c r="G84" s="1"/>
      <c r="H84" s="1">
        <f>SUM(OSRRefH22_16x_0)</f>
        <v>176</v>
      </c>
      <c r="I84" s="1"/>
      <c r="J84" s="5">
        <f t="shared" ref="J84:J93" si="62">IF(H$12=0,0,H84/H$12)</f>
        <v>6.9691929991288508E-3</v>
      </c>
      <c r="K84" s="1"/>
      <c r="L84" s="1">
        <f t="shared" ref="L84:L93" si="63">+D84-H84</f>
        <v>-176</v>
      </c>
      <c r="M84" s="1"/>
      <c r="N84" s="5">
        <f t="shared" ref="N84:N93" si="64">IF(H84=0,0,L84/H84)</f>
        <v>-1</v>
      </c>
      <c r="O84" s="14"/>
      <c r="P84" s="1">
        <f>SUM(OSRRefP22_16x_0)</f>
        <v>0</v>
      </c>
      <c r="Q84" s="1"/>
      <c r="R84" s="5">
        <f t="shared" ref="R84:R93" si="65">IF(P$12=0,0,P84/P$12)</f>
        <v>0</v>
      </c>
      <c r="S84" s="1"/>
      <c r="T84" s="1">
        <f>SUM(OSRRefT22_16x_0)</f>
        <v>1056</v>
      </c>
      <c r="U84" s="1"/>
      <c r="V84" s="5">
        <f t="shared" ref="V84:V93" si="66">IF(T$12=0,0,T84/T$12)</f>
        <v>5.6679423115113979E-3</v>
      </c>
      <c r="W84" s="1"/>
      <c r="X84" s="1">
        <f t="shared" ref="X84:X93" si="67">+P84-T84</f>
        <v>-1056</v>
      </c>
      <c r="Y84" s="1"/>
      <c r="Z84" s="5">
        <f t="shared" ref="Z84:Z93" si="68">IF(T84=0,0,X84/T84)</f>
        <v>-1</v>
      </c>
    </row>
    <row r="85" spans="1:26" s="24" customFormat="1" hidden="1" outlineLevel="2" x14ac:dyDescent="0.25">
      <c r="A85" s="29"/>
      <c r="B85" s="11" t="str">
        <f>CONCATENATE("          ", "6275", " - ", "SUBSCRIPTIONS")</f>
        <v xml:space="preserve">          6275 - SUBSCRIPTIONS</v>
      </c>
      <c r="C85" s="11"/>
      <c r="D85" s="7"/>
      <c r="E85" s="2"/>
      <c r="F85" s="6">
        <f t="shared" si="61"/>
        <v>0</v>
      </c>
      <c r="G85" s="2"/>
      <c r="H85" s="7">
        <v>176</v>
      </c>
      <c r="I85" s="2"/>
      <c r="J85" s="6">
        <f t="shared" si="62"/>
        <v>6.9691929991288508E-3</v>
      </c>
      <c r="K85" s="2"/>
      <c r="L85" s="7">
        <f t="shared" si="63"/>
        <v>-176</v>
      </c>
      <c r="M85" s="2"/>
      <c r="N85" s="6">
        <f t="shared" si="64"/>
        <v>-1</v>
      </c>
      <c r="O85" s="11"/>
      <c r="P85" s="7"/>
      <c r="Q85" s="2"/>
      <c r="R85" s="6">
        <f t="shared" si="65"/>
        <v>0</v>
      </c>
      <c r="S85" s="2"/>
      <c r="T85" s="7">
        <v>1056</v>
      </c>
      <c r="U85" s="2"/>
      <c r="V85" s="6">
        <f t="shared" si="66"/>
        <v>5.6679423115113979E-3</v>
      </c>
      <c r="W85" s="2"/>
      <c r="X85" s="7">
        <f t="shared" si="67"/>
        <v>-1056</v>
      </c>
      <c r="Y85" s="2"/>
      <c r="Z85" s="6">
        <f t="shared" si="68"/>
        <v>-1</v>
      </c>
    </row>
    <row r="86" spans="1:26" s="28" customFormat="1" outlineLevel="1" collapsed="1" x14ac:dyDescent="0.25">
      <c r="A86" s="27"/>
      <c r="B86" s="14" t="str">
        <f>CONCATENATE("     ","Supplies                                          ")</f>
        <v xml:space="preserve">     Supplies                                          </v>
      </c>
      <c r="C86" s="14"/>
      <c r="D86" s="1">
        <f>SUM(OSRRefD22_17x_0)</f>
        <v>0</v>
      </c>
      <c r="E86" s="1"/>
      <c r="F86" s="5">
        <f t="shared" si="61"/>
        <v>0</v>
      </c>
      <c r="G86" s="1"/>
      <c r="H86" s="1">
        <f>SUM(OSRRefH22_17x_0)</f>
        <v>1223</v>
      </c>
      <c r="I86" s="1"/>
      <c r="J86" s="5">
        <f t="shared" si="62"/>
        <v>4.84279718064465E-2</v>
      </c>
      <c r="K86" s="1"/>
      <c r="L86" s="1">
        <f t="shared" si="63"/>
        <v>-1223</v>
      </c>
      <c r="M86" s="1"/>
      <c r="N86" s="5">
        <f t="shared" si="64"/>
        <v>-1</v>
      </c>
      <c r="O86" s="14"/>
      <c r="P86" s="1">
        <f>SUM(OSRRefP22_17x_0)</f>
        <v>1094.0899999999999</v>
      </c>
      <c r="Q86" s="1"/>
      <c r="R86" s="5">
        <f t="shared" si="65"/>
        <v>0.42300509961453248</v>
      </c>
      <c r="S86" s="1"/>
      <c r="T86" s="1">
        <f>SUM(OSRRefT22_17x_0)</f>
        <v>15049</v>
      </c>
      <c r="U86" s="1"/>
      <c r="V86" s="5">
        <f t="shared" si="66"/>
        <v>8.0773545308650593E-2</v>
      </c>
      <c r="W86" s="1"/>
      <c r="X86" s="1">
        <f t="shared" si="67"/>
        <v>-13954.91</v>
      </c>
      <c r="Y86" s="1"/>
      <c r="Z86" s="5">
        <f t="shared" si="68"/>
        <v>-0.92729815934613591</v>
      </c>
    </row>
    <row r="87" spans="1:26" s="24" customFormat="1" hidden="1" outlineLevel="2" x14ac:dyDescent="0.25">
      <c r="A87" s="29"/>
      <c r="B87" s="11" t="str">
        <f>CONCATENATE("          ", "6234", " - ", "EXPENDABLE SUPPLIES &amp; EQUIPMEN")</f>
        <v xml:space="preserve">          6234 - EXPENDABLE SUPPLIES &amp; EQUIPMEN</v>
      </c>
      <c r="C87" s="11"/>
      <c r="D87" s="7"/>
      <c r="E87" s="2"/>
      <c r="F87" s="6">
        <f t="shared" si="61"/>
        <v>0</v>
      </c>
      <c r="G87" s="2"/>
      <c r="H87" s="7"/>
      <c r="I87" s="2"/>
      <c r="J87" s="6">
        <f t="shared" si="62"/>
        <v>0</v>
      </c>
      <c r="K87" s="2"/>
      <c r="L87" s="7">
        <f t="shared" si="63"/>
        <v>0</v>
      </c>
      <c r="M87" s="2"/>
      <c r="N87" s="6">
        <f t="shared" si="64"/>
        <v>0</v>
      </c>
      <c r="O87" s="11"/>
      <c r="P87" s="7">
        <v>316.67</v>
      </c>
      <c r="Q87" s="2"/>
      <c r="R87" s="6">
        <f t="shared" si="65"/>
        <v>0.12243327778787304</v>
      </c>
      <c r="S87" s="2"/>
      <c r="T87" s="7">
        <v>28</v>
      </c>
      <c r="U87" s="2"/>
      <c r="V87" s="6">
        <f t="shared" si="66"/>
        <v>1.5028634916886281E-4</v>
      </c>
      <c r="W87" s="2"/>
      <c r="X87" s="7">
        <f t="shared" si="67"/>
        <v>288.67</v>
      </c>
      <c r="Y87" s="2"/>
      <c r="Z87" s="6">
        <f t="shared" si="68"/>
        <v>10.309642857142858</v>
      </c>
    </row>
    <row r="88" spans="1:26" s="24" customFormat="1" hidden="1" outlineLevel="2" x14ac:dyDescent="0.25">
      <c r="A88" s="29"/>
      <c r="B88" s="11" t="str">
        <f>CONCATENATE("          ", "6235", " - ", "COVID-19 EXPENSES")</f>
        <v xml:space="preserve">          6235 - COVID-19 EXPENSES</v>
      </c>
      <c r="C88" s="11"/>
      <c r="D88" s="7"/>
      <c r="E88" s="2"/>
      <c r="F88" s="6">
        <f t="shared" si="61"/>
        <v>0</v>
      </c>
      <c r="G88" s="2"/>
      <c r="H88" s="7">
        <v>400</v>
      </c>
      <c r="I88" s="2"/>
      <c r="J88" s="6">
        <f t="shared" si="62"/>
        <v>1.5839074998020116E-2</v>
      </c>
      <c r="K88" s="2"/>
      <c r="L88" s="7">
        <f t="shared" si="63"/>
        <v>-400</v>
      </c>
      <c r="M88" s="2"/>
      <c r="N88" s="6">
        <f t="shared" si="64"/>
        <v>-1</v>
      </c>
      <c r="O88" s="11"/>
      <c r="P88" s="7">
        <v>207.27</v>
      </c>
      <c r="Q88" s="2"/>
      <c r="R88" s="6">
        <f t="shared" si="65"/>
        <v>8.0136247472423802E-2</v>
      </c>
      <c r="S88" s="2"/>
      <c r="T88" s="7">
        <v>2900</v>
      </c>
      <c r="U88" s="2"/>
      <c r="V88" s="6">
        <f t="shared" si="66"/>
        <v>1.5565371878203648E-2</v>
      </c>
      <c r="W88" s="2"/>
      <c r="X88" s="7">
        <f t="shared" si="67"/>
        <v>-2692.73</v>
      </c>
      <c r="Y88" s="2"/>
      <c r="Z88" s="6">
        <f t="shared" si="68"/>
        <v>-0.92852758620689657</v>
      </c>
    </row>
    <row r="89" spans="1:26" s="24" customFormat="1" hidden="1" outlineLevel="2" x14ac:dyDescent="0.25">
      <c r="A89" s="29"/>
      <c r="B89" s="11" t="str">
        <f>CONCATENATE("          ", "6237", " - ", "JANITORIAL SUPPLIES")</f>
        <v xml:space="preserve">          6237 - JANITORIAL SUPPLIES</v>
      </c>
      <c r="C89" s="11"/>
      <c r="D89" s="7"/>
      <c r="E89" s="2"/>
      <c r="F89" s="6">
        <f t="shared" si="61"/>
        <v>0</v>
      </c>
      <c r="G89" s="2"/>
      <c r="H89" s="7">
        <v>146</v>
      </c>
      <c r="I89" s="2"/>
      <c r="J89" s="6">
        <f t="shared" si="62"/>
        <v>5.7812623742773423E-3</v>
      </c>
      <c r="K89" s="2"/>
      <c r="L89" s="7">
        <f t="shared" si="63"/>
        <v>-146</v>
      </c>
      <c r="M89" s="2"/>
      <c r="N89" s="6">
        <f t="shared" si="64"/>
        <v>-1</v>
      </c>
      <c r="O89" s="11"/>
      <c r="P89" s="7">
        <v>317.57</v>
      </c>
      <c r="Q89" s="2"/>
      <c r="R89" s="6">
        <f t="shared" si="65"/>
        <v>0.12278124238827436</v>
      </c>
      <c r="S89" s="2"/>
      <c r="T89" s="7">
        <v>400</v>
      </c>
      <c r="U89" s="2"/>
      <c r="V89" s="6">
        <f t="shared" si="66"/>
        <v>2.1469478452694687E-3</v>
      </c>
      <c r="W89" s="2"/>
      <c r="X89" s="7">
        <f t="shared" si="67"/>
        <v>-82.43</v>
      </c>
      <c r="Y89" s="2"/>
      <c r="Z89" s="6">
        <f t="shared" si="68"/>
        <v>-0.20607500000000001</v>
      </c>
    </row>
    <row r="90" spans="1:26" s="24" customFormat="1" hidden="1" outlineLevel="2" x14ac:dyDescent="0.25">
      <c r="A90" s="29"/>
      <c r="B90" s="11" t="str">
        <f>CONCATENATE("          ", "6241", " - ", "OFFICE EXPENSE")</f>
        <v xml:space="preserve">          6241 - OFFICE EXPENSE</v>
      </c>
      <c r="C90" s="11"/>
      <c r="D90" s="7"/>
      <c r="E90" s="2"/>
      <c r="F90" s="6">
        <f t="shared" si="61"/>
        <v>0</v>
      </c>
      <c r="G90" s="2"/>
      <c r="H90" s="7"/>
      <c r="I90" s="2"/>
      <c r="J90" s="6">
        <f t="shared" si="62"/>
        <v>0</v>
      </c>
      <c r="K90" s="2"/>
      <c r="L90" s="7">
        <f t="shared" si="63"/>
        <v>0</v>
      </c>
      <c r="M90" s="2"/>
      <c r="N90" s="6">
        <f t="shared" si="64"/>
        <v>0</v>
      </c>
      <c r="O90" s="11"/>
      <c r="P90" s="7">
        <v>131.30000000000001</v>
      </c>
      <c r="Q90" s="2"/>
      <c r="R90" s="6">
        <f t="shared" si="65"/>
        <v>5.0764168925214674E-2</v>
      </c>
      <c r="S90" s="2"/>
      <c r="T90" s="7"/>
      <c r="U90" s="2"/>
      <c r="V90" s="6">
        <f t="shared" si="66"/>
        <v>0</v>
      </c>
      <c r="W90" s="2"/>
      <c r="X90" s="7">
        <f t="shared" si="67"/>
        <v>131.30000000000001</v>
      </c>
      <c r="Y90" s="2"/>
      <c r="Z90" s="6">
        <f t="shared" si="68"/>
        <v>0</v>
      </c>
    </row>
    <row r="91" spans="1:26" s="24" customFormat="1" hidden="1" outlineLevel="2" x14ac:dyDescent="0.25">
      <c r="A91" s="29"/>
      <c r="B91" s="11" t="str">
        <f>CONCATENATE("          ", "6243", " - ", "PAPER SUPPLIES")</f>
        <v xml:space="preserve">          6243 - PAPER SUPPLIES</v>
      </c>
      <c r="C91" s="11"/>
      <c r="D91" s="7"/>
      <c r="E91" s="2"/>
      <c r="F91" s="6">
        <f t="shared" si="61"/>
        <v>0</v>
      </c>
      <c r="G91" s="2"/>
      <c r="H91" s="7"/>
      <c r="I91" s="2"/>
      <c r="J91" s="6">
        <f t="shared" si="62"/>
        <v>0</v>
      </c>
      <c r="K91" s="2"/>
      <c r="L91" s="7">
        <f t="shared" si="63"/>
        <v>0</v>
      </c>
      <c r="M91" s="2"/>
      <c r="N91" s="6">
        <f t="shared" si="64"/>
        <v>0</v>
      </c>
      <c r="O91" s="11"/>
      <c r="P91" s="7"/>
      <c r="Q91" s="2"/>
      <c r="R91" s="6">
        <f t="shared" si="65"/>
        <v>0</v>
      </c>
      <c r="S91" s="2"/>
      <c r="T91" s="7">
        <v>676</v>
      </c>
      <c r="U91" s="2"/>
      <c r="V91" s="6">
        <f t="shared" si="66"/>
        <v>3.6283418585054024E-3</v>
      </c>
      <c r="W91" s="2"/>
      <c r="X91" s="7">
        <f t="shared" si="67"/>
        <v>-676</v>
      </c>
      <c r="Y91" s="2"/>
      <c r="Z91" s="6">
        <f t="shared" si="68"/>
        <v>-1</v>
      </c>
    </row>
    <row r="92" spans="1:26" s="24" customFormat="1" hidden="1" outlineLevel="2" x14ac:dyDescent="0.25">
      <c r="A92" s="29"/>
      <c r="B92" s="11" t="str">
        <f>CONCATENATE("          ", "6247", " - ", "STORE SUPPLIES")</f>
        <v xml:space="preserve">          6247 - STORE SUPPLIES</v>
      </c>
      <c r="C92" s="11"/>
      <c r="D92" s="7"/>
      <c r="E92" s="2"/>
      <c r="F92" s="6">
        <f t="shared" si="61"/>
        <v>0</v>
      </c>
      <c r="G92" s="2"/>
      <c r="H92" s="7">
        <v>677</v>
      </c>
      <c r="I92" s="2"/>
      <c r="J92" s="6">
        <f t="shared" si="62"/>
        <v>2.6807634434149047E-2</v>
      </c>
      <c r="K92" s="2"/>
      <c r="L92" s="7">
        <f t="shared" si="63"/>
        <v>-677</v>
      </c>
      <c r="M92" s="2"/>
      <c r="N92" s="6">
        <f t="shared" si="64"/>
        <v>-1</v>
      </c>
      <c r="O92" s="11"/>
      <c r="P92" s="7">
        <v>121.28</v>
      </c>
      <c r="Q92" s="2"/>
      <c r="R92" s="6">
        <f t="shared" si="65"/>
        <v>4.6890163040746648E-2</v>
      </c>
      <c r="S92" s="2"/>
      <c r="T92" s="7">
        <v>10945</v>
      </c>
      <c r="U92" s="2"/>
      <c r="V92" s="6">
        <f t="shared" si="66"/>
        <v>5.874586041618584E-2</v>
      </c>
      <c r="W92" s="2"/>
      <c r="X92" s="7">
        <f t="shared" si="67"/>
        <v>-10823.72</v>
      </c>
      <c r="Y92" s="2"/>
      <c r="Z92" s="6">
        <f t="shared" si="68"/>
        <v>-0.98891914116034718</v>
      </c>
    </row>
    <row r="93" spans="1:26" s="24" customFormat="1" hidden="1" outlineLevel="2" x14ac:dyDescent="0.25">
      <c r="A93" s="29"/>
      <c r="B93" s="11" t="str">
        <f>CONCATENATE("          ", "6248", " - ", "UNIFORMS")</f>
        <v xml:space="preserve">          6248 - UNIFORMS</v>
      </c>
      <c r="C93" s="11"/>
      <c r="D93" s="7"/>
      <c r="E93" s="2"/>
      <c r="F93" s="6">
        <f t="shared" si="61"/>
        <v>0</v>
      </c>
      <c r="G93" s="2"/>
      <c r="H93" s="7"/>
      <c r="I93" s="2"/>
      <c r="J93" s="6">
        <f t="shared" si="62"/>
        <v>0</v>
      </c>
      <c r="K93" s="2"/>
      <c r="L93" s="7">
        <f t="shared" si="63"/>
        <v>0</v>
      </c>
      <c r="M93" s="2"/>
      <c r="N93" s="6">
        <f t="shared" si="64"/>
        <v>0</v>
      </c>
      <c r="O93" s="11"/>
      <c r="P93" s="7"/>
      <c r="Q93" s="2"/>
      <c r="R93" s="6">
        <f t="shared" si="65"/>
        <v>0</v>
      </c>
      <c r="S93" s="2"/>
      <c r="T93" s="7">
        <v>100</v>
      </c>
      <c r="U93" s="2"/>
      <c r="V93" s="6">
        <f t="shared" si="66"/>
        <v>5.3673696131736719E-4</v>
      </c>
      <c r="W93" s="2"/>
      <c r="X93" s="7">
        <f t="shared" si="67"/>
        <v>-100</v>
      </c>
      <c r="Y93" s="2"/>
      <c r="Z93" s="6">
        <f t="shared" si="68"/>
        <v>-1</v>
      </c>
    </row>
    <row r="94" spans="1:26" s="28" customFormat="1" outlineLevel="1" collapsed="1" x14ac:dyDescent="0.25">
      <c r="A94" s="27"/>
      <c r="B94" s="14" t="str">
        <f>CONCATENATE("     ","Telephone/Data Lines                              ")</f>
        <v xml:space="preserve">     Telephone/Data Lines                              </v>
      </c>
      <c r="C94" s="14"/>
      <c r="D94" s="1">
        <f>SUM(OSRRefD22_18x_0)</f>
        <v>275.55</v>
      </c>
      <c r="E94" s="1"/>
      <c r="F94" s="5">
        <f t="shared" ref="F94:F96" si="69">IF(D$12=0,0,D94/D$12)</f>
        <v>0</v>
      </c>
      <c r="G94" s="1"/>
      <c r="H94" s="1">
        <f>SUM(OSRRefH22_18x_0)</f>
        <v>235</v>
      </c>
      <c r="I94" s="1"/>
      <c r="J94" s="5">
        <f t="shared" ref="J94:J96" si="70">IF(H$12=0,0,H94/H$12)</f>
        <v>9.3054565613368175E-3</v>
      </c>
      <c r="K94" s="1"/>
      <c r="L94" s="1">
        <f t="shared" ref="L94:L96" si="71">+D94-H94</f>
        <v>40.550000000000011</v>
      </c>
      <c r="M94" s="1"/>
      <c r="N94" s="5">
        <f t="shared" ref="N94:N96" si="72">IF(H94=0,0,L94/H94)</f>
        <v>0.17255319148936174</v>
      </c>
      <c r="O94" s="14"/>
      <c r="P94" s="1">
        <f>SUM(OSRRefP22_18x_0)</f>
        <v>2660.29</v>
      </c>
      <c r="Q94" s="1"/>
      <c r="R94" s="5">
        <f t="shared" ref="R94:R96" si="73">IF(P$12=0,0,P94/P$12)</f>
        <v>1.0285408297795837</v>
      </c>
      <c r="S94" s="1"/>
      <c r="T94" s="1">
        <f>SUM(OSRRefT22_18x_0)</f>
        <v>1705</v>
      </c>
      <c r="U94" s="1"/>
      <c r="V94" s="5">
        <f t="shared" ref="V94:V96" si="74">IF(T$12=0,0,T94/T$12)</f>
        <v>9.1513651904611103E-3</v>
      </c>
      <c r="W94" s="1"/>
      <c r="X94" s="1">
        <f t="shared" ref="X94:X96" si="75">+P94-T94</f>
        <v>955.29</v>
      </c>
      <c r="Y94" s="1"/>
      <c r="Z94" s="5">
        <f t="shared" ref="Z94:Z96" si="76">IF(T94=0,0,X94/T94)</f>
        <v>0.56028739002932548</v>
      </c>
    </row>
    <row r="95" spans="1:26" s="24" customFormat="1" hidden="1" outlineLevel="2" x14ac:dyDescent="0.25">
      <c r="A95" s="29"/>
      <c r="B95" s="11" t="str">
        <f>CONCATENATE("          ", "6303", " - ", "DATA PHONE LINES")</f>
        <v xml:space="preserve">          6303 - DATA PHONE LINES</v>
      </c>
      <c r="C95" s="11"/>
      <c r="D95" s="7"/>
      <c r="E95" s="2"/>
      <c r="F95" s="6">
        <f t="shared" si="69"/>
        <v>0</v>
      </c>
      <c r="G95" s="2"/>
      <c r="H95" s="7">
        <v>235</v>
      </c>
      <c r="I95" s="2"/>
      <c r="J95" s="6">
        <f t="shared" si="70"/>
        <v>9.3054565613368175E-3</v>
      </c>
      <c r="K95" s="2"/>
      <c r="L95" s="7">
        <f t="shared" si="71"/>
        <v>-235</v>
      </c>
      <c r="M95" s="2"/>
      <c r="N95" s="6">
        <f t="shared" si="72"/>
        <v>-1</v>
      </c>
      <c r="O95" s="11"/>
      <c r="P95" s="7"/>
      <c r="Q95" s="2"/>
      <c r="R95" s="6">
        <f t="shared" si="73"/>
        <v>0</v>
      </c>
      <c r="S95" s="2"/>
      <c r="T95" s="7">
        <v>1405</v>
      </c>
      <c r="U95" s="2"/>
      <c r="V95" s="6">
        <f t="shared" si="74"/>
        <v>7.5411543065090087E-3</v>
      </c>
      <c r="W95" s="2"/>
      <c r="X95" s="7">
        <f t="shared" si="75"/>
        <v>-1405</v>
      </c>
      <c r="Y95" s="2"/>
      <c r="Z95" s="6">
        <f t="shared" si="76"/>
        <v>-1</v>
      </c>
    </row>
    <row r="96" spans="1:26" s="24" customFormat="1" hidden="1" outlineLevel="2" x14ac:dyDescent="0.25">
      <c r="A96" s="29"/>
      <c r="B96" s="11" t="str">
        <f>CONCATENATE("          ", "6309", " - ", "TELEPHONE")</f>
        <v xml:space="preserve">          6309 - TELEPHONE</v>
      </c>
      <c r="C96" s="11"/>
      <c r="D96" s="7">
        <v>275.55</v>
      </c>
      <c r="E96" s="2"/>
      <c r="F96" s="6">
        <f t="shared" si="69"/>
        <v>0</v>
      </c>
      <c r="G96" s="2"/>
      <c r="H96" s="7"/>
      <c r="I96" s="2"/>
      <c r="J96" s="6">
        <f t="shared" si="70"/>
        <v>0</v>
      </c>
      <c r="K96" s="2"/>
      <c r="L96" s="7">
        <f t="shared" si="71"/>
        <v>275.55</v>
      </c>
      <c r="M96" s="2"/>
      <c r="N96" s="6">
        <f t="shared" si="72"/>
        <v>0</v>
      </c>
      <c r="O96" s="11"/>
      <c r="P96" s="7">
        <v>2660.29</v>
      </c>
      <c r="Q96" s="2"/>
      <c r="R96" s="6">
        <f t="shared" si="73"/>
        <v>1.0285408297795837</v>
      </c>
      <c r="S96" s="2"/>
      <c r="T96" s="7">
        <v>300</v>
      </c>
      <c r="U96" s="2"/>
      <c r="V96" s="6">
        <f t="shared" si="74"/>
        <v>1.6102108839521016E-3</v>
      </c>
      <c r="W96" s="2"/>
      <c r="X96" s="7">
        <f t="shared" si="75"/>
        <v>2360.29</v>
      </c>
      <c r="Y96" s="2"/>
      <c r="Z96" s="6">
        <f t="shared" si="76"/>
        <v>7.867633333333333</v>
      </c>
    </row>
    <row r="97" spans="1:26" s="28" customFormat="1" outlineLevel="1" collapsed="1" x14ac:dyDescent="0.25">
      <c r="A97" s="27"/>
      <c r="B97" s="14" t="str">
        <f>CONCATENATE("     ","Training                                          ")</f>
        <v xml:space="preserve">     Training                                          </v>
      </c>
      <c r="C97" s="14"/>
      <c r="D97" s="1">
        <f>SUM(OSRRefD22_19x_0)</f>
        <v>0</v>
      </c>
      <c r="E97" s="1"/>
      <c r="F97" s="5">
        <f t="shared" ref="F97:F102" si="77">IF(D$12=0,0,D97/D$12)</f>
        <v>0</v>
      </c>
      <c r="G97" s="1"/>
      <c r="H97" s="1">
        <f>SUM(OSRRefH22_19x_0)</f>
        <v>0</v>
      </c>
      <c r="I97" s="1"/>
      <c r="J97" s="5">
        <f t="shared" ref="J97:J102" si="78">IF(H$12=0,0,H97/H$12)</f>
        <v>0</v>
      </c>
      <c r="K97" s="1"/>
      <c r="L97" s="1">
        <f t="shared" ref="L97:L102" si="79">+D97-H97</f>
        <v>0</v>
      </c>
      <c r="M97" s="1"/>
      <c r="N97" s="5">
        <f t="shared" ref="N97:N102" si="80">IF(H97=0,0,L97/H97)</f>
        <v>0</v>
      </c>
      <c r="O97" s="14"/>
      <c r="P97" s="1">
        <f>SUM(OSRRefP22_19x_0)</f>
        <v>0</v>
      </c>
      <c r="Q97" s="1"/>
      <c r="R97" s="5">
        <f t="shared" ref="R97:R102" si="81">IF(P$12=0,0,P97/P$12)</f>
        <v>0</v>
      </c>
      <c r="S97" s="1"/>
      <c r="T97" s="1">
        <f>SUM(OSRRefT22_19x_0)</f>
        <v>120</v>
      </c>
      <c r="U97" s="1"/>
      <c r="V97" s="5">
        <f t="shared" ref="V97:V102" si="82">IF(T$12=0,0,T97/T$12)</f>
        <v>6.4408435358084067E-4</v>
      </c>
      <c r="W97" s="1"/>
      <c r="X97" s="1">
        <f t="shared" ref="X97:X102" si="83">+P97-T97</f>
        <v>-120</v>
      </c>
      <c r="Y97" s="1"/>
      <c r="Z97" s="5">
        <f t="shared" ref="Z97:Z102" si="84">IF(T97=0,0,X97/T97)</f>
        <v>-1</v>
      </c>
    </row>
    <row r="98" spans="1:26" s="24" customFormat="1" hidden="1" outlineLevel="2" x14ac:dyDescent="0.25">
      <c r="A98" s="29"/>
      <c r="B98" s="11" t="str">
        <f>CONCATENATE("          ", "6376", " - ", "TRAINING")</f>
        <v xml:space="preserve">          6376 - TRAINING</v>
      </c>
      <c r="C98" s="11"/>
      <c r="D98" s="7"/>
      <c r="E98" s="2"/>
      <c r="F98" s="6">
        <f t="shared" si="77"/>
        <v>0</v>
      </c>
      <c r="G98" s="2"/>
      <c r="H98" s="7"/>
      <c r="I98" s="2"/>
      <c r="J98" s="6">
        <f t="shared" si="78"/>
        <v>0</v>
      </c>
      <c r="K98" s="2"/>
      <c r="L98" s="7">
        <f t="shared" si="79"/>
        <v>0</v>
      </c>
      <c r="M98" s="2"/>
      <c r="N98" s="6">
        <f t="shared" si="80"/>
        <v>0</v>
      </c>
      <c r="O98" s="11"/>
      <c r="P98" s="7"/>
      <c r="Q98" s="2"/>
      <c r="R98" s="6">
        <f t="shared" si="81"/>
        <v>0</v>
      </c>
      <c r="S98" s="2"/>
      <c r="T98" s="7">
        <v>120</v>
      </c>
      <c r="U98" s="2"/>
      <c r="V98" s="6">
        <f t="shared" si="82"/>
        <v>6.4408435358084067E-4</v>
      </c>
      <c r="W98" s="2"/>
      <c r="X98" s="7">
        <f t="shared" si="83"/>
        <v>-120</v>
      </c>
      <c r="Y98" s="2"/>
      <c r="Z98" s="6">
        <f t="shared" si="84"/>
        <v>-1</v>
      </c>
    </row>
    <row r="99" spans="1:26" s="28" customFormat="1" outlineLevel="1" collapsed="1" x14ac:dyDescent="0.25">
      <c r="A99" s="27"/>
      <c r="B99" s="14" t="str">
        <f>CONCATENATE("     ","Travel                                            ")</f>
        <v xml:space="preserve">     Travel                                            </v>
      </c>
      <c r="C99" s="14"/>
      <c r="D99" s="1">
        <f>SUM(OSRRefD22_20x_0)</f>
        <v>0</v>
      </c>
      <c r="E99" s="1"/>
      <c r="F99" s="5">
        <f t="shared" si="77"/>
        <v>0</v>
      </c>
      <c r="G99" s="1"/>
      <c r="H99" s="1">
        <f>SUM(OSRRefH22_20x_0)</f>
        <v>0</v>
      </c>
      <c r="I99" s="1"/>
      <c r="J99" s="5">
        <f t="shared" si="78"/>
        <v>0</v>
      </c>
      <c r="K99" s="1"/>
      <c r="L99" s="1">
        <f t="shared" si="79"/>
        <v>0</v>
      </c>
      <c r="M99" s="1"/>
      <c r="N99" s="5">
        <f t="shared" si="80"/>
        <v>0</v>
      </c>
      <c r="O99" s="14"/>
      <c r="P99" s="1">
        <f>SUM(OSRRefP22_20x_0)</f>
        <v>0</v>
      </c>
      <c r="Q99" s="1"/>
      <c r="R99" s="5">
        <f t="shared" si="81"/>
        <v>0</v>
      </c>
      <c r="S99" s="1"/>
      <c r="T99" s="1">
        <f>SUM(OSRRefT22_20x_0)</f>
        <v>1500</v>
      </c>
      <c r="U99" s="1"/>
      <c r="V99" s="5">
        <f t="shared" si="82"/>
        <v>8.0510544197605078E-3</v>
      </c>
      <c r="W99" s="1"/>
      <c r="X99" s="1">
        <f t="shared" si="83"/>
        <v>-1500</v>
      </c>
      <c r="Y99" s="1"/>
      <c r="Z99" s="5">
        <f t="shared" si="84"/>
        <v>-1</v>
      </c>
    </row>
    <row r="100" spans="1:26" s="24" customFormat="1" hidden="1" outlineLevel="2" x14ac:dyDescent="0.25">
      <c r="A100" s="29"/>
      <c r="B100" s="11" t="str">
        <f>CONCATENATE("          ", "6292", " - ", "TRAVEL/CONFERENCE")</f>
        <v xml:space="preserve">          6292 - TRAVEL/CONFERENCE</v>
      </c>
      <c r="C100" s="11"/>
      <c r="D100" s="7"/>
      <c r="E100" s="2"/>
      <c r="F100" s="6">
        <f t="shared" si="77"/>
        <v>0</v>
      </c>
      <c r="G100" s="2"/>
      <c r="H100" s="7"/>
      <c r="I100" s="2"/>
      <c r="J100" s="6">
        <f t="shared" si="78"/>
        <v>0</v>
      </c>
      <c r="K100" s="2"/>
      <c r="L100" s="7">
        <f t="shared" si="79"/>
        <v>0</v>
      </c>
      <c r="M100" s="2"/>
      <c r="N100" s="6">
        <f t="shared" si="80"/>
        <v>0</v>
      </c>
      <c r="O100" s="11"/>
      <c r="P100" s="7"/>
      <c r="Q100" s="2"/>
      <c r="R100" s="6">
        <f t="shared" si="81"/>
        <v>0</v>
      </c>
      <c r="S100" s="2"/>
      <c r="T100" s="7">
        <v>1500</v>
      </c>
      <c r="U100" s="2"/>
      <c r="V100" s="6">
        <f t="shared" si="82"/>
        <v>8.0510544197605078E-3</v>
      </c>
      <c r="W100" s="2"/>
      <c r="X100" s="7">
        <f t="shared" si="83"/>
        <v>-1500</v>
      </c>
      <c r="Y100" s="2"/>
      <c r="Z100" s="6">
        <f t="shared" si="84"/>
        <v>-1</v>
      </c>
    </row>
    <row r="101" spans="1:26" s="28" customFormat="1" outlineLevel="1" collapsed="1" x14ac:dyDescent="0.25">
      <c r="A101" s="27"/>
      <c r="B101" s="14" t="str">
        <f>CONCATENATE("     ","Utilities                                         ")</f>
        <v xml:space="preserve">     Utilities                                         </v>
      </c>
      <c r="C101" s="14"/>
      <c r="D101" s="1">
        <f>SUM(OSRRefD22_21x_0)</f>
        <v>1136</v>
      </c>
      <c r="E101" s="1"/>
      <c r="F101" s="5">
        <f t="shared" si="77"/>
        <v>0</v>
      </c>
      <c r="G101" s="1"/>
      <c r="H101" s="1">
        <f>SUM(OSRRefH22_21x_0)</f>
        <v>1982</v>
      </c>
      <c r="I101" s="1"/>
      <c r="J101" s="5">
        <f t="shared" si="78"/>
        <v>7.8482616615189668E-2</v>
      </c>
      <c r="K101" s="1"/>
      <c r="L101" s="1">
        <f t="shared" si="79"/>
        <v>-846</v>
      </c>
      <c r="M101" s="1"/>
      <c r="N101" s="5">
        <f t="shared" si="80"/>
        <v>-0.42684157416750756</v>
      </c>
      <c r="O101" s="14"/>
      <c r="P101" s="1">
        <f>SUM(OSRRefP22_21x_0)</f>
        <v>3558</v>
      </c>
      <c r="Q101" s="1"/>
      <c r="R101" s="5">
        <f t="shared" si="81"/>
        <v>1.3756200535865484</v>
      </c>
      <c r="S101" s="1"/>
      <c r="T101" s="1">
        <f>SUM(OSRRefT22_21x_0)</f>
        <v>5316</v>
      </c>
      <c r="U101" s="1"/>
      <c r="V101" s="5">
        <f t="shared" si="82"/>
        <v>2.8532936863631241E-2</v>
      </c>
      <c r="W101" s="1"/>
      <c r="X101" s="1">
        <f t="shared" si="83"/>
        <v>-1758</v>
      </c>
      <c r="Y101" s="1"/>
      <c r="Z101" s="5">
        <f t="shared" si="84"/>
        <v>-0.33069977426636571</v>
      </c>
    </row>
    <row r="102" spans="1:26" s="24" customFormat="1" hidden="1" outlineLevel="2" x14ac:dyDescent="0.25">
      <c r="A102" s="29"/>
      <c r="B102" s="11" t="str">
        <f>CONCATENATE("          ", "6274", " - ", "UTILITIES")</f>
        <v xml:space="preserve">          6274 - UTILITIES</v>
      </c>
      <c r="C102" s="11"/>
      <c r="D102" s="7">
        <v>1136</v>
      </c>
      <c r="E102" s="2"/>
      <c r="F102" s="6">
        <f t="shared" si="77"/>
        <v>0</v>
      </c>
      <c r="G102" s="2"/>
      <c r="H102" s="7">
        <v>1982</v>
      </c>
      <c r="I102" s="2"/>
      <c r="J102" s="6">
        <f t="shared" si="78"/>
        <v>7.8482616615189668E-2</v>
      </c>
      <c r="K102" s="2"/>
      <c r="L102" s="7">
        <f t="shared" si="79"/>
        <v>-846</v>
      </c>
      <c r="M102" s="2"/>
      <c r="N102" s="6">
        <f t="shared" si="80"/>
        <v>-0.42684157416750756</v>
      </c>
      <c r="O102" s="11"/>
      <c r="P102" s="7">
        <v>3558</v>
      </c>
      <c r="Q102" s="2"/>
      <c r="R102" s="6">
        <f t="shared" si="81"/>
        <v>1.3756200535865484</v>
      </c>
      <c r="S102" s="2"/>
      <c r="T102" s="7">
        <v>5316</v>
      </c>
      <c r="U102" s="2"/>
      <c r="V102" s="6">
        <f t="shared" si="82"/>
        <v>2.8532936863631241E-2</v>
      </c>
      <c r="W102" s="2"/>
      <c r="X102" s="7">
        <f t="shared" si="83"/>
        <v>-1758</v>
      </c>
      <c r="Y102" s="2"/>
      <c r="Z102" s="6">
        <f t="shared" si="84"/>
        <v>-0.33069977426636571</v>
      </c>
    </row>
    <row r="103" spans="1:26" s="53" customFormat="1" x14ac:dyDescent="0.25">
      <c r="A103" s="36"/>
      <c r="B103" s="36"/>
      <c r="C103" s="36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6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x14ac:dyDescent="0.25">
      <c r="A104" s="10"/>
      <c r="B104" s="26" t="s">
        <v>0</v>
      </c>
      <c r="C104" s="10"/>
      <c r="D104" s="4">
        <f>SUM(0)</f>
        <v>0</v>
      </c>
      <c r="E104" s="4"/>
      <c r="F104" s="12">
        <f>IF(D$12=0,0,D104/D$12)</f>
        <v>0</v>
      </c>
      <c r="G104" s="4"/>
      <c r="H104" s="4">
        <f>SUM(0)</f>
        <v>0</v>
      </c>
      <c r="I104" s="4"/>
      <c r="J104" s="12">
        <f>IF(H$12=0,0,H104/H$12)</f>
        <v>0</v>
      </c>
      <c r="K104" s="4"/>
      <c r="L104" s="4">
        <f>+D104-H104</f>
        <v>0</v>
      </c>
      <c r="M104" s="4"/>
      <c r="N104" s="12">
        <f>IF(H104=0,0,L104/H104)</f>
        <v>0</v>
      </c>
      <c r="O104" s="10"/>
      <c r="P104" s="4">
        <f>SUM(0)</f>
        <v>0</v>
      </c>
      <c r="Q104" s="4"/>
      <c r="R104" s="12">
        <f>IF(P$12=0,0,P104/P$12)</f>
        <v>0</v>
      </c>
      <c r="S104" s="4"/>
      <c r="T104" s="4">
        <f>SUM(0)</f>
        <v>0</v>
      </c>
      <c r="U104" s="4"/>
      <c r="V104" s="12">
        <f>IF(T$12=0,0,T104/T$12)</f>
        <v>0</v>
      </c>
      <c r="W104" s="4"/>
      <c r="X104" s="4">
        <f>+P104-T104</f>
        <v>0</v>
      </c>
      <c r="Y104" s="4"/>
      <c r="Z104" s="12">
        <f>IF(T104=0,0,X104/T104)</f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10"/>
      <c r="B106" s="25" t="s">
        <v>3</v>
      </c>
      <c r="C106" s="25"/>
      <c r="D106" s="21">
        <f>+D24-D26+D104</f>
        <v>-20721.5</v>
      </c>
      <c r="E106" s="13"/>
      <c r="F106" s="19">
        <f>IF(D$12=0,0,D106/D$12)</f>
        <v>0</v>
      </c>
      <c r="G106" s="13"/>
      <c r="H106" s="21">
        <f>+H24-H26+H104</f>
        <v>-33891.691341400001</v>
      </c>
      <c r="I106" s="13"/>
      <c r="J106" s="19">
        <f>IF(H$12=0,0,H106/H$12)</f>
        <v>-1.342032602415459</v>
      </c>
      <c r="K106" s="16"/>
      <c r="L106" s="21">
        <f>+D106-H106</f>
        <v>13170.191341400001</v>
      </c>
      <c r="M106" s="16"/>
      <c r="N106" s="19">
        <f>IF(H106=0,0,L106/H106)</f>
        <v>-0.38859646185058067</v>
      </c>
      <c r="O106" s="26"/>
      <c r="P106" s="21">
        <f>+P24-P26+P104</f>
        <v>-178557.14</v>
      </c>
      <c r="Q106" s="13"/>
      <c r="R106" s="19">
        <f>IF(P$12=0,0,P106/P$12)</f>
        <v>-69.035070965447119</v>
      </c>
      <c r="S106" s="13"/>
      <c r="T106" s="21">
        <f>+T24-T26+T104</f>
        <v>-195164.0462019</v>
      </c>
      <c r="U106" s="13"/>
      <c r="V106" s="19">
        <f>IF(T$12=0,0,T106/T$12)</f>
        <v>-1.0475175711681006</v>
      </c>
      <c r="W106" s="16"/>
      <c r="X106" s="21">
        <f>+P106-T106</f>
        <v>16606.906201899983</v>
      </c>
      <c r="Y106" s="16"/>
      <c r="Z106" s="19">
        <f>IF(T106=0,0,X106/T106)</f>
        <v>-8.5092036802310922E-2</v>
      </c>
    </row>
    <row r="107" spans="1:26" x14ac:dyDescent="0.25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52"/>
      <c r="B108" s="10" t="s">
        <v>14</v>
      </c>
      <c r="C108" s="10"/>
      <c r="D108" s="4">
        <v>61.21</v>
      </c>
      <c r="E108" s="4"/>
      <c r="F108" s="12">
        <f>IF(D$12=0,0,D108/D$12)</f>
        <v>0</v>
      </c>
      <c r="G108" s="4"/>
      <c r="H108" s="4">
        <v>6617</v>
      </c>
      <c r="I108" s="4"/>
      <c r="J108" s="12">
        <f>IF(H$12=0,0,H108/H$12)</f>
        <v>0.26201789815474774</v>
      </c>
      <c r="K108" s="4"/>
      <c r="L108" s="4">
        <f>+D108-H108</f>
        <v>-6555.79</v>
      </c>
      <c r="M108" s="4"/>
      <c r="N108" s="12">
        <f>IF(H108=0,0,L108/H108)</f>
        <v>-0.99074958440380834</v>
      </c>
      <c r="O108" s="10"/>
      <c r="P108" s="4">
        <v>478.55</v>
      </c>
      <c r="Q108" s="4"/>
      <c r="R108" s="12">
        <f>IF(P$12=0,0,P108/P$12)</f>
        <v>0.18502051058005697</v>
      </c>
      <c r="S108" s="4"/>
      <c r="T108" s="4">
        <v>35340</v>
      </c>
      <c r="U108" s="4"/>
      <c r="V108" s="12">
        <f>IF(T$12=0,0,T108/T$12)</f>
        <v>0.18968284212955758</v>
      </c>
      <c r="W108" s="4"/>
      <c r="X108" s="4">
        <f>+P108-T108</f>
        <v>-34861.449999999997</v>
      </c>
      <c r="Y108" s="4"/>
      <c r="Z108" s="12">
        <f>IF(T108=0,0,X108/T108)</f>
        <v>-0.98645868704018103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5" t="s">
        <v>4</v>
      </c>
      <c r="C110" s="25"/>
      <c r="D110" s="34">
        <f>+D106-D108</f>
        <v>-20782.71</v>
      </c>
      <c r="E110" s="13"/>
      <c r="F110" s="31">
        <f>IF(D$12=0,0,D110/D$12)</f>
        <v>0</v>
      </c>
      <c r="G110" s="13"/>
      <c r="H110" s="34">
        <f>+H106-H108</f>
        <v>-40508.691341400001</v>
      </c>
      <c r="I110" s="13"/>
      <c r="J110" s="31">
        <f>IF(H$12=0,0,H110/H$12)</f>
        <v>-1.6040505005702068</v>
      </c>
      <c r="K110" s="16"/>
      <c r="L110" s="34">
        <f>D110-H110</f>
        <v>19725.981341400002</v>
      </c>
      <c r="M110" s="16"/>
      <c r="N110" s="31">
        <f>IF(H110=0,0,L110/H110)</f>
        <v>-0.48695676626906953</v>
      </c>
      <c r="O110" s="26"/>
      <c r="P110" s="34">
        <f>+P106-P108</f>
        <v>-179035.69</v>
      </c>
      <c r="Q110" s="13"/>
      <c r="R110" s="31">
        <f>IF(P$12=0,0,P110/P$12)</f>
        <v>-69.220091476027164</v>
      </c>
      <c r="S110" s="13"/>
      <c r="T110" s="34">
        <f>+T106-T108</f>
        <v>-230504.0462019</v>
      </c>
      <c r="U110" s="13"/>
      <c r="V110" s="31">
        <f>IF(T$12=0,0,T110/T$12)</f>
        <v>-1.2372004132976582</v>
      </c>
      <c r="W110" s="16"/>
      <c r="X110" s="34">
        <f>P110-T110</f>
        <v>51468.356201899995</v>
      </c>
      <c r="Y110" s="16"/>
      <c r="Z110" s="31">
        <f>IF(T110=0,0,X110/T110)</f>
        <v>-0.22328612902880901</v>
      </c>
    </row>
    <row r="111" spans="1:26" ht="15.75" thickTop="1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5" t="s">
        <v>5</v>
      </c>
      <c r="C113" s="25"/>
      <c r="D113" s="33">
        <f>SUM(D110:D112)</f>
        <v>-20782.71</v>
      </c>
      <c r="E113" s="13"/>
      <c r="F113" s="32">
        <f>IF(D$12=0,0,D113/D$12)</f>
        <v>0</v>
      </c>
      <c r="G113" s="13"/>
      <c r="H113" s="33">
        <f>SUM(H110:H112)</f>
        <v>-40508.691341400001</v>
      </c>
      <c r="I113" s="13"/>
      <c r="J113" s="32">
        <f>IF(H$12=0,0,H113/H$12)</f>
        <v>-1.6040505005702068</v>
      </c>
      <c r="K113" s="16"/>
      <c r="L113" s="33">
        <f>+D113-H113</f>
        <v>19725.981341400002</v>
      </c>
      <c r="M113" s="16"/>
      <c r="N113" s="32">
        <f>IF(H113=0,0,L113/H113)</f>
        <v>-0.48695676626906953</v>
      </c>
      <c r="O113" s="26"/>
      <c r="P113" s="33">
        <f>SUM(P110:P112)</f>
        <v>-179035.69</v>
      </c>
      <c r="Q113" s="13"/>
      <c r="R113" s="32">
        <f>IF(P$12=0,0,P113/P$12)</f>
        <v>-69.220091476027164</v>
      </c>
      <c r="S113" s="13"/>
      <c r="T113" s="33">
        <f>SUM(T110:T112)</f>
        <v>-230504.0462019</v>
      </c>
      <c r="U113" s="13"/>
      <c r="V113" s="32">
        <f>IF(T$12=0,0,T113/T$12)</f>
        <v>-1.2372004132976582</v>
      </c>
      <c r="W113" s="16"/>
      <c r="X113" s="33">
        <f>+P113-T113</f>
        <v>51468.356201899995</v>
      </c>
      <c r="Y113" s="16"/>
      <c r="Z113" s="32">
        <f>IF(T113=0,0,X113/T113)</f>
        <v>-0.22328612902880901</v>
      </c>
    </row>
    <row r="114" spans="1:26" ht="15.75" thickTop="1" x14ac:dyDescent="0.25">
      <c r="A114" s="9"/>
      <c r="C114" s="9"/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6" x14ac:dyDescent="0.25">
      <c r="A115" s="9"/>
      <c r="B115" s="63">
        <v>44209.518105902775</v>
      </c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  <row r="116" spans="1:26" x14ac:dyDescent="0.25">
      <c r="A116" s="9"/>
      <c r="B116" s="60" t="s">
        <v>314</v>
      </c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25">
      <c r="A117" s="9"/>
      <c r="B117" s="58"/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","309", " - ", "Carts")</f>
        <v>Department 309 - Carts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2</v>
      </c>
      <c r="U12" s="4"/>
      <c r="V12" s="12"/>
      <c r="W12" s="4"/>
      <c r="X12" s="4">
        <f t="shared" ref="X12:X13" si="2">+P12-T12</f>
        <v>-2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2</v>
      </c>
      <c r="U13" s="2"/>
      <c r="V13" s="22"/>
      <c r="W13" s="2"/>
      <c r="X13" s="2">
        <f t="shared" si="2"/>
        <v>-2</v>
      </c>
      <c r="Y13" s="2"/>
      <c r="Z13" s="22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0</v>
      </c>
      <c r="I16" s="2"/>
      <c r="J16" s="22">
        <f t="shared" si="5"/>
        <v>0</v>
      </c>
      <c r="K16" s="2"/>
      <c r="L16" s="2">
        <f t="shared" si="6"/>
        <v>0</v>
      </c>
      <c r="M16" s="2"/>
      <c r="N16" s="22">
        <f t="shared" si="7"/>
        <v>0</v>
      </c>
      <c r="O16" s="11"/>
      <c r="P16" s="2"/>
      <c r="Q16" s="2"/>
      <c r="R16" s="22">
        <f t="shared" si="8"/>
        <v>0</v>
      </c>
      <c r="S16" s="2"/>
      <c r="T16" s="2">
        <v>0</v>
      </c>
      <c r="U16" s="2"/>
      <c r="V16" s="22">
        <f t="shared" si="9"/>
        <v>0</v>
      </c>
      <c r="W16" s="2"/>
      <c r="X16" s="2">
        <f t="shared" si="10"/>
        <v>0</v>
      </c>
      <c r="Y16" s="2"/>
      <c r="Z16" s="22">
        <f t="shared" si="11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>
        <f>D12-D15</f>
        <v>0</v>
      </c>
      <c r="E18" s="13"/>
      <c r="F18" s="19">
        <f>IF(D$12=0,0,D18/D$12)</f>
        <v>0</v>
      </c>
      <c r="G18" s="13"/>
      <c r="H18" s="21">
        <f>H12-H15</f>
        <v>0</v>
      </c>
      <c r="I18" s="13"/>
      <c r="J18" s="19">
        <f>IF(H$12=0,0,H18/H$12)</f>
        <v>0</v>
      </c>
      <c r="K18" s="16"/>
      <c r="L18" s="21">
        <f>+D18-H18</f>
        <v>0</v>
      </c>
      <c r="M18" s="16"/>
      <c r="N18" s="19">
        <f>IF(H18=0,0,L18/H18)</f>
        <v>0</v>
      </c>
      <c r="O18" s="26"/>
      <c r="P18" s="21">
        <f>P12-P15</f>
        <v>0</v>
      </c>
      <c r="Q18" s="13"/>
      <c r="R18" s="19">
        <f>IF(P$12=0,0,P18/P$12)</f>
        <v>0</v>
      </c>
      <c r="S18" s="13"/>
      <c r="T18" s="21">
        <f>T12-T15</f>
        <v>2</v>
      </c>
      <c r="U18" s="13"/>
      <c r="V18" s="19">
        <f>IF(T$12=0,0,T18/T$12)</f>
        <v>1</v>
      </c>
      <c r="W18" s="16"/>
      <c r="X18" s="21">
        <f>+P18-T18</f>
        <v>-2</v>
      </c>
      <c r="Y18" s="16"/>
      <c r="Z18" s="19">
        <f>IF(T18=0,0,X18/T18)</f>
        <v>-1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>
        <f>SUM(OSRRefD22x_0)</f>
        <v>1548.05</v>
      </c>
      <c r="E20" s="20"/>
      <c r="F20" s="30">
        <f t="shared" ref="F20:F29" si="12">IF(D$12=0,0,D20/D$12)</f>
        <v>0</v>
      </c>
      <c r="G20" s="20"/>
      <c r="H20" s="20">
        <f>SUM(OSRRefH22x_0)</f>
        <v>0</v>
      </c>
      <c r="I20" s="20"/>
      <c r="J20" s="30">
        <f t="shared" ref="J20:J29" si="13">IF(H$12=0,0,H20/H$12)</f>
        <v>0</v>
      </c>
      <c r="K20" s="4"/>
      <c r="L20" s="20">
        <f t="shared" ref="L20:L29" si="14">+D20-H20</f>
        <v>1548.05</v>
      </c>
      <c r="M20" s="4"/>
      <c r="N20" s="30">
        <f t="shared" ref="N20:N29" si="15">IF(H20=0,0,L20/H20)</f>
        <v>0</v>
      </c>
      <c r="O20" s="10"/>
      <c r="P20" s="20">
        <f>SUM(OSRRefP22x_0)</f>
        <v>6250.9000000000005</v>
      </c>
      <c r="Q20" s="20"/>
      <c r="R20" s="30">
        <f t="shared" ref="R20:R29" si="16">IF(P$12=0,0,P20/P$12)</f>
        <v>0</v>
      </c>
      <c r="S20" s="20"/>
      <c r="T20" s="20">
        <f>SUM(OSRRefT22x_0)</f>
        <v>0</v>
      </c>
      <c r="U20" s="20"/>
      <c r="V20" s="30">
        <f t="shared" ref="V20:V29" si="17">IF(T$12=0,0,T20/T$12)</f>
        <v>0</v>
      </c>
      <c r="W20" s="4"/>
      <c r="X20" s="20">
        <f t="shared" ref="X20:X29" si="18">+P20-T20</f>
        <v>6250.9000000000005</v>
      </c>
      <c r="Y20" s="4"/>
      <c r="Z20" s="30">
        <f t="shared" ref="Z20:Z29" si="19">IF(T20=0,0,X20/T20)</f>
        <v>0</v>
      </c>
    </row>
    <row r="21" spans="1:26" s="28" customFormat="1" outlineLevel="1" collapsed="1" x14ac:dyDescent="0.25">
      <c r="A21" s="27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25">
      <c r="A22" s="29"/>
      <c r="B22" s="11" t="str">
        <f>CONCATENATE("          ", "6111", " - ", "F.I.C.A.")</f>
        <v xml:space="preserve">          6111 - F.I.C.A.</v>
      </c>
      <c r="C22" s="11"/>
      <c r="D22" s="7"/>
      <c r="E22" s="2"/>
      <c r="F22" s="6">
        <f t="shared" si="12"/>
        <v>0</v>
      </c>
      <c r="G22" s="2"/>
      <c r="H22" s="7">
        <v>0</v>
      </c>
      <c r="I22" s="2"/>
      <c r="J22" s="6">
        <f t="shared" si="13"/>
        <v>0</v>
      </c>
      <c r="K22" s="2"/>
      <c r="L22" s="7">
        <f t="shared" si="14"/>
        <v>0</v>
      </c>
      <c r="M22" s="2"/>
      <c r="N22" s="6">
        <f t="shared" si="15"/>
        <v>0</v>
      </c>
      <c r="O22" s="11"/>
      <c r="P22" s="7"/>
      <c r="Q22" s="2"/>
      <c r="R22" s="6">
        <f t="shared" si="16"/>
        <v>0</v>
      </c>
      <c r="S22" s="2"/>
      <c r="T22" s="7">
        <v>0</v>
      </c>
      <c r="U22" s="2"/>
      <c r="V22" s="6">
        <f t="shared" si="17"/>
        <v>0</v>
      </c>
      <c r="W22" s="2"/>
      <c r="X22" s="7">
        <f t="shared" si="18"/>
        <v>0</v>
      </c>
      <c r="Y22" s="2"/>
      <c r="Z22" s="6">
        <f t="shared" si="19"/>
        <v>0</v>
      </c>
    </row>
    <row r="23" spans="1:26" s="24" customFormat="1" hidden="1" outlineLevel="2" x14ac:dyDescent="0.25">
      <c r="A23" s="29"/>
      <c r="B23" s="11" t="str">
        <f>CONCATENATE("          ", "6112", " - ", "COMPENSATION INSURANCE")</f>
        <v xml:space="preserve">          6112 - COMPENSATION INSURANCE</v>
      </c>
      <c r="C23" s="11"/>
      <c r="D23" s="7"/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/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0</v>
      </c>
      <c r="Y23" s="2"/>
      <c r="Z23" s="6">
        <f t="shared" si="19"/>
        <v>0</v>
      </c>
    </row>
    <row r="24" spans="1:26" s="24" customFormat="1" hidden="1" outlineLevel="2" x14ac:dyDescent="0.25">
      <c r="A24" s="29"/>
      <c r="B24" s="11" t="str">
        <f>CONCATENATE("          ", "6113", " - ", "GROUP INSURANCE")</f>
        <v xml:space="preserve">          6113 - GROUP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25">
      <c r="A25" s="29"/>
      <c r="B25" s="11" t="str">
        <f>CONCATENATE("          ", "6114", " - ", "STATE UNEMPLOYMENT INSURANCE")</f>
        <v xml:space="preserve">          6114 - STATE UNEMPLOYMENT INSURANCE</v>
      </c>
      <c r="C25" s="11"/>
      <c r="D25" s="7"/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/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0</v>
      </c>
      <c r="Y25" s="2"/>
      <c r="Z25" s="6">
        <f t="shared" si="19"/>
        <v>0</v>
      </c>
    </row>
    <row r="26" spans="1:26" s="24" customFormat="1" hidden="1" outlineLevel="2" x14ac:dyDescent="0.25">
      <c r="A26" s="29"/>
      <c r="B26" s="11" t="str">
        <f>CONCATENATE("          ", "6115", " - ", "P.E.R.S.")</f>
        <v xml:space="preserve">          6115 - P.E.R.S.</v>
      </c>
      <c r="C26" s="11"/>
      <c r="D26" s="7"/>
      <c r="E26" s="2"/>
      <c r="F26" s="6">
        <f t="shared" si="12"/>
        <v>0</v>
      </c>
      <c r="G26" s="2"/>
      <c r="H26" s="7">
        <v>0</v>
      </c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0</v>
      </c>
      <c r="U26" s="2"/>
      <c r="V26" s="6">
        <f t="shared" si="17"/>
        <v>0</v>
      </c>
      <c r="W26" s="2"/>
      <c r="X26" s="7">
        <f t="shared" si="18"/>
        <v>0</v>
      </c>
      <c r="Y26" s="2"/>
      <c r="Z26" s="6">
        <f t="shared" si="19"/>
        <v>0</v>
      </c>
    </row>
    <row r="27" spans="1:26" s="24" customFormat="1" hidden="1" outlineLevel="2" x14ac:dyDescent="0.25">
      <c r="A27" s="29"/>
      <c r="B27" s="11" t="str">
        <f>CONCATENATE("          ", "6116", " - ", "EDUCATIONAL BENEFITS")</f>
        <v xml:space="preserve">          6116 - EDUCATIONAL BENEFITS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25">
      <c r="A28" s="29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9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0</v>
      </c>
      <c r="M30" s="1"/>
      <c r="N30" s="5">
        <f t="shared" ref="N30:N40" si="23">IF(H30=0,0,L30/H30)</f>
        <v>0</v>
      </c>
      <c r="O30" s="14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0</v>
      </c>
      <c r="Y30" s="1"/>
      <c r="Z30" s="5">
        <f t="shared" ref="Z30:Z40" si="27">IF(T30=0,0,X30/T30)</f>
        <v>0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20"/>
        <v>0</v>
      </c>
      <c r="G31" s="2"/>
      <c r="H31" s="7">
        <v>0</v>
      </c>
      <c r="I31" s="2"/>
      <c r="J31" s="6">
        <f t="shared" si="21"/>
        <v>0</v>
      </c>
      <c r="K31" s="2"/>
      <c r="L31" s="7">
        <f t="shared" si="22"/>
        <v>0</v>
      </c>
      <c r="M31" s="2"/>
      <c r="N31" s="6">
        <f t="shared" si="23"/>
        <v>0</v>
      </c>
      <c r="O31" s="11"/>
      <c r="P31" s="7"/>
      <c r="Q31" s="2"/>
      <c r="R31" s="6">
        <f t="shared" si="24"/>
        <v>0</v>
      </c>
      <c r="S31" s="2"/>
      <c r="T31" s="7">
        <v>0</v>
      </c>
      <c r="U31" s="2"/>
      <c r="V31" s="6">
        <f t="shared" si="25"/>
        <v>0</v>
      </c>
      <c r="W31" s="2"/>
      <c r="X31" s="7">
        <f t="shared" si="26"/>
        <v>0</v>
      </c>
      <c r="Y31" s="2"/>
      <c r="Z31" s="6">
        <f t="shared" si="27"/>
        <v>0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/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0</v>
      </c>
      <c r="Y33" s="2"/>
      <c r="Z33" s="6">
        <f t="shared" si="27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8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3" si="28">IF(D$12=0,0,D41/D$12)</f>
        <v>0</v>
      </c>
      <c r="G41" s="1"/>
      <c r="H41" s="1">
        <f>SUM(OSRRefH22_2x_0)</f>
        <v>0</v>
      </c>
      <c r="I41" s="1"/>
      <c r="J41" s="5">
        <f t="shared" ref="J41:J53" si="29">IF(H$12=0,0,H41/H$12)</f>
        <v>0</v>
      </c>
      <c r="K41" s="1"/>
      <c r="L41" s="1">
        <f t="shared" ref="L41:L53" si="30">+D41-H41</f>
        <v>0</v>
      </c>
      <c r="M41" s="1"/>
      <c r="N41" s="5">
        <f t="shared" ref="N41:N53" si="31">IF(H41=0,0,L41/H41)</f>
        <v>0</v>
      </c>
      <c r="O41" s="14"/>
      <c r="P41" s="1">
        <f>SUM(OSRRefP22_2x_0)</f>
        <v>0</v>
      </c>
      <c r="Q41" s="1"/>
      <c r="R41" s="5">
        <f t="shared" ref="R41:R53" si="32">IF(P$12=0,0,P41/P$12)</f>
        <v>0</v>
      </c>
      <c r="S41" s="1"/>
      <c r="T41" s="1">
        <f>SUM(OSRRefT22_2x_0)</f>
        <v>0</v>
      </c>
      <c r="U41" s="1"/>
      <c r="V41" s="5">
        <f t="shared" ref="V41:V53" si="33">IF(T$12=0,0,T41/T$12)</f>
        <v>0</v>
      </c>
      <c r="W41" s="1"/>
      <c r="X41" s="1">
        <f t="shared" ref="X41:X53" si="34">+P41-T41</f>
        <v>0</v>
      </c>
      <c r="Y41" s="1"/>
      <c r="Z41" s="5">
        <f t="shared" ref="Z41:Z53" si="35">IF(T41=0,0,X41/T41)</f>
        <v>0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>
        <v>0</v>
      </c>
      <c r="I42" s="2"/>
      <c r="J42" s="6">
        <f t="shared" si="29"/>
        <v>0</v>
      </c>
      <c r="K42" s="2"/>
      <c r="L42" s="7">
        <f t="shared" si="30"/>
        <v>0</v>
      </c>
      <c r="M42" s="2"/>
      <c r="N42" s="6">
        <f t="shared" si="31"/>
        <v>0</v>
      </c>
      <c r="O42" s="11"/>
      <c r="P42" s="7"/>
      <c r="Q42" s="2"/>
      <c r="R42" s="6">
        <f t="shared" si="32"/>
        <v>0</v>
      </c>
      <c r="S42" s="2"/>
      <c r="T42" s="7">
        <v>0</v>
      </c>
      <c r="U42" s="2"/>
      <c r="V42" s="6">
        <f t="shared" si="33"/>
        <v>0</v>
      </c>
      <c r="W42" s="2"/>
      <c r="X42" s="7">
        <f t="shared" si="34"/>
        <v>0</v>
      </c>
      <c r="Y42" s="2"/>
      <c r="Z42" s="6">
        <f t="shared" si="35"/>
        <v>0</v>
      </c>
    </row>
    <row r="43" spans="1:26" s="28" customFormat="1" outlineLevel="1" collapsed="1" x14ac:dyDescent="0.25">
      <c r="A43" s="27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9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28"/>
        <v>0</v>
      </c>
      <c r="G44" s="2"/>
      <c r="H44" s="7">
        <v>0</v>
      </c>
      <c r="I44" s="2"/>
      <c r="J44" s="6">
        <f t="shared" si="29"/>
        <v>0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/>
      <c r="Q44" s="2"/>
      <c r="R44" s="6">
        <f t="shared" si="32"/>
        <v>0</v>
      </c>
      <c r="S44" s="2"/>
      <c r="T44" s="7">
        <v>0</v>
      </c>
      <c r="U44" s="2"/>
      <c r="V44" s="6">
        <f t="shared" si="33"/>
        <v>0</v>
      </c>
      <c r="W44" s="2"/>
      <c r="X44" s="7">
        <f t="shared" si="34"/>
        <v>0</v>
      </c>
      <c r="Y44" s="2"/>
      <c r="Z44" s="6">
        <f t="shared" si="35"/>
        <v>0</v>
      </c>
    </row>
    <row r="45" spans="1:26" s="28" customFormat="1" outlineLevel="1" collapsed="1" x14ac:dyDescent="0.25">
      <c r="A45" s="27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SUM(OSRRefD22_4x_0)</f>
        <v>588.16999999999996</v>
      </c>
      <c r="E45" s="1"/>
      <c r="F45" s="5">
        <f t="shared" si="28"/>
        <v>0</v>
      </c>
      <c r="G45" s="1"/>
      <c r="H45" s="1">
        <f>SUM(OSRRefH22_4x_0)</f>
        <v>0</v>
      </c>
      <c r="I45" s="1"/>
      <c r="J45" s="5">
        <f t="shared" si="29"/>
        <v>0</v>
      </c>
      <c r="K45" s="1"/>
      <c r="L45" s="1">
        <f t="shared" si="30"/>
        <v>588.16999999999996</v>
      </c>
      <c r="M45" s="1"/>
      <c r="N45" s="5">
        <f t="shared" si="31"/>
        <v>0</v>
      </c>
      <c r="O45" s="14"/>
      <c r="P45" s="1">
        <f>SUM(OSRRefP22_4x_0)</f>
        <v>3264.8</v>
      </c>
      <c r="Q45" s="1"/>
      <c r="R45" s="5">
        <f t="shared" si="32"/>
        <v>0</v>
      </c>
      <c r="S45" s="1"/>
      <c r="T45" s="1">
        <f>SUM(OSRRefT22_4x_0)</f>
        <v>0</v>
      </c>
      <c r="U45" s="1"/>
      <c r="V45" s="5">
        <f t="shared" si="33"/>
        <v>0</v>
      </c>
      <c r="W45" s="1"/>
      <c r="X45" s="1">
        <f t="shared" si="34"/>
        <v>3264.8</v>
      </c>
      <c r="Y45" s="1"/>
      <c r="Z45" s="5">
        <f t="shared" si="35"/>
        <v>0</v>
      </c>
    </row>
    <row r="46" spans="1:26" s="24" customFormat="1" hidden="1" outlineLevel="2" x14ac:dyDescent="0.25">
      <c r="A46" s="29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588.16999999999996</v>
      </c>
      <c r="E46" s="2"/>
      <c r="F46" s="6">
        <f t="shared" si="28"/>
        <v>0</v>
      </c>
      <c r="G46" s="2"/>
      <c r="H46" s="7"/>
      <c r="I46" s="2"/>
      <c r="J46" s="6">
        <f t="shared" si="29"/>
        <v>0</v>
      </c>
      <c r="K46" s="2"/>
      <c r="L46" s="7">
        <f t="shared" si="30"/>
        <v>588.16999999999996</v>
      </c>
      <c r="M46" s="2"/>
      <c r="N46" s="6">
        <f t="shared" si="31"/>
        <v>0</v>
      </c>
      <c r="O46" s="11"/>
      <c r="P46" s="7">
        <v>3264.8</v>
      </c>
      <c r="Q46" s="2"/>
      <c r="R46" s="6">
        <f t="shared" si="32"/>
        <v>0</v>
      </c>
      <c r="S46" s="2"/>
      <c r="T46" s="7"/>
      <c r="U46" s="2"/>
      <c r="V46" s="6">
        <f t="shared" si="33"/>
        <v>0</v>
      </c>
      <c r="W46" s="2"/>
      <c r="X46" s="7">
        <f t="shared" si="34"/>
        <v>3264.8</v>
      </c>
      <c r="Y46" s="2"/>
      <c r="Z46" s="6">
        <f t="shared" si="35"/>
        <v>0</v>
      </c>
    </row>
    <row r="47" spans="1:26" s="28" customFormat="1" outlineLevel="1" collapsed="1" x14ac:dyDescent="0.25">
      <c r="A47" s="27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12</v>
      </c>
      <c r="E47" s="1"/>
      <c r="F47" s="5">
        <f t="shared" si="28"/>
        <v>0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12</v>
      </c>
      <c r="M47" s="1"/>
      <c r="N47" s="5">
        <f t="shared" si="31"/>
        <v>0</v>
      </c>
      <c r="O47" s="14"/>
      <c r="P47" s="1">
        <f>SUM(OSRRefP22_5x_0)</f>
        <v>12</v>
      </c>
      <c r="Q47" s="1"/>
      <c r="R47" s="5">
        <f t="shared" si="32"/>
        <v>0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12</v>
      </c>
      <c r="Y47" s="1"/>
      <c r="Z47" s="5">
        <f t="shared" si="35"/>
        <v>0</v>
      </c>
    </row>
    <row r="48" spans="1:26" s="24" customFormat="1" hidden="1" outlineLevel="2" x14ac:dyDescent="0.25">
      <c r="A48" s="29"/>
      <c r="B48" s="11" t="str">
        <f>CONCATENATE("          ", "6351", " - ", "EQUIPMENT RENTAL")</f>
        <v xml:space="preserve">          6351 - EQUIPMENT RENTAL</v>
      </c>
      <c r="C48" s="11"/>
      <c r="D48" s="7">
        <v>12</v>
      </c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12</v>
      </c>
      <c r="M48" s="2"/>
      <c r="N48" s="6">
        <f t="shared" si="31"/>
        <v>0</v>
      </c>
      <c r="O48" s="11"/>
      <c r="P48" s="7">
        <v>12</v>
      </c>
      <c r="Q48" s="2"/>
      <c r="R48" s="6">
        <f t="shared" si="32"/>
        <v>0</v>
      </c>
      <c r="S48" s="2"/>
      <c r="T48" s="7"/>
      <c r="U48" s="2"/>
      <c r="V48" s="6">
        <f t="shared" si="33"/>
        <v>0</v>
      </c>
      <c r="W48" s="2"/>
      <c r="X48" s="7">
        <f t="shared" si="34"/>
        <v>12</v>
      </c>
      <c r="Y48" s="2"/>
      <c r="Z48" s="6">
        <f t="shared" si="35"/>
        <v>0</v>
      </c>
    </row>
    <row r="49" spans="1:26" s="28" customFormat="1" outlineLevel="1" collapsed="1" x14ac:dyDescent="0.25">
      <c r="A49" s="27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160</v>
      </c>
      <c r="E49" s="1"/>
      <c r="F49" s="5">
        <f t="shared" si="28"/>
        <v>0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160</v>
      </c>
      <c r="M49" s="1"/>
      <c r="N49" s="5">
        <f t="shared" si="31"/>
        <v>0</v>
      </c>
      <c r="O49" s="14"/>
      <c r="P49" s="1">
        <f>SUM(OSRRefP22_6x_0)</f>
        <v>575</v>
      </c>
      <c r="Q49" s="1"/>
      <c r="R49" s="5">
        <f t="shared" si="32"/>
        <v>0</v>
      </c>
      <c r="S49" s="1"/>
      <c r="T49" s="1">
        <f>SUM(OSRRefT22_6x_0)</f>
        <v>0</v>
      </c>
      <c r="U49" s="1"/>
      <c r="V49" s="5">
        <f t="shared" si="33"/>
        <v>0</v>
      </c>
      <c r="W49" s="1"/>
      <c r="X49" s="1">
        <f t="shared" si="34"/>
        <v>575</v>
      </c>
      <c r="Y49" s="1"/>
      <c r="Z49" s="5">
        <f t="shared" si="35"/>
        <v>0</v>
      </c>
    </row>
    <row r="50" spans="1:26" s="24" customFormat="1" hidden="1" outlineLevel="2" x14ac:dyDescent="0.25">
      <c r="A50" s="29"/>
      <c r="B50" s="11" t="str">
        <f>CONCATENATE("          ", "6279", " - ", "GENERAL EXPENSE")</f>
        <v xml:space="preserve">          6279 - GENERAL EXPENSE</v>
      </c>
      <c r="C50" s="11"/>
      <c r="D50" s="7">
        <v>160</v>
      </c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160</v>
      </c>
      <c r="M50" s="2"/>
      <c r="N50" s="6">
        <f t="shared" si="31"/>
        <v>0</v>
      </c>
      <c r="O50" s="11"/>
      <c r="P50" s="7">
        <v>575</v>
      </c>
      <c r="Q50" s="2"/>
      <c r="R50" s="6">
        <f t="shared" si="32"/>
        <v>0</v>
      </c>
      <c r="S50" s="2"/>
      <c r="T50" s="7">
        <v>0</v>
      </c>
      <c r="U50" s="2"/>
      <c r="V50" s="6">
        <f t="shared" si="33"/>
        <v>0</v>
      </c>
      <c r="W50" s="2"/>
      <c r="X50" s="7">
        <f t="shared" si="34"/>
        <v>575</v>
      </c>
      <c r="Y50" s="2"/>
      <c r="Z50" s="6">
        <f t="shared" si="35"/>
        <v>0</v>
      </c>
    </row>
    <row r="51" spans="1:26" s="28" customFormat="1" outlineLevel="1" collapsed="1" x14ac:dyDescent="0.25">
      <c r="A51" s="27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SUM(OSRRefD22_7x_0)</f>
        <v>48.23</v>
      </c>
      <c r="E51" s="1"/>
      <c r="F51" s="5">
        <f t="shared" si="28"/>
        <v>0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48.23</v>
      </c>
      <c r="M51" s="1"/>
      <c r="N51" s="5">
        <f t="shared" si="31"/>
        <v>0</v>
      </c>
      <c r="O51" s="14"/>
      <c r="P51" s="1">
        <f>SUM(OSRRefP22_7x_0)</f>
        <v>1232.0500000000002</v>
      </c>
      <c r="Q51" s="1"/>
      <c r="R51" s="5">
        <f t="shared" si="32"/>
        <v>0</v>
      </c>
      <c r="S51" s="1"/>
      <c r="T51" s="1">
        <f>SUM(OSRRefT22_7x_0)</f>
        <v>0</v>
      </c>
      <c r="U51" s="1"/>
      <c r="V51" s="5">
        <f t="shared" si="33"/>
        <v>0</v>
      </c>
      <c r="W51" s="1"/>
      <c r="X51" s="1">
        <f t="shared" si="34"/>
        <v>1232.0500000000002</v>
      </c>
      <c r="Y51" s="1"/>
      <c r="Z51" s="5">
        <f t="shared" si="35"/>
        <v>0</v>
      </c>
    </row>
    <row r="52" spans="1:26" s="24" customFormat="1" hidden="1" outlineLevel="2" x14ac:dyDescent="0.25">
      <c r="A52" s="29"/>
      <c r="B52" s="11" t="str">
        <f>CONCATENATE("          ", "6373", " - ", "MAINTENANCE CONTRACTS")</f>
        <v xml:space="preserve">          6373 - MAINTENANCE CONTRACTS</v>
      </c>
      <c r="C52" s="11"/>
      <c r="D52" s="7">
        <v>48.23</v>
      </c>
      <c r="E52" s="2"/>
      <c r="F52" s="6">
        <f t="shared" si="28"/>
        <v>0</v>
      </c>
      <c r="G52" s="2"/>
      <c r="H52" s="7"/>
      <c r="I52" s="2"/>
      <c r="J52" s="6">
        <f t="shared" si="29"/>
        <v>0</v>
      </c>
      <c r="K52" s="2"/>
      <c r="L52" s="7">
        <f t="shared" si="30"/>
        <v>48.23</v>
      </c>
      <c r="M52" s="2"/>
      <c r="N52" s="6">
        <f t="shared" si="31"/>
        <v>0</v>
      </c>
      <c r="O52" s="11"/>
      <c r="P52" s="7">
        <v>214.36</v>
      </c>
      <c r="Q52" s="2"/>
      <c r="R52" s="6">
        <f t="shared" si="32"/>
        <v>0</v>
      </c>
      <c r="S52" s="2"/>
      <c r="T52" s="7"/>
      <c r="U52" s="2"/>
      <c r="V52" s="6">
        <f t="shared" si="33"/>
        <v>0</v>
      </c>
      <c r="W52" s="2"/>
      <c r="X52" s="7">
        <f t="shared" si="34"/>
        <v>214.36</v>
      </c>
      <c r="Y52" s="2"/>
      <c r="Z52" s="6">
        <f t="shared" si="35"/>
        <v>0</v>
      </c>
    </row>
    <row r="53" spans="1:26" s="24" customFormat="1" hidden="1" outlineLevel="2" x14ac:dyDescent="0.25">
      <c r="A53" s="29"/>
      <c r="B53" s="11" t="str">
        <f>CONCATENATE("          ", "6375", " - ", "OUTSIDE REPAIRS &amp; MAINTENANCE")</f>
        <v xml:space="preserve">          6375 - OUTSIDE REPAIRS &amp; MAINTENANCE</v>
      </c>
      <c r="C53" s="11"/>
      <c r="D53" s="7"/>
      <c r="E53" s="2"/>
      <c r="F53" s="6">
        <f t="shared" si="28"/>
        <v>0</v>
      </c>
      <c r="G53" s="2"/>
      <c r="H53" s="7">
        <v>0</v>
      </c>
      <c r="I53" s="2"/>
      <c r="J53" s="6">
        <f t="shared" si="29"/>
        <v>0</v>
      </c>
      <c r="K53" s="2"/>
      <c r="L53" s="7">
        <f t="shared" si="30"/>
        <v>0</v>
      </c>
      <c r="M53" s="2"/>
      <c r="N53" s="6">
        <f t="shared" si="31"/>
        <v>0</v>
      </c>
      <c r="O53" s="11"/>
      <c r="P53" s="7">
        <v>1017.69</v>
      </c>
      <c r="Q53" s="2"/>
      <c r="R53" s="6">
        <f t="shared" si="32"/>
        <v>0</v>
      </c>
      <c r="S53" s="2"/>
      <c r="T53" s="7">
        <v>0</v>
      </c>
      <c r="U53" s="2"/>
      <c r="V53" s="6">
        <f t="shared" si="33"/>
        <v>0</v>
      </c>
      <c r="W53" s="2"/>
      <c r="X53" s="7">
        <f t="shared" si="34"/>
        <v>1017.69</v>
      </c>
      <c r="Y53" s="2"/>
      <c r="Z53" s="6">
        <f t="shared" si="35"/>
        <v>0</v>
      </c>
    </row>
    <row r="54" spans="1:26" s="28" customFormat="1" outlineLevel="1" collapsed="1" x14ac:dyDescent="0.25">
      <c r="A54" s="27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SUM(OSRRefD22_8x_0)</f>
        <v>709.65</v>
      </c>
      <c r="E54" s="1"/>
      <c r="F54" s="5">
        <f t="shared" ref="F54:F56" si="36">IF(D$12=0,0,D54/D$12)</f>
        <v>0</v>
      </c>
      <c r="G54" s="1"/>
      <c r="H54" s="1">
        <f>SUM(OSRRefH22_8x_0)</f>
        <v>0</v>
      </c>
      <c r="I54" s="1"/>
      <c r="J54" s="5">
        <f t="shared" ref="J54:J56" si="37">IF(H$12=0,0,H54/H$12)</f>
        <v>0</v>
      </c>
      <c r="K54" s="1"/>
      <c r="L54" s="1">
        <f t="shared" ref="L54:L56" si="38">+D54-H54</f>
        <v>709.65</v>
      </c>
      <c r="M54" s="1"/>
      <c r="N54" s="5">
        <f t="shared" ref="N54:N56" si="39">IF(H54=0,0,L54/H54)</f>
        <v>0</v>
      </c>
      <c r="O54" s="14"/>
      <c r="P54" s="1">
        <f>SUM(OSRRefP22_8x_0)</f>
        <v>892.73</v>
      </c>
      <c r="Q54" s="1"/>
      <c r="R54" s="5">
        <f t="shared" ref="R54:R56" si="40">IF(P$12=0,0,P54/P$12)</f>
        <v>0</v>
      </c>
      <c r="S54" s="1"/>
      <c r="T54" s="1">
        <f>SUM(OSRRefT22_8x_0)</f>
        <v>0</v>
      </c>
      <c r="U54" s="1"/>
      <c r="V54" s="5">
        <f t="shared" ref="V54:V56" si="41">IF(T$12=0,0,T54/T$12)</f>
        <v>0</v>
      </c>
      <c r="W54" s="1"/>
      <c r="X54" s="1">
        <f t="shared" ref="X54:X56" si="42">+P54-T54</f>
        <v>892.73</v>
      </c>
      <c r="Y54" s="1"/>
      <c r="Z54" s="5">
        <f t="shared" ref="Z54:Z56" si="43">IF(T54=0,0,X54/T54)</f>
        <v>0</v>
      </c>
    </row>
    <row r="55" spans="1:26" s="24" customFormat="1" hidden="1" outlineLevel="2" x14ac:dyDescent="0.25">
      <c r="A55" s="29"/>
      <c r="B55" s="11" t="str">
        <f>CONCATENATE("          ", "6282", " - ", "JANITORIAL/EXTERMINATOR EXPENS")</f>
        <v xml:space="preserve">          6282 - JANITORIAL/EXTERMINATOR EXPENS</v>
      </c>
      <c r="C55" s="11"/>
      <c r="D55" s="7">
        <v>709.65</v>
      </c>
      <c r="E55" s="2"/>
      <c r="F55" s="6">
        <f t="shared" si="36"/>
        <v>0</v>
      </c>
      <c r="G55" s="2"/>
      <c r="H55" s="7"/>
      <c r="I55" s="2"/>
      <c r="J55" s="6">
        <f t="shared" si="37"/>
        <v>0</v>
      </c>
      <c r="K55" s="2"/>
      <c r="L55" s="7">
        <f t="shared" si="38"/>
        <v>709.65</v>
      </c>
      <c r="M55" s="2"/>
      <c r="N55" s="6">
        <f t="shared" si="39"/>
        <v>0</v>
      </c>
      <c r="O55" s="11"/>
      <c r="P55" s="7">
        <v>1065.77</v>
      </c>
      <c r="Q55" s="2"/>
      <c r="R55" s="6">
        <f t="shared" si="40"/>
        <v>0</v>
      </c>
      <c r="S55" s="2"/>
      <c r="T55" s="7"/>
      <c r="U55" s="2"/>
      <c r="V55" s="6">
        <f t="shared" si="41"/>
        <v>0</v>
      </c>
      <c r="W55" s="2"/>
      <c r="X55" s="7">
        <f t="shared" si="42"/>
        <v>1065.77</v>
      </c>
      <c r="Y55" s="2"/>
      <c r="Z55" s="6">
        <f t="shared" si="43"/>
        <v>0</v>
      </c>
    </row>
    <row r="56" spans="1:26" s="24" customFormat="1" hidden="1" outlineLevel="2" x14ac:dyDescent="0.25">
      <c r="A56" s="29"/>
      <c r="B56" s="11" t="str">
        <f>CONCATENATE("          ", "6285", " - ", "JANITORIAL SERVICES")</f>
        <v xml:space="preserve">          6285 - JANITORIAL SERVICES</v>
      </c>
      <c r="C56" s="11"/>
      <c r="D56" s="7"/>
      <c r="E56" s="2"/>
      <c r="F56" s="6">
        <f t="shared" si="36"/>
        <v>0</v>
      </c>
      <c r="G56" s="2"/>
      <c r="H56" s="7">
        <v>0</v>
      </c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-173.04</v>
      </c>
      <c r="Q56" s="2"/>
      <c r="R56" s="6">
        <f t="shared" si="40"/>
        <v>0</v>
      </c>
      <c r="S56" s="2"/>
      <c r="T56" s="7">
        <v>0</v>
      </c>
      <c r="U56" s="2"/>
      <c r="V56" s="6">
        <f t="shared" si="41"/>
        <v>0</v>
      </c>
      <c r="W56" s="2"/>
      <c r="X56" s="7">
        <f t="shared" si="42"/>
        <v>-173.04</v>
      </c>
      <c r="Y56" s="2"/>
      <c r="Z56" s="6">
        <f t="shared" si="43"/>
        <v>0</v>
      </c>
    </row>
    <row r="57" spans="1:26" s="28" customFormat="1" outlineLevel="1" collapsed="1" x14ac:dyDescent="0.25">
      <c r="A57" s="27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SUM(OSRRefD22_9x_0)</f>
        <v>0</v>
      </c>
      <c r="E57" s="1"/>
      <c r="F57" s="5">
        <f t="shared" ref="F57:F59" si="44">IF(D$12=0,0,D57/D$12)</f>
        <v>0</v>
      </c>
      <c r="G57" s="1"/>
      <c r="H57" s="1">
        <f>SUM(OSRRefH22_9x_0)</f>
        <v>0</v>
      </c>
      <c r="I57" s="1"/>
      <c r="J57" s="5">
        <f t="shared" ref="J57:J59" si="45">IF(H$12=0,0,H57/H$12)</f>
        <v>0</v>
      </c>
      <c r="K57" s="1"/>
      <c r="L57" s="1">
        <f t="shared" ref="L57:L59" si="46">+D57-H57</f>
        <v>0</v>
      </c>
      <c r="M57" s="1"/>
      <c r="N57" s="5">
        <f t="shared" ref="N57:N59" si="47">IF(H57=0,0,L57/H57)</f>
        <v>0</v>
      </c>
      <c r="O57" s="14"/>
      <c r="P57" s="1">
        <f>SUM(OSRRefP22_9x_0)</f>
        <v>0</v>
      </c>
      <c r="Q57" s="1"/>
      <c r="R57" s="5">
        <f t="shared" ref="R57:R59" si="48">IF(P$12=0,0,P57/P$12)</f>
        <v>0</v>
      </c>
      <c r="S57" s="1"/>
      <c r="T57" s="1">
        <f>SUM(OSRRefT22_9x_0)</f>
        <v>0</v>
      </c>
      <c r="U57" s="1"/>
      <c r="V57" s="5">
        <f t="shared" ref="V57:V59" si="49">IF(T$12=0,0,T57/T$12)</f>
        <v>0</v>
      </c>
      <c r="W57" s="1"/>
      <c r="X57" s="1">
        <f t="shared" ref="X57:X59" si="50">+P57-T57</f>
        <v>0</v>
      </c>
      <c r="Y57" s="1"/>
      <c r="Z57" s="5">
        <f t="shared" ref="Z57:Z59" si="51">IF(T57=0,0,X57/T57)</f>
        <v>0</v>
      </c>
    </row>
    <row r="58" spans="1:26" s="24" customFormat="1" hidden="1" outlineLevel="2" x14ac:dyDescent="0.25">
      <c r="A58" s="29"/>
      <c r="B58" s="11" t="str">
        <f>CONCATENATE("          ", "6235", " - ", "COVID-19 EXPENSES")</f>
        <v xml:space="preserve">          6235 - COVID-19 EXPENSES</v>
      </c>
      <c r="C58" s="11"/>
      <c r="D58" s="7"/>
      <c r="E58" s="2"/>
      <c r="F58" s="6">
        <f t="shared" si="44"/>
        <v>0</v>
      </c>
      <c r="G58" s="2"/>
      <c r="H58" s="7">
        <v>0</v>
      </c>
      <c r="I58" s="2"/>
      <c r="J58" s="6">
        <f t="shared" si="45"/>
        <v>0</v>
      </c>
      <c r="K58" s="2"/>
      <c r="L58" s="7">
        <f t="shared" si="46"/>
        <v>0</v>
      </c>
      <c r="M58" s="2"/>
      <c r="N58" s="6">
        <f t="shared" si="47"/>
        <v>0</v>
      </c>
      <c r="O58" s="11"/>
      <c r="P58" s="7"/>
      <c r="Q58" s="2"/>
      <c r="R58" s="6">
        <f t="shared" si="48"/>
        <v>0</v>
      </c>
      <c r="S58" s="2"/>
      <c r="T58" s="7">
        <v>0</v>
      </c>
      <c r="U58" s="2"/>
      <c r="V58" s="6">
        <f t="shared" si="49"/>
        <v>0</v>
      </c>
      <c r="W58" s="2"/>
      <c r="X58" s="7">
        <f t="shared" si="50"/>
        <v>0</v>
      </c>
      <c r="Y58" s="2"/>
      <c r="Z58" s="6">
        <f t="shared" si="51"/>
        <v>0</v>
      </c>
    </row>
    <row r="59" spans="1:26" s="24" customFormat="1" hidden="1" outlineLevel="2" x14ac:dyDescent="0.25">
      <c r="A59" s="29"/>
      <c r="B59" s="11" t="str">
        <f>CONCATENATE("          ", "6247", " - ", "STORE SUPPLIES")</f>
        <v xml:space="preserve">          6247 - STORE SUPPLIES</v>
      </c>
      <c r="C59" s="11"/>
      <c r="D59" s="7"/>
      <c r="E59" s="2"/>
      <c r="F59" s="6">
        <f t="shared" si="44"/>
        <v>0</v>
      </c>
      <c r="G59" s="2"/>
      <c r="H59" s="7">
        <v>0</v>
      </c>
      <c r="I59" s="2"/>
      <c r="J59" s="6">
        <f t="shared" si="45"/>
        <v>0</v>
      </c>
      <c r="K59" s="2"/>
      <c r="L59" s="7">
        <f t="shared" si="46"/>
        <v>0</v>
      </c>
      <c r="M59" s="2"/>
      <c r="N59" s="6">
        <f t="shared" si="47"/>
        <v>0</v>
      </c>
      <c r="O59" s="11"/>
      <c r="P59" s="7"/>
      <c r="Q59" s="2"/>
      <c r="R59" s="6">
        <f t="shared" si="48"/>
        <v>0</v>
      </c>
      <c r="S59" s="2"/>
      <c r="T59" s="7">
        <v>0</v>
      </c>
      <c r="U59" s="2"/>
      <c r="V59" s="6">
        <f t="shared" si="49"/>
        <v>0</v>
      </c>
      <c r="W59" s="2"/>
      <c r="X59" s="7">
        <f t="shared" si="50"/>
        <v>0</v>
      </c>
      <c r="Y59" s="2"/>
      <c r="Z59" s="6">
        <f t="shared" si="51"/>
        <v>0</v>
      </c>
    </row>
    <row r="60" spans="1:26" s="28" customFormat="1" outlineLevel="1" collapsed="1" x14ac:dyDescent="0.25">
      <c r="A60" s="27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SUM(OSRRefD22_10x_0)</f>
        <v>30</v>
      </c>
      <c r="E60" s="1"/>
      <c r="F60" s="5">
        <f t="shared" ref="F60:F61" si="52">IF(D$12=0,0,D60/D$12)</f>
        <v>0</v>
      </c>
      <c r="G60" s="1"/>
      <c r="H60" s="1">
        <f>SUM(OSRRefH22_10x_0)</f>
        <v>0</v>
      </c>
      <c r="I60" s="1"/>
      <c r="J60" s="5">
        <f t="shared" ref="J60:J61" si="53">IF(H$12=0,0,H60/H$12)</f>
        <v>0</v>
      </c>
      <c r="K60" s="1"/>
      <c r="L60" s="1">
        <f t="shared" ref="L60:L61" si="54">+D60-H60</f>
        <v>30</v>
      </c>
      <c r="M60" s="1"/>
      <c r="N60" s="5">
        <f t="shared" ref="N60:N61" si="55">IF(H60=0,0,L60/H60)</f>
        <v>0</v>
      </c>
      <c r="O60" s="14"/>
      <c r="P60" s="1">
        <f>SUM(OSRRefP22_10x_0)</f>
        <v>274.32</v>
      </c>
      <c r="Q60" s="1"/>
      <c r="R60" s="5">
        <f t="shared" ref="R60:R61" si="56">IF(P$12=0,0,P60/P$12)</f>
        <v>0</v>
      </c>
      <c r="S60" s="1"/>
      <c r="T60" s="1">
        <f>SUM(OSRRefT22_10x_0)</f>
        <v>0</v>
      </c>
      <c r="U60" s="1"/>
      <c r="V60" s="5">
        <f t="shared" ref="V60:V61" si="57">IF(T$12=0,0,T60/T$12)</f>
        <v>0</v>
      </c>
      <c r="W60" s="1"/>
      <c r="X60" s="1">
        <f t="shared" ref="X60:X61" si="58">+P60-T60</f>
        <v>274.32</v>
      </c>
      <c r="Y60" s="1"/>
      <c r="Z60" s="5">
        <f t="shared" ref="Z60:Z61" si="59">IF(T60=0,0,X60/T60)</f>
        <v>0</v>
      </c>
    </row>
    <row r="61" spans="1:26" s="24" customFormat="1" hidden="1" outlineLevel="2" x14ac:dyDescent="0.25">
      <c r="A61" s="29"/>
      <c r="B61" s="11" t="str">
        <f>CONCATENATE("          ", "6309", " - ", "TELEPHONE")</f>
        <v xml:space="preserve">          6309 - TELEPHONE</v>
      </c>
      <c r="C61" s="11"/>
      <c r="D61" s="7">
        <v>30</v>
      </c>
      <c r="E61" s="2"/>
      <c r="F61" s="6">
        <f t="shared" si="52"/>
        <v>0</v>
      </c>
      <c r="G61" s="2"/>
      <c r="H61" s="7"/>
      <c r="I61" s="2"/>
      <c r="J61" s="6">
        <f t="shared" si="53"/>
        <v>0</v>
      </c>
      <c r="K61" s="2"/>
      <c r="L61" s="7">
        <f t="shared" si="54"/>
        <v>30</v>
      </c>
      <c r="M61" s="2"/>
      <c r="N61" s="6">
        <f t="shared" si="55"/>
        <v>0</v>
      </c>
      <c r="O61" s="11"/>
      <c r="P61" s="7">
        <v>274.32</v>
      </c>
      <c r="Q61" s="2"/>
      <c r="R61" s="6">
        <f t="shared" si="56"/>
        <v>0</v>
      </c>
      <c r="S61" s="2"/>
      <c r="T61" s="7"/>
      <c r="U61" s="2"/>
      <c r="V61" s="6">
        <f t="shared" si="57"/>
        <v>0</v>
      </c>
      <c r="W61" s="2"/>
      <c r="X61" s="7">
        <f t="shared" si="58"/>
        <v>274.32</v>
      </c>
      <c r="Y61" s="2"/>
      <c r="Z61" s="6">
        <f t="shared" si="59"/>
        <v>0</v>
      </c>
    </row>
    <row r="62" spans="1:26" s="53" customFormat="1" x14ac:dyDescent="0.25">
      <c r="A62" s="36"/>
      <c r="B62" s="36"/>
      <c r="C62" s="36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6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5" t="s">
        <v>3</v>
      </c>
      <c r="C65" s="25"/>
      <c r="D65" s="21">
        <f>+D18-D20+D63</f>
        <v>-1548.05</v>
      </c>
      <c r="E65" s="13"/>
      <c r="F65" s="19">
        <f>IF(D$12=0,0,D65/D$12)</f>
        <v>0</v>
      </c>
      <c r="G65" s="13"/>
      <c r="H65" s="21">
        <f>+H18-H20+H63</f>
        <v>0</v>
      </c>
      <c r="I65" s="13"/>
      <c r="J65" s="19">
        <f>IF(H$12=0,0,H65/H$12)</f>
        <v>0</v>
      </c>
      <c r="K65" s="16"/>
      <c r="L65" s="21">
        <f>+D65-H65</f>
        <v>-1548.05</v>
      </c>
      <c r="M65" s="16"/>
      <c r="N65" s="19">
        <f>IF(H65=0,0,L65/H65)</f>
        <v>0</v>
      </c>
      <c r="O65" s="26"/>
      <c r="P65" s="21">
        <f>+P18-P20+P63</f>
        <v>-6250.9000000000005</v>
      </c>
      <c r="Q65" s="13"/>
      <c r="R65" s="19">
        <f>IF(P$12=0,0,P65/P$12)</f>
        <v>0</v>
      </c>
      <c r="S65" s="13"/>
      <c r="T65" s="21">
        <f>+T18-T20+T63</f>
        <v>2</v>
      </c>
      <c r="U65" s="13"/>
      <c r="V65" s="19">
        <f>IF(T$12=0,0,T65/T$12)</f>
        <v>1</v>
      </c>
      <c r="W65" s="16"/>
      <c r="X65" s="21">
        <f>+P65-T65</f>
        <v>-6252.9000000000005</v>
      </c>
      <c r="Y65" s="16"/>
      <c r="Z65" s="19">
        <f>IF(T65=0,0,X65/T65)</f>
        <v>-3126.4500000000003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2"/>
      <c r="B67" s="10" t="s">
        <v>14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5" t="s">
        <v>4</v>
      </c>
      <c r="C69" s="25"/>
      <c r="D69" s="34">
        <f>+D65-D67</f>
        <v>-1548.05</v>
      </c>
      <c r="E69" s="13"/>
      <c r="F69" s="31">
        <f>IF(D$12=0,0,D69/D$12)</f>
        <v>0</v>
      </c>
      <c r="G69" s="13"/>
      <c r="H69" s="34">
        <f>+H65-H67</f>
        <v>0</v>
      </c>
      <c r="I69" s="13"/>
      <c r="J69" s="31">
        <f>IF(H$12=0,0,H69/H$12)</f>
        <v>0</v>
      </c>
      <c r="K69" s="16"/>
      <c r="L69" s="34">
        <f>D69-H69</f>
        <v>-1548.05</v>
      </c>
      <c r="M69" s="16"/>
      <c r="N69" s="31">
        <f>IF(H69=0,0,L69/H69)</f>
        <v>0</v>
      </c>
      <c r="O69" s="26"/>
      <c r="P69" s="34">
        <f>+P65-P67</f>
        <v>-6250.9000000000005</v>
      </c>
      <c r="Q69" s="13"/>
      <c r="R69" s="31">
        <f>IF(P$12=0,0,P69/P$12)</f>
        <v>0</v>
      </c>
      <c r="S69" s="13"/>
      <c r="T69" s="34">
        <f>+T65-T67</f>
        <v>2</v>
      </c>
      <c r="U69" s="13"/>
      <c r="V69" s="31">
        <f>IF(T$12=0,0,T69/T$12)</f>
        <v>1</v>
      </c>
      <c r="W69" s="16"/>
      <c r="X69" s="34">
        <f>P69-T69</f>
        <v>-6252.9000000000005</v>
      </c>
      <c r="Y69" s="16"/>
      <c r="Z69" s="31">
        <f>IF(T69=0,0,X69/T69)</f>
        <v>-3126.4500000000003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5" t="s">
        <v>5</v>
      </c>
      <c r="C72" s="25"/>
      <c r="D72" s="33">
        <f>SUM(D69:D71)</f>
        <v>-1548.05</v>
      </c>
      <c r="E72" s="13"/>
      <c r="F72" s="32">
        <f>IF(D$12=0,0,D72/D$12)</f>
        <v>0</v>
      </c>
      <c r="G72" s="13"/>
      <c r="H72" s="33">
        <f>SUM(H69:H71)</f>
        <v>0</v>
      </c>
      <c r="I72" s="13"/>
      <c r="J72" s="32">
        <f>IF(H$12=0,0,H72/H$12)</f>
        <v>0</v>
      </c>
      <c r="K72" s="16"/>
      <c r="L72" s="33">
        <f>+D72-H72</f>
        <v>-1548.05</v>
      </c>
      <c r="M72" s="16"/>
      <c r="N72" s="32">
        <f>IF(H72=0,0,L72/H72)</f>
        <v>0</v>
      </c>
      <c r="O72" s="26"/>
      <c r="P72" s="33">
        <f>SUM(P69:P71)</f>
        <v>-6250.9000000000005</v>
      </c>
      <c r="Q72" s="13"/>
      <c r="R72" s="32">
        <f>IF(P$12=0,0,P72/P$12)</f>
        <v>0</v>
      </c>
      <c r="S72" s="13"/>
      <c r="T72" s="33">
        <f>SUM(T69:T71)</f>
        <v>2</v>
      </c>
      <c r="U72" s="13"/>
      <c r="V72" s="32">
        <f>IF(T$12=0,0,T72/T$12)</f>
        <v>1</v>
      </c>
      <c r="W72" s="16"/>
      <c r="X72" s="33">
        <f>+P72-T72</f>
        <v>-6252.9000000000005</v>
      </c>
      <c r="Y72" s="16"/>
      <c r="Z72" s="32">
        <f>IF(T72=0,0,X72/T72)</f>
        <v>-3126.4500000000003</v>
      </c>
    </row>
    <row r="73" spans="1:26" ht="15.75" thickTop="1" x14ac:dyDescent="0.25">
      <c r="A73" s="9"/>
      <c r="C73" s="9"/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63">
        <v>44209.518452430559</v>
      </c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A75" s="9"/>
      <c r="B75" s="60" t="s">
        <v>314</v>
      </c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A76" s="9"/>
      <c r="B76" s="58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","313", " - ", "Convenience Store")</f>
        <v>Department 313 - Convenience Store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7814</v>
      </c>
      <c r="I12" s="4"/>
      <c r="J12" s="12"/>
      <c r="K12" s="4"/>
      <c r="L12" s="4">
        <f t="shared" ref="L12:L13" si="0">+D12-H12</f>
        <v>-7814</v>
      </c>
      <c r="M12" s="4"/>
      <c r="N12" s="12">
        <f t="shared" ref="N12:N13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59826</v>
      </c>
      <c r="U12" s="4"/>
      <c r="V12" s="12"/>
      <c r="W12" s="4"/>
      <c r="X12" s="4">
        <f t="shared" ref="X12:X13" si="2">+P12-T12</f>
        <v>-59826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7814</v>
      </c>
      <c r="I13" s="2"/>
      <c r="J13" s="22"/>
      <c r="K13" s="2"/>
      <c r="L13" s="2">
        <f t="shared" si="0"/>
        <v>-7814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59826</v>
      </c>
      <c r="U13" s="2"/>
      <c r="V13" s="22"/>
      <c r="W13" s="2"/>
      <c r="X13" s="2">
        <f t="shared" si="2"/>
        <v>-59826</v>
      </c>
      <c r="Y13" s="2"/>
      <c r="Z13" s="22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>
        <f>SUM(OSRRefD16x_0)</f>
        <v>0</v>
      </c>
      <c r="E15" s="4"/>
      <c r="F15" s="12">
        <f t="shared" ref="F15:F17" si="4">IF(D$12=0,0,D15/D$12)</f>
        <v>0</v>
      </c>
      <c r="G15" s="4"/>
      <c r="H15" s="4">
        <f>SUM(OSRRefH16x_0)</f>
        <v>3704</v>
      </c>
      <c r="I15" s="4"/>
      <c r="J15" s="12">
        <f t="shared" ref="J15:J17" si="5">IF(H$12=0,0,H15/H$12)</f>
        <v>0.47402098797030973</v>
      </c>
      <c r="K15" s="4"/>
      <c r="L15" s="4">
        <f t="shared" ref="L15:L17" si="6">+D15-H15</f>
        <v>-3704</v>
      </c>
      <c r="M15" s="4"/>
      <c r="N15" s="12">
        <f t="shared" ref="N15:N17" si="7">IF(H15=0,0,L15/H15)</f>
        <v>-1</v>
      </c>
      <c r="O15" s="10"/>
      <c r="P15" s="4">
        <f>SUM(OSRRefP16x_0)</f>
        <v>-613.59</v>
      </c>
      <c r="Q15" s="4"/>
      <c r="R15" s="12">
        <f t="shared" ref="R15:R17" si="8">IF(P$12=0,0,P15/P$12)</f>
        <v>0</v>
      </c>
      <c r="S15" s="4"/>
      <c r="T15" s="4">
        <f>SUM(OSRRefT16x_0)</f>
        <v>28358</v>
      </c>
      <c r="U15" s="4"/>
      <c r="V15" s="12">
        <f t="shared" ref="V15:V17" si="9">IF(T$12=0,0,T15/T$12)</f>
        <v>0.4740079564069134</v>
      </c>
      <c r="W15" s="4"/>
      <c r="X15" s="4">
        <f t="shared" ref="X15:X17" si="10">+P15-T15</f>
        <v>-28971.59</v>
      </c>
      <c r="Y15" s="4"/>
      <c r="Z15" s="12">
        <f t="shared" ref="Z15:Z17" si="11">IF(T15=0,0,X15/T15)</f>
        <v>-1.0216372804852247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3704</v>
      </c>
      <c r="I16" s="2"/>
      <c r="J16" s="22">
        <f t="shared" si="5"/>
        <v>0.47402098797030973</v>
      </c>
      <c r="K16" s="2"/>
      <c r="L16" s="2">
        <f t="shared" si="6"/>
        <v>-3704</v>
      </c>
      <c r="M16" s="2"/>
      <c r="N16" s="22">
        <f t="shared" si="7"/>
        <v>-1</v>
      </c>
      <c r="O16" s="11"/>
      <c r="P16" s="2"/>
      <c r="Q16" s="2"/>
      <c r="R16" s="22">
        <f t="shared" si="8"/>
        <v>0</v>
      </c>
      <c r="S16" s="2"/>
      <c r="T16" s="2">
        <v>28358</v>
      </c>
      <c r="U16" s="2"/>
      <c r="V16" s="22">
        <f t="shared" si="9"/>
        <v>0.4740079564069134</v>
      </c>
      <c r="W16" s="2"/>
      <c r="X16" s="2">
        <f t="shared" si="10"/>
        <v>-28358</v>
      </c>
      <c r="Y16" s="2"/>
      <c r="Z16" s="22">
        <f t="shared" si="11"/>
        <v>-1</v>
      </c>
    </row>
    <row r="17" spans="1:26" s="24" customFormat="1" hidden="1" outlineLevel="1" x14ac:dyDescent="0.25">
      <c r="A17" s="51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22">
        <f t="shared" si="4"/>
        <v>0</v>
      </c>
      <c r="G17" s="2"/>
      <c r="H17" s="2"/>
      <c r="I17" s="2"/>
      <c r="J17" s="22">
        <f t="shared" si="5"/>
        <v>0</v>
      </c>
      <c r="K17" s="2"/>
      <c r="L17" s="2">
        <f t="shared" si="6"/>
        <v>0</v>
      </c>
      <c r="M17" s="2"/>
      <c r="N17" s="22">
        <f t="shared" si="7"/>
        <v>0</v>
      </c>
      <c r="O17" s="11"/>
      <c r="P17" s="2">
        <v>-613.59</v>
      </c>
      <c r="Q17" s="2"/>
      <c r="R17" s="22">
        <f t="shared" si="8"/>
        <v>0</v>
      </c>
      <c r="S17" s="2"/>
      <c r="T17" s="2"/>
      <c r="U17" s="2"/>
      <c r="V17" s="22">
        <f t="shared" si="9"/>
        <v>0</v>
      </c>
      <c r="W17" s="2"/>
      <c r="X17" s="2">
        <f t="shared" si="10"/>
        <v>-613.59</v>
      </c>
      <c r="Y17" s="2"/>
      <c r="Z17" s="22">
        <f t="shared" si="11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21">
        <f>D12-D15</f>
        <v>0</v>
      </c>
      <c r="E19" s="13"/>
      <c r="F19" s="19">
        <f>IF(D$12=0,0,D19/D$12)</f>
        <v>0</v>
      </c>
      <c r="G19" s="13"/>
      <c r="H19" s="21">
        <f>H12-H15</f>
        <v>4110</v>
      </c>
      <c r="I19" s="13"/>
      <c r="J19" s="19">
        <f>IF(H$12=0,0,H19/H$12)</f>
        <v>0.52597901202969033</v>
      </c>
      <c r="K19" s="16"/>
      <c r="L19" s="21">
        <f>+D19-H19</f>
        <v>-4110</v>
      </c>
      <c r="M19" s="16"/>
      <c r="N19" s="19">
        <f>IF(H19=0,0,L19/H19)</f>
        <v>-1</v>
      </c>
      <c r="O19" s="26"/>
      <c r="P19" s="21">
        <f>P12-P15</f>
        <v>613.59</v>
      </c>
      <c r="Q19" s="13"/>
      <c r="R19" s="19">
        <f>IF(P$12=0,0,P19/P$12)</f>
        <v>0</v>
      </c>
      <c r="S19" s="13"/>
      <c r="T19" s="21">
        <f>T12-T15</f>
        <v>31468</v>
      </c>
      <c r="U19" s="13"/>
      <c r="V19" s="19">
        <f>IF(T$12=0,0,T19/T$12)</f>
        <v>0.5259920435930866</v>
      </c>
      <c r="W19" s="16"/>
      <c r="X19" s="21">
        <f>+P19-T19</f>
        <v>-30854.41</v>
      </c>
      <c r="Y19" s="16"/>
      <c r="Z19" s="19">
        <f>IF(T19=0,0,X19/T19)</f>
        <v>-0.9805011440193212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20">
        <f>SUM(OSRRefD22x_0)</f>
        <v>2286.9900000000002</v>
      </c>
      <c r="E21" s="20"/>
      <c r="F21" s="30">
        <f t="shared" ref="F21:F31" si="12">IF(D$12=0,0,D21/D$12)</f>
        <v>0</v>
      </c>
      <c r="G21" s="20"/>
      <c r="H21" s="20">
        <f>SUM(OSRRefH22x_0)</f>
        <v>12958.420620000001</v>
      </c>
      <c r="I21" s="20"/>
      <c r="J21" s="30">
        <f t="shared" ref="J21:J31" si="13">IF(H$12=0,0,H21/H$12)</f>
        <v>1.6583594343486052</v>
      </c>
      <c r="K21" s="4"/>
      <c r="L21" s="20">
        <f t="shared" ref="L21:L31" si="14">+D21-H21</f>
        <v>-10671.430620000001</v>
      </c>
      <c r="M21" s="4"/>
      <c r="N21" s="30">
        <f t="shared" ref="N21:N31" si="15">IF(H21=0,0,L21/H21)</f>
        <v>-0.82351321452937987</v>
      </c>
      <c r="O21" s="10"/>
      <c r="P21" s="20">
        <f>SUM(OSRRefP22x_0)</f>
        <v>46261.9</v>
      </c>
      <c r="Q21" s="20"/>
      <c r="R21" s="30">
        <f t="shared" ref="R21:R31" si="16">IF(P$12=0,0,P21/P$12)</f>
        <v>0</v>
      </c>
      <c r="S21" s="20"/>
      <c r="T21" s="20">
        <f>SUM(OSRRefT22x_0)</f>
        <v>83005.093109999987</v>
      </c>
      <c r="U21" s="20"/>
      <c r="V21" s="30">
        <f t="shared" ref="V21:V31" si="17">IF(T$12=0,0,T21/T$12)</f>
        <v>1.3874417997191855</v>
      </c>
      <c r="W21" s="4"/>
      <c r="X21" s="20">
        <f t="shared" ref="X21:X31" si="18">+P21-T21</f>
        <v>-36743.193109999986</v>
      </c>
      <c r="Y21" s="4"/>
      <c r="Z21" s="30">
        <f t="shared" ref="Z21:Z31" si="19">IF(T21=0,0,X21/T21)</f>
        <v>-0.44266191065296656</v>
      </c>
    </row>
    <row r="22" spans="1:26" s="28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1976.89</v>
      </c>
      <c r="E22" s="1"/>
      <c r="F22" s="5">
        <f t="shared" si="12"/>
        <v>0</v>
      </c>
      <c r="G22" s="1"/>
      <c r="H22" s="1">
        <f>SUM(OSRRefH22_0x_0)</f>
        <v>3590.7206200000001</v>
      </c>
      <c r="I22" s="1"/>
      <c r="J22" s="5">
        <f t="shared" si="13"/>
        <v>0.45952401074993604</v>
      </c>
      <c r="K22" s="1"/>
      <c r="L22" s="1">
        <f t="shared" si="14"/>
        <v>-1613.83062</v>
      </c>
      <c r="M22" s="1"/>
      <c r="N22" s="5">
        <f t="shared" si="15"/>
        <v>-0.44944477468146771</v>
      </c>
      <c r="O22" s="14"/>
      <c r="P22" s="1">
        <f>SUM(OSRRefP22_0x_0)</f>
        <v>21787.579999999998</v>
      </c>
      <c r="Q22" s="1"/>
      <c r="R22" s="5">
        <f t="shared" si="16"/>
        <v>0</v>
      </c>
      <c r="S22" s="1"/>
      <c r="T22" s="1">
        <f>SUM(OSRRefT22_0x_0)</f>
        <v>22132.043109999999</v>
      </c>
      <c r="U22" s="1"/>
      <c r="V22" s="5">
        <f t="shared" si="17"/>
        <v>0.36994021178083103</v>
      </c>
      <c r="W22" s="1"/>
      <c r="X22" s="1">
        <f t="shared" si="18"/>
        <v>-344.4631100000006</v>
      </c>
      <c r="Y22" s="1"/>
      <c r="Z22" s="5">
        <f t="shared" si="19"/>
        <v>-1.556399959497461E-2</v>
      </c>
    </row>
    <row r="23" spans="1:26" s="24" customFormat="1" hidden="1" outlineLevel="2" x14ac:dyDescent="0.25">
      <c r="A23" s="29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2"/>
        <v>0</v>
      </c>
      <c r="G23" s="2"/>
      <c r="H23" s="7">
        <v>503.10822000000002</v>
      </c>
      <c r="I23" s="2"/>
      <c r="J23" s="6">
        <f t="shared" si="13"/>
        <v>6.4385490145891996E-2</v>
      </c>
      <c r="K23" s="2"/>
      <c r="L23" s="7">
        <f t="shared" si="14"/>
        <v>-503.10822000000002</v>
      </c>
      <c r="M23" s="2"/>
      <c r="N23" s="6">
        <f t="shared" si="15"/>
        <v>-1</v>
      </c>
      <c r="O23" s="11"/>
      <c r="P23" s="7">
        <v>1924.35</v>
      </c>
      <c r="Q23" s="2"/>
      <c r="R23" s="6">
        <f t="shared" si="16"/>
        <v>0</v>
      </c>
      <c r="S23" s="2"/>
      <c r="T23" s="7">
        <v>3172.7042099999999</v>
      </c>
      <c r="U23" s="2"/>
      <c r="V23" s="6">
        <f t="shared" si="17"/>
        <v>5.3032196870925682E-2</v>
      </c>
      <c r="W23" s="2"/>
      <c r="X23" s="7">
        <f t="shared" si="18"/>
        <v>-1248.35421</v>
      </c>
      <c r="Y23" s="2"/>
      <c r="Z23" s="6">
        <f t="shared" si="19"/>
        <v>-0.39346693778302139</v>
      </c>
    </row>
    <row r="24" spans="1:26" s="24" customFormat="1" hidden="1" outlineLevel="2" x14ac:dyDescent="0.25">
      <c r="A24" s="29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2"/>
        <v>0</v>
      </c>
      <c r="G24" s="2"/>
      <c r="H24" s="7">
        <v>153.994</v>
      </c>
      <c r="I24" s="2"/>
      <c r="J24" s="6">
        <f t="shared" si="13"/>
        <v>1.9707448169951368E-2</v>
      </c>
      <c r="K24" s="2"/>
      <c r="L24" s="7">
        <f t="shared" si="14"/>
        <v>-153.994</v>
      </c>
      <c r="M24" s="2"/>
      <c r="N24" s="6">
        <f t="shared" si="15"/>
        <v>-1</v>
      </c>
      <c r="O24" s="11"/>
      <c r="P24" s="7">
        <v>499.06</v>
      </c>
      <c r="Q24" s="2"/>
      <c r="R24" s="6">
        <f t="shared" si="16"/>
        <v>0</v>
      </c>
      <c r="S24" s="2"/>
      <c r="T24" s="7">
        <v>972.3415</v>
      </c>
      <c r="U24" s="2"/>
      <c r="V24" s="6">
        <f t="shared" si="17"/>
        <v>1.6252824858757061E-2</v>
      </c>
      <c r="W24" s="2"/>
      <c r="X24" s="7">
        <f t="shared" si="18"/>
        <v>-473.28149999999999</v>
      </c>
      <c r="Y24" s="2"/>
      <c r="Z24" s="6">
        <f t="shared" si="19"/>
        <v>-0.48674411202237072</v>
      </c>
    </row>
    <row r="25" spans="1:26" s="24" customFormat="1" hidden="1" outlineLevel="2" x14ac:dyDescent="0.25">
      <c r="A25" s="29"/>
      <c r="B25" s="11" t="str">
        <f>CONCATENATE("          ", "6113", " - ", "GROUP INSURANCE")</f>
        <v xml:space="preserve">          6113 - GROUP INSURANCE</v>
      </c>
      <c r="C25" s="11"/>
      <c r="D25" s="7">
        <v>1976.89</v>
      </c>
      <c r="E25" s="2"/>
      <c r="F25" s="6">
        <f t="shared" si="12"/>
        <v>0</v>
      </c>
      <c r="G25" s="2"/>
      <c r="H25" s="7">
        <v>1980</v>
      </c>
      <c r="I25" s="2"/>
      <c r="J25" s="6">
        <f t="shared" si="13"/>
        <v>0.25339134886101866</v>
      </c>
      <c r="K25" s="2"/>
      <c r="L25" s="7">
        <f t="shared" si="14"/>
        <v>-3.1099999999999</v>
      </c>
      <c r="M25" s="2"/>
      <c r="N25" s="6">
        <f t="shared" si="15"/>
        <v>-1.5707070707070203E-3</v>
      </c>
      <c r="O25" s="11"/>
      <c r="P25" s="7">
        <v>12083.19</v>
      </c>
      <c r="Q25" s="2"/>
      <c r="R25" s="6">
        <f t="shared" si="16"/>
        <v>0</v>
      </c>
      <c r="S25" s="2"/>
      <c r="T25" s="7">
        <v>11880</v>
      </c>
      <c r="U25" s="2"/>
      <c r="V25" s="6">
        <f t="shared" si="17"/>
        <v>0.1985758700230669</v>
      </c>
      <c r="W25" s="2"/>
      <c r="X25" s="7">
        <f t="shared" si="18"/>
        <v>203.19000000000051</v>
      </c>
      <c r="Y25" s="2"/>
      <c r="Z25" s="6">
        <f t="shared" si="19"/>
        <v>1.7103535353535395E-2</v>
      </c>
    </row>
    <row r="26" spans="1:26" s="24" customFormat="1" hidden="1" outlineLevel="2" x14ac:dyDescent="0.2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2"/>
        <v>0</v>
      </c>
      <c r="G26" s="2"/>
      <c r="H26" s="7">
        <v>21.642399999999999</v>
      </c>
      <c r="I26" s="2"/>
      <c r="J26" s="6">
        <f t="shared" si="13"/>
        <v>2.7696954184796515E-3</v>
      </c>
      <c r="K26" s="2"/>
      <c r="L26" s="7">
        <f t="shared" si="14"/>
        <v>-21.642399999999999</v>
      </c>
      <c r="M26" s="2"/>
      <c r="N26" s="6">
        <f t="shared" si="15"/>
        <v>-1</v>
      </c>
      <c r="O26" s="11"/>
      <c r="P26" s="7">
        <v>70.14</v>
      </c>
      <c r="Q26" s="2"/>
      <c r="R26" s="6">
        <f t="shared" si="16"/>
        <v>0</v>
      </c>
      <c r="S26" s="2"/>
      <c r="T26" s="7">
        <v>136.6534</v>
      </c>
      <c r="U26" s="2"/>
      <c r="V26" s="6">
        <f t="shared" si="17"/>
        <v>2.2841807909604519E-3</v>
      </c>
      <c r="W26" s="2"/>
      <c r="X26" s="7">
        <f t="shared" si="18"/>
        <v>-66.513400000000004</v>
      </c>
      <c r="Y26" s="2"/>
      <c r="Z26" s="6">
        <f t="shared" si="19"/>
        <v>-0.48673066312290802</v>
      </c>
    </row>
    <row r="27" spans="1:26" s="24" customFormat="1" hidden="1" outlineLevel="2" x14ac:dyDescent="0.25">
      <c r="A27" s="29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2"/>
        <v>0</v>
      </c>
      <c r="G27" s="2"/>
      <c r="H27" s="7">
        <v>478.67599999999999</v>
      </c>
      <c r="I27" s="2"/>
      <c r="J27" s="6">
        <f t="shared" si="13"/>
        <v>6.1258766316867157E-2</v>
      </c>
      <c r="K27" s="2"/>
      <c r="L27" s="7">
        <f t="shared" si="14"/>
        <v>-478.67599999999999</v>
      </c>
      <c r="M27" s="2"/>
      <c r="N27" s="6">
        <f t="shared" si="15"/>
        <v>-1</v>
      </c>
      <c r="O27" s="11"/>
      <c r="P27" s="7">
        <v>3490.92</v>
      </c>
      <c r="Q27" s="2"/>
      <c r="R27" s="6">
        <f t="shared" si="16"/>
        <v>0</v>
      </c>
      <c r="S27" s="2"/>
      <c r="T27" s="7">
        <v>3111.3939999999998</v>
      </c>
      <c r="U27" s="2"/>
      <c r="V27" s="6">
        <f t="shared" si="17"/>
        <v>5.2007388092133851E-2</v>
      </c>
      <c r="W27" s="2"/>
      <c r="X27" s="7">
        <f t="shared" si="18"/>
        <v>379.52600000000029</v>
      </c>
      <c r="Y27" s="2"/>
      <c r="Z27" s="6">
        <f t="shared" si="19"/>
        <v>0.12197940858663361</v>
      </c>
    </row>
    <row r="28" spans="1:26" s="24" customFormat="1" hidden="1" outlineLevel="2" x14ac:dyDescent="0.25">
      <c r="A28" s="29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2"/>
        <v>0</v>
      </c>
      <c r="G29" s="2"/>
      <c r="H29" s="7">
        <v>166.98</v>
      </c>
      <c r="I29" s="2"/>
      <c r="J29" s="6">
        <f t="shared" si="13"/>
        <v>2.1369337087279242E-2</v>
      </c>
      <c r="K29" s="2"/>
      <c r="L29" s="7">
        <f t="shared" si="14"/>
        <v>-166.98</v>
      </c>
      <c r="M29" s="2"/>
      <c r="N29" s="6">
        <f t="shared" si="15"/>
        <v>-1</v>
      </c>
      <c r="O29" s="11"/>
      <c r="P29" s="7">
        <v>2035.3</v>
      </c>
      <c r="Q29" s="2"/>
      <c r="R29" s="6">
        <f t="shared" si="16"/>
        <v>0</v>
      </c>
      <c r="S29" s="2"/>
      <c r="T29" s="7">
        <v>1085.3699999999999</v>
      </c>
      <c r="U29" s="2"/>
      <c r="V29" s="6">
        <f t="shared" si="17"/>
        <v>1.8142112125162972E-2</v>
      </c>
      <c r="W29" s="2"/>
      <c r="X29" s="7">
        <f t="shared" si="18"/>
        <v>949.93000000000006</v>
      </c>
      <c r="Y29" s="2"/>
      <c r="Z29" s="6">
        <f t="shared" si="19"/>
        <v>0.87521306098381213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2"/>
        <v>0</v>
      </c>
      <c r="G30" s="2"/>
      <c r="H30" s="7">
        <v>111.32</v>
      </c>
      <c r="I30" s="2"/>
      <c r="J30" s="6">
        <f t="shared" si="13"/>
        <v>1.4246224724852827E-2</v>
      </c>
      <c r="K30" s="2"/>
      <c r="L30" s="7">
        <f t="shared" si="14"/>
        <v>-111.32</v>
      </c>
      <c r="M30" s="2"/>
      <c r="N30" s="6">
        <f t="shared" si="15"/>
        <v>-1</v>
      </c>
      <c r="O30" s="11"/>
      <c r="P30" s="7">
        <v>1283.8</v>
      </c>
      <c r="Q30" s="2"/>
      <c r="R30" s="6">
        <f t="shared" si="16"/>
        <v>0</v>
      </c>
      <c r="S30" s="2"/>
      <c r="T30" s="7">
        <v>723.58</v>
      </c>
      <c r="U30" s="2"/>
      <c r="V30" s="6">
        <f t="shared" si="17"/>
        <v>1.2094741416775317E-2</v>
      </c>
      <c r="W30" s="2"/>
      <c r="X30" s="7">
        <f t="shared" si="18"/>
        <v>560.21999999999991</v>
      </c>
      <c r="Y30" s="2"/>
      <c r="Z30" s="6">
        <f t="shared" si="19"/>
        <v>0.77423367146687283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2"/>
        <v>0</v>
      </c>
      <c r="G31" s="2"/>
      <c r="H31" s="7">
        <v>175</v>
      </c>
      <c r="I31" s="2"/>
      <c r="J31" s="6">
        <f t="shared" si="13"/>
        <v>2.2395700025595086E-2</v>
      </c>
      <c r="K31" s="2"/>
      <c r="L31" s="7">
        <f t="shared" si="14"/>
        <v>-175</v>
      </c>
      <c r="M31" s="2"/>
      <c r="N31" s="6">
        <f t="shared" si="15"/>
        <v>-1</v>
      </c>
      <c r="O31" s="11"/>
      <c r="P31" s="7">
        <v>400.82</v>
      </c>
      <c r="Q31" s="2"/>
      <c r="R31" s="6">
        <f t="shared" si="16"/>
        <v>0</v>
      </c>
      <c r="S31" s="2"/>
      <c r="T31" s="7">
        <v>1050</v>
      </c>
      <c r="U31" s="2"/>
      <c r="V31" s="6">
        <f t="shared" si="17"/>
        <v>1.7550897603048843E-2</v>
      </c>
      <c r="W31" s="2"/>
      <c r="X31" s="7">
        <f t="shared" si="18"/>
        <v>-649.18000000000006</v>
      </c>
      <c r="Y31" s="2"/>
      <c r="Z31" s="6">
        <f t="shared" si="19"/>
        <v>-0.61826666666666674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42" si="20">IF(D$12=0,0,D32/D$12)</f>
        <v>0</v>
      </c>
      <c r="G32" s="1"/>
      <c r="H32" s="1">
        <f>SUM(OSRRefH22_1x_0)</f>
        <v>8045.7</v>
      </c>
      <c r="I32" s="1"/>
      <c r="J32" s="5">
        <f t="shared" ref="J32:J42" si="21">IF(H$12=0,0,H32/H$12)</f>
        <v>1.0296519068338879</v>
      </c>
      <c r="K32" s="1"/>
      <c r="L32" s="1">
        <f t="shared" ref="L32:L42" si="22">+D32-H32</f>
        <v>-8045.7</v>
      </c>
      <c r="M32" s="1"/>
      <c r="N32" s="5">
        <f t="shared" ref="N32:N42" si="23">IF(H32=0,0,L32/H32)</f>
        <v>-1</v>
      </c>
      <c r="O32" s="14"/>
      <c r="P32" s="1">
        <f>SUM(OSRRefP22_1x_0)</f>
        <v>23136.42</v>
      </c>
      <c r="Q32" s="1"/>
      <c r="R32" s="5">
        <f t="shared" ref="R32:R42" si="24">IF(P$12=0,0,P32/P$12)</f>
        <v>0</v>
      </c>
      <c r="S32" s="1"/>
      <c r="T32" s="1">
        <f>SUM(OSRRefT22_1x_0)</f>
        <v>50750.049999999996</v>
      </c>
      <c r="U32" s="1"/>
      <c r="V32" s="5">
        <f t="shared" ref="V32:V42" si="25">IF(T$12=0,0,T32/T$12)</f>
        <v>0.84829421990438936</v>
      </c>
      <c r="W32" s="1"/>
      <c r="X32" s="1">
        <f t="shared" ref="X32:X42" si="26">+P32-T32</f>
        <v>-27613.629999999997</v>
      </c>
      <c r="Y32" s="1"/>
      <c r="Z32" s="5">
        <f t="shared" ref="Z32:Z42" si="27">IF(T32=0,0,X32/T32)</f>
        <v>-0.54411039989123167</v>
      </c>
    </row>
    <row r="33" spans="1:26" s="24" customFormat="1" hidden="1" outlineLevel="2" x14ac:dyDescent="0.25">
      <c r="A33" s="29"/>
      <c r="B33" s="11" t="str">
        <f>CONCATENATE("          ", "6001", " - ", "ADMINISTRATIVE SALARIES")</f>
        <v xml:space="preserve">          6001 - ADMINISTRATIVE SALARIES</v>
      </c>
      <c r="C33" s="11"/>
      <c r="D33" s="7"/>
      <c r="E33" s="2"/>
      <c r="F33" s="6">
        <f t="shared" si="20"/>
        <v>0</v>
      </c>
      <c r="G33" s="2"/>
      <c r="H33" s="7">
        <v>5287.7</v>
      </c>
      <c r="I33" s="2"/>
      <c r="J33" s="6">
        <f t="shared" si="21"/>
        <v>0.67669567443050926</v>
      </c>
      <c r="K33" s="2"/>
      <c r="L33" s="7">
        <f t="shared" si="22"/>
        <v>-5287.7</v>
      </c>
      <c r="M33" s="2"/>
      <c r="N33" s="6">
        <f t="shared" si="23"/>
        <v>-1</v>
      </c>
      <c r="O33" s="11"/>
      <c r="P33" s="7"/>
      <c r="Q33" s="2"/>
      <c r="R33" s="6">
        <f t="shared" si="24"/>
        <v>0</v>
      </c>
      <c r="S33" s="2"/>
      <c r="T33" s="7">
        <v>34370.049999999996</v>
      </c>
      <c r="U33" s="2"/>
      <c r="V33" s="6">
        <f t="shared" si="25"/>
        <v>0.57450021729682743</v>
      </c>
      <c r="W33" s="2"/>
      <c r="X33" s="7">
        <f t="shared" si="26"/>
        <v>-34370.049999999996</v>
      </c>
      <c r="Y33" s="2"/>
      <c r="Z33" s="6">
        <f t="shared" si="27"/>
        <v>-1</v>
      </c>
    </row>
    <row r="34" spans="1:26" s="24" customFormat="1" hidden="1" outlineLevel="2" x14ac:dyDescent="0.25">
      <c r="A34" s="29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>
        <v>23136.42</v>
      </c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23136.42</v>
      </c>
      <c r="Y34" s="2"/>
      <c r="Z34" s="6">
        <f t="shared" si="27"/>
        <v>0</v>
      </c>
    </row>
    <row r="35" spans="1:26" s="24" customFormat="1" hidden="1" outlineLevel="2" x14ac:dyDescent="0.25">
      <c r="A35" s="29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9"/>
      <c r="B36" s="11" t="str">
        <f>CONCATENATE("          ", "6004", " - ", "STAFF HOURLY")</f>
        <v xml:space="preserve">          6004 - STAFF HOURLY</v>
      </c>
      <c r="C36" s="11"/>
      <c r="D36" s="7"/>
      <c r="E36" s="2"/>
      <c r="F36" s="6">
        <f t="shared" si="20"/>
        <v>0</v>
      </c>
      <c r="G36" s="2"/>
      <c r="H36" s="7">
        <v>1008</v>
      </c>
      <c r="I36" s="2"/>
      <c r="J36" s="6">
        <f t="shared" si="21"/>
        <v>0.1289992321474277</v>
      </c>
      <c r="K36" s="2"/>
      <c r="L36" s="7">
        <f t="shared" si="22"/>
        <v>-1008</v>
      </c>
      <c r="M36" s="2"/>
      <c r="N36" s="6">
        <f t="shared" si="23"/>
        <v>-1</v>
      </c>
      <c r="O36" s="11"/>
      <c r="P36" s="7"/>
      <c r="Q36" s="2"/>
      <c r="R36" s="6">
        <f t="shared" si="24"/>
        <v>0</v>
      </c>
      <c r="S36" s="2"/>
      <c r="T36" s="7">
        <v>5278</v>
      </c>
      <c r="U36" s="2"/>
      <c r="V36" s="6">
        <f t="shared" si="25"/>
        <v>8.8222511951325508E-2</v>
      </c>
      <c r="W36" s="2"/>
      <c r="X36" s="7">
        <f t="shared" si="26"/>
        <v>-5278</v>
      </c>
      <c r="Y36" s="2"/>
      <c r="Z36" s="6">
        <f t="shared" si="27"/>
        <v>-1</v>
      </c>
    </row>
    <row r="37" spans="1:26" s="24" customFormat="1" hidden="1" outlineLevel="2" x14ac:dyDescent="0.25">
      <c r="A37" s="29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0"/>
        <v>0</v>
      </c>
      <c r="G37" s="2"/>
      <c r="H37" s="7">
        <v>1750</v>
      </c>
      <c r="I37" s="2"/>
      <c r="J37" s="6">
        <f t="shared" si="21"/>
        <v>0.22395700025595086</v>
      </c>
      <c r="K37" s="2"/>
      <c r="L37" s="7">
        <f t="shared" si="22"/>
        <v>-1750</v>
      </c>
      <c r="M37" s="2"/>
      <c r="N37" s="6">
        <f t="shared" si="23"/>
        <v>-1</v>
      </c>
      <c r="O37" s="11"/>
      <c r="P37" s="7"/>
      <c r="Q37" s="2"/>
      <c r="R37" s="6">
        <f t="shared" si="24"/>
        <v>0</v>
      </c>
      <c r="S37" s="2"/>
      <c r="T37" s="7">
        <v>11102</v>
      </c>
      <c r="U37" s="2"/>
      <c r="V37" s="6">
        <f t="shared" si="25"/>
        <v>0.18557149065623643</v>
      </c>
      <c r="W37" s="2"/>
      <c r="X37" s="7">
        <f t="shared" si="26"/>
        <v>-11102</v>
      </c>
      <c r="Y37" s="2"/>
      <c r="Z37" s="6">
        <f t="shared" si="27"/>
        <v>-1</v>
      </c>
    </row>
    <row r="38" spans="1:26" s="24" customFormat="1" hidden="1" outlineLevel="2" x14ac:dyDescent="0.25">
      <c r="A38" s="29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4" customFormat="1" hidden="1" outlineLevel="2" x14ac:dyDescent="0.25">
      <c r="A42" s="29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8" customFormat="1" outlineLevel="1" collapsed="1" x14ac:dyDescent="0.25">
      <c r="A43" s="27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53" si="28">IF(D$12=0,0,D43/D$12)</f>
        <v>0</v>
      </c>
      <c r="G43" s="1"/>
      <c r="H43" s="1">
        <f>SUM(OSRRefH22_2x_0)</f>
        <v>100</v>
      </c>
      <c r="I43" s="1"/>
      <c r="J43" s="5">
        <f t="shared" ref="J43:J53" si="29">IF(H$12=0,0,H43/H$12)</f>
        <v>1.2797542871768621E-2</v>
      </c>
      <c r="K43" s="1"/>
      <c r="L43" s="1">
        <f t="shared" ref="L43:L53" si="30">+D43-H43</f>
        <v>-100</v>
      </c>
      <c r="M43" s="1"/>
      <c r="N43" s="5">
        <f t="shared" ref="N43:N53" si="31">IF(H43=0,0,L43/H43)</f>
        <v>-1</v>
      </c>
      <c r="O43" s="14"/>
      <c r="P43" s="1">
        <f>SUM(OSRRefP22_2x_0)</f>
        <v>0</v>
      </c>
      <c r="Q43" s="1"/>
      <c r="R43" s="5">
        <f t="shared" ref="R43:R53" si="32">IF(P$12=0,0,P43/P$12)</f>
        <v>0</v>
      </c>
      <c r="S43" s="1"/>
      <c r="T43" s="1">
        <f>SUM(OSRRefT22_2x_0)</f>
        <v>600</v>
      </c>
      <c r="U43" s="1"/>
      <c r="V43" s="5">
        <f t="shared" ref="V43:V53" si="33">IF(T$12=0,0,T43/T$12)</f>
        <v>1.0029084344599338E-2</v>
      </c>
      <c r="W43" s="1"/>
      <c r="X43" s="1">
        <f t="shared" ref="X43:X53" si="34">+P43-T43</f>
        <v>-600</v>
      </c>
      <c r="Y43" s="1"/>
      <c r="Z43" s="5">
        <f t="shared" ref="Z43:Z53" si="35">IF(T43=0,0,X43/T43)</f>
        <v>-1</v>
      </c>
    </row>
    <row r="44" spans="1:26" s="24" customFormat="1" hidden="1" outlineLevel="2" x14ac:dyDescent="0.25">
      <c r="A44" s="29"/>
      <c r="B44" s="11" t="str">
        <f>CONCATENATE("          ", "6362", " - ", "ADVERTISING EXPENSE")</f>
        <v xml:space="preserve">          6362 - ADVERTISING EXPENSE</v>
      </c>
      <c r="C44" s="11"/>
      <c r="D44" s="7"/>
      <c r="E44" s="2"/>
      <c r="F44" s="6">
        <f t="shared" si="28"/>
        <v>0</v>
      </c>
      <c r="G44" s="2"/>
      <c r="H44" s="7">
        <v>100</v>
      </c>
      <c r="I44" s="2"/>
      <c r="J44" s="6">
        <f t="shared" si="29"/>
        <v>1.2797542871768621E-2</v>
      </c>
      <c r="K44" s="2"/>
      <c r="L44" s="7">
        <f t="shared" si="30"/>
        <v>-100</v>
      </c>
      <c r="M44" s="2"/>
      <c r="N44" s="6">
        <f t="shared" si="31"/>
        <v>-1</v>
      </c>
      <c r="O44" s="11"/>
      <c r="P44" s="7"/>
      <c r="Q44" s="2"/>
      <c r="R44" s="6">
        <f t="shared" si="32"/>
        <v>0</v>
      </c>
      <c r="S44" s="2"/>
      <c r="T44" s="7">
        <v>600</v>
      </c>
      <c r="U44" s="2"/>
      <c r="V44" s="6">
        <f t="shared" si="33"/>
        <v>1.0029084344599338E-2</v>
      </c>
      <c r="W44" s="2"/>
      <c r="X44" s="7">
        <f t="shared" si="34"/>
        <v>-600</v>
      </c>
      <c r="Y44" s="2"/>
      <c r="Z44" s="6">
        <f t="shared" si="35"/>
        <v>-1</v>
      </c>
    </row>
    <row r="45" spans="1:26" s="28" customFormat="1" outlineLevel="1" collapsed="1" x14ac:dyDescent="0.2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SUM(OSRRefD22_3x_0)</f>
        <v>0</v>
      </c>
      <c r="E45" s="1"/>
      <c r="F45" s="5">
        <f t="shared" si="28"/>
        <v>0</v>
      </c>
      <c r="G45" s="1"/>
      <c r="H45" s="1">
        <f>SUM(OSRRefH22_3x_0)</f>
        <v>494</v>
      </c>
      <c r="I45" s="1"/>
      <c r="J45" s="5">
        <f t="shared" si="29"/>
        <v>6.3219861786536991E-2</v>
      </c>
      <c r="K45" s="1"/>
      <c r="L45" s="1">
        <f t="shared" si="30"/>
        <v>-494</v>
      </c>
      <c r="M45" s="1"/>
      <c r="N45" s="5">
        <f t="shared" si="31"/>
        <v>-1</v>
      </c>
      <c r="O45" s="14"/>
      <c r="P45" s="1">
        <f>SUM(OSRRefP22_3x_0)</f>
        <v>240</v>
      </c>
      <c r="Q45" s="1"/>
      <c r="R45" s="5">
        <f t="shared" si="32"/>
        <v>0</v>
      </c>
      <c r="S45" s="1"/>
      <c r="T45" s="1">
        <f>SUM(OSRRefT22_3x_0)</f>
        <v>3680</v>
      </c>
      <c r="U45" s="1"/>
      <c r="V45" s="5">
        <f t="shared" si="33"/>
        <v>6.1511717313542609E-2</v>
      </c>
      <c r="W45" s="1"/>
      <c r="X45" s="1">
        <f t="shared" si="34"/>
        <v>-3440</v>
      </c>
      <c r="Y45" s="1"/>
      <c r="Z45" s="5">
        <f t="shared" si="35"/>
        <v>-0.93478260869565222</v>
      </c>
    </row>
    <row r="46" spans="1:26" s="24" customFormat="1" hidden="1" outlineLevel="2" x14ac:dyDescent="0.25">
      <c r="A46" s="29"/>
      <c r="B46" s="11" t="str">
        <f>CONCATENATE("          ", "6381", " - ", "BANK/CREDIT CARD FEES")</f>
        <v xml:space="preserve">          6381 - BANK/CREDIT CARD FEES</v>
      </c>
      <c r="C46" s="11"/>
      <c r="D46" s="7"/>
      <c r="E46" s="2"/>
      <c r="F46" s="6">
        <f t="shared" si="28"/>
        <v>0</v>
      </c>
      <c r="G46" s="2"/>
      <c r="H46" s="7">
        <v>494</v>
      </c>
      <c r="I46" s="2"/>
      <c r="J46" s="6">
        <f t="shared" si="29"/>
        <v>6.3219861786536991E-2</v>
      </c>
      <c r="K46" s="2"/>
      <c r="L46" s="7">
        <f t="shared" si="30"/>
        <v>-494</v>
      </c>
      <c r="M46" s="2"/>
      <c r="N46" s="6">
        <f t="shared" si="31"/>
        <v>-1</v>
      </c>
      <c r="O46" s="11"/>
      <c r="P46" s="7">
        <v>240</v>
      </c>
      <c r="Q46" s="2"/>
      <c r="R46" s="6">
        <f t="shared" si="32"/>
        <v>0</v>
      </c>
      <c r="S46" s="2"/>
      <c r="T46" s="7">
        <v>3680</v>
      </c>
      <c r="U46" s="2"/>
      <c r="V46" s="6">
        <f t="shared" si="33"/>
        <v>6.1511717313542609E-2</v>
      </c>
      <c r="W46" s="2"/>
      <c r="X46" s="7">
        <f t="shared" si="34"/>
        <v>-3440</v>
      </c>
      <c r="Y46" s="2"/>
      <c r="Z46" s="6">
        <f t="shared" si="35"/>
        <v>-0.93478260869565222</v>
      </c>
    </row>
    <row r="47" spans="1:26" s="28" customFormat="1" outlineLevel="1" collapsed="1" x14ac:dyDescent="0.25">
      <c r="A47" s="27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SUM(OSRRefD22_4x_0)</f>
        <v>3.93</v>
      </c>
      <c r="E47" s="1"/>
      <c r="F47" s="5">
        <f t="shared" si="28"/>
        <v>0</v>
      </c>
      <c r="G47" s="1"/>
      <c r="H47" s="1">
        <f>SUM(OSRRefH22_4x_0)</f>
        <v>0</v>
      </c>
      <c r="I47" s="1"/>
      <c r="J47" s="5">
        <f t="shared" si="29"/>
        <v>0</v>
      </c>
      <c r="K47" s="1"/>
      <c r="L47" s="1">
        <f t="shared" si="30"/>
        <v>3.93</v>
      </c>
      <c r="M47" s="1"/>
      <c r="N47" s="5">
        <f t="shared" si="31"/>
        <v>0</v>
      </c>
      <c r="O47" s="14"/>
      <c r="P47" s="1">
        <f>SUM(OSRRefP22_4x_0)</f>
        <v>109.26</v>
      </c>
      <c r="Q47" s="1"/>
      <c r="R47" s="5">
        <f t="shared" si="32"/>
        <v>0</v>
      </c>
      <c r="S47" s="1"/>
      <c r="T47" s="1">
        <f>SUM(OSRRefT22_4x_0)</f>
        <v>0</v>
      </c>
      <c r="U47" s="1"/>
      <c r="V47" s="5">
        <f t="shared" si="33"/>
        <v>0</v>
      </c>
      <c r="W47" s="1"/>
      <c r="X47" s="1">
        <f t="shared" si="34"/>
        <v>109.26</v>
      </c>
      <c r="Y47" s="1"/>
      <c r="Z47" s="5">
        <f t="shared" si="35"/>
        <v>0</v>
      </c>
    </row>
    <row r="48" spans="1:26" s="24" customFormat="1" hidden="1" outlineLevel="2" x14ac:dyDescent="0.25">
      <c r="A48" s="29"/>
      <c r="B48" s="11" t="str">
        <f>CONCATENATE("          ", "6305", " - ", "FREIGHT OUT")</f>
        <v xml:space="preserve">          6305 - FREIGHT OUT</v>
      </c>
      <c r="C48" s="11"/>
      <c r="D48" s="7">
        <v>3.93</v>
      </c>
      <c r="E48" s="2"/>
      <c r="F48" s="6">
        <f t="shared" si="28"/>
        <v>0</v>
      </c>
      <c r="G48" s="2"/>
      <c r="H48" s="7"/>
      <c r="I48" s="2"/>
      <c r="J48" s="6">
        <f t="shared" si="29"/>
        <v>0</v>
      </c>
      <c r="K48" s="2"/>
      <c r="L48" s="7">
        <f t="shared" si="30"/>
        <v>3.93</v>
      </c>
      <c r="M48" s="2"/>
      <c r="N48" s="6">
        <f t="shared" si="31"/>
        <v>0</v>
      </c>
      <c r="O48" s="11"/>
      <c r="P48" s="7">
        <v>109.26</v>
      </c>
      <c r="Q48" s="2"/>
      <c r="R48" s="6">
        <f t="shared" si="32"/>
        <v>0</v>
      </c>
      <c r="S48" s="2"/>
      <c r="T48" s="7"/>
      <c r="U48" s="2"/>
      <c r="V48" s="6">
        <f t="shared" si="33"/>
        <v>0</v>
      </c>
      <c r="W48" s="2"/>
      <c r="X48" s="7">
        <f t="shared" si="34"/>
        <v>109.26</v>
      </c>
      <c r="Y48" s="2"/>
      <c r="Z48" s="6">
        <f t="shared" si="35"/>
        <v>0</v>
      </c>
    </row>
    <row r="49" spans="1:26" s="28" customFormat="1" outlineLevel="1" collapsed="1" x14ac:dyDescent="0.25">
      <c r="A49" s="27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SUM(OSRRefD22_5x_0)</f>
        <v>160</v>
      </c>
      <c r="E49" s="1"/>
      <c r="F49" s="5">
        <f t="shared" si="28"/>
        <v>0</v>
      </c>
      <c r="G49" s="1"/>
      <c r="H49" s="1">
        <f>SUM(OSRRefH22_5x_0)</f>
        <v>0</v>
      </c>
      <c r="I49" s="1"/>
      <c r="J49" s="5">
        <f t="shared" si="29"/>
        <v>0</v>
      </c>
      <c r="K49" s="1"/>
      <c r="L49" s="1">
        <f t="shared" si="30"/>
        <v>160</v>
      </c>
      <c r="M49" s="1"/>
      <c r="N49" s="5">
        <f t="shared" si="31"/>
        <v>0</v>
      </c>
      <c r="O49" s="14"/>
      <c r="P49" s="1">
        <f>SUM(OSRRefP22_5x_0)</f>
        <v>160</v>
      </c>
      <c r="Q49" s="1"/>
      <c r="R49" s="5">
        <f t="shared" si="32"/>
        <v>0</v>
      </c>
      <c r="S49" s="1"/>
      <c r="T49" s="1">
        <f>SUM(OSRRefT22_5x_0)</f>
        <v>1350</v>
      </c>
      <c r="U49" s="1"/>
      <c r="V49" s="5">
        <f t="shared" si="33"/>
        <v>2.2565439775348511E-2</v>
      </c>
      <c r="W49" s="1"/>
      <c r="X49" s="1">
        <f t="shared" si="34"/>
        <v>-1190</v>
      </c>
      <c r="Y49" s="1"/>
      <c r="Z49" s="5">
        <f t="shared" si="35"/>
        <v>-0.88148148148148153</v>
      </c>
    </row>
    <row r="50" spans="1:26" s="24" customFormat="1" hidden="1" outlineLevel="2" x14ac:dyDescent="0.25">
      <c r="A50" s="29"/>
      <c r="B50" s="11" t="str">
        <f>CONCATENATE("          ", "6279", " - ", "GENERAL EXPENSE")</f>
        <v xml:space="preserve">          6279 - GENERAL EXPENSE</v>
      </c>
      <c r="C50" s="11"/>
      <c r="D50" s="7">
        <v>160</v>
      </c>
      <c r="E50" s="2"/>
      <c r="F50" s="6">
        <f t="shared" si="28"/>
        <v>0</v>
      </c>
      <c r="G50" s="2"/>
      <c r="H50" s="7"/>
      <c r="I50" s="2"/>
      <c r="J50" s="6">
        <f t="shared" si="29"/>
        <v>0</v>
      </c>
      <c r="K50" s="2"/>
      <c r="L50" s="7">
        <f t="shared" si="30"/>
        <v>160</v>
      </c>
      <c r="M50" s="2"/>
      <c r="N50" s="6">
        <f t="shared" si="31"/>
        <v>0</v>
      </c>
      <c r="O50" s="11"/>
      <c r="P50" s="7">
        <v>160</v>
      </c>
      <c r="Q50" s="2"/>
      <c r="R50" s="6">
        <f t="shared" si="32"/>
        <v>0</v>
      </c>
      <c r="S50" s="2"/>
      <c r="T50" s="7">
        <v>1350</v>
      </c>
      <c r="U50" s="2"/>
      <c r="V50" s="6">
        <f t="shared" si="33"/>
        <v>2.2565439775348511E-2</v>
      </c>
      <c r="W50" s="2"/>
      <c r="X50" s="7">
        <f t="shared" si="34"/>
        <v>-1190</v>
      </c>
      <c r="Y50" s="2"/>
      <c r="Z50" s="6">
        <f t="shared" si="35"/>
        <v>-0.88148148148148153</v>
      </c>
    </row>
    <row r="51" spans="1:26" s="28" customFormat="1" outlineLevel="1" collapsed="1" x14ac:dyDescent="0.25">
      <c r="A51" s="27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SUM(OSRRefD22_6x_0)</f>
        <v>24.12</v>
      </c>
      <c r="E51" s="1"/>
      <c r="F51" s="5">
        <f t="shared" si="28"/>
        <v>0</v>
      </c>
      <c r="G51" s="1"/>
      <c r="H51" s="1">
        <f>SUM(OSRRefH22_6x_0)</f>
        <v>35</v>
      </c>
      <c r="I51" s="1"/>
      <c r="J51" s="5">
        <f t="shared" si="29"/>
        <v>4.4791400051190176E-3</v>
      </c>
      <c r="K51" s="1"/>
      <c r="L51" s="1">
        <f t="shared" si="30"/>
        <v>-10.879999999999999</v>
      </c>
      <c r="M51" s="1"/>
      <c r="N51" s="5">
        <f t="shared" si="31"/>
        <v>-0.31085714285714283</v>
      </c>
      <c r="O51" s="14"/>
      <c r="P51" s="1">
        <f>SUM(OSRRefP22_6x_0)</f>
        <v>48.24</v>
      </c>
      <c r="Q51" s="1"/>
      <c r="R51" s="5">
        <f t="shared" si="32"/>
        <v>0</v>
      </c>
      <c r="S51" s="1"/>
      <c r="T51" s="1">
        <f>SUM(OSRRefT22_6x_0)</f>
        <v>175</v>
      </c>
      <c r="U51" s="1"/>
      <c r="V51" s="5">
        <f t="shared" si="33"/>
        <v>2.9251496005081403E-3</v>
      </c>
      <c r="W51" s="1"/>
      <c r="X51" s="1">
        <f t="shared" si="34"/>
        <v>-126.75999999999999</v>
      </c>
      <c r="Y51" s="1"/>
      <c r="Z51" s="5">
        <f t="shared" si="35"/>
        <v>-0.72434285714285707</v>
      </c>
    </row>
    <row r="52" spans="1:26" s="24" customFormat="1" hidden="1" outlineLevel="2" x14ac:dyDescent="0.25">
      <c r="A52" s="29"/>
      <c r="B52" s="11" t="str">
        <f>CONCATENATE("          ", "6373", " - ", "MAINTENANCE CONTRACTS")</f>
        <v xml:space="preserve">          6373 - MAINTENANCE CONTRACTS</v>
      </c>
      <c r="C52" s="11"/>
      <c r="D52" s="7">
        <v>24.12</v>
      </c>
      <c r="E52" s="2"/>
      <c r="F52" s="6">
        <f t="shared" si="28"/>
        <v>0</v>
      </c>
      <c r="G52" s="2"/>
      <c r="H52" s="7"/>
      <c r="I52" s="2"/>
      <c r="J52" s="6">
        <f t="shared" si="29"/>
        <v>0</v>
      </c>
      <c r="K52" s="2"/>
      <c r="L52" s="7">
        <f t="shared" si="30"/>
        <v>24.12</v>
      </c>
      <c r="M52" s="2"/>
      <c r="N52" s="6">
        <f t="shared" si="31"/>
        <v>0</v>
      </c>
      <c r="O52" s="11"/>
      <c r="P52" s="7">
        <v>48.24</v>
      </c>
      <c r="Q52" s="2"/>
      <c r="R52" s="6">
        <f t="shared" si="32"/>
        <v>0</v>
      </c>
      <c r="S52" s="2"/>
      <c r="T52" s="7"/>
      <c r="U52" s="2"/>
      <c r="V52" s="6">
        <f t="shared" si="33"/>
        <v>0</v>
      </c>
      <c r="W52" s="2"/>
      <c r="X52" s="7">
        <f t="shared" si="34"/>
        <v>48.24</v>
      </c>
      <c r="Y52" s="2"/>
      <c r="Z52" s="6">
        <f t="shared" si="35"/>
        <v>0</v>
      </c>
    </row>
    <row r="53" spans="1:26" s="24" customFormat="1" hidden="1" outlineLevel="2" x14ac:dyDescent="0.25">
      <c r="A53" s="29"/>
      <c r="B53" s="11" t="str">
        <f>CONCATENATE("          ", "6375", " - ", "OUTSIDE REPAIRS &amp; MAINTENANCE")</f>
        <v xml:space="preserve">          6375 - OUTSIDE REPAIRS &amp; MAINTENANCE</v>
      </c>
      <c r="C53" s="11"/>
      <c r="D53" s="7"/>
      <c r="E53" s="2"/>
      <c r="F53" s="6">
        <f t="shared" si="28"/>
        <v>0</v>
      </c>
      <c r="G53" s="2"/>
      <c r="H53" s="7">
        <v>35</v>
      </c>
      <c r="I53" s="2"/>
      <c r="J53" s="6">
        <f t="shared" si="29"/>
        <v>4.4791400051190176E-3</v>
      </c>
      <c r="K53" s="2"/>
      <c r="L53" s="7">
        <f t="shared" si="30"/>
        <v>-35</v>
      </c>
      <c r="M53" s="2"/>
      <c r="N53" s="6">
        <f t="shared" si="31"/>
        <v>-1</v>
      </c>
      <c r="O53" s="11"/>
      <c r="P53" s="7"/>
      <c r="Q53" s="2"/>
      <c r="R53" s="6">
        <f t="shared" si="32"/>
        <v>0</v>
      </c>
      <c r="S53" s="2"/>
      <c r="T53" s="7">
        <v>175</v>
      </c>
      <c r="U53" s="2"/>
      <c r="V53" s="6">
        <f t="shared" si="33"/>
        <v>2.9251496005081403E-3</v>
      </c>
      <c r="W53" s="2"/>
      <c r="X53" s="7">
        <f t="shared" si="34"/>
        <v>-175</v>
      </c>
      <c r="Y53" s="2"/>
      <c r="Z53" s="6">
        <f t="shared" si="35"/>
        <v>-1</v>
      </c>
    </row>
    <row r="54" spans="1:26" s="28" customFormat="1" outlineLevel="1" collapsed="1" x14ac:dyDescent="0.25">
      <c r="A54" s="27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SUM(OSRRefD22_7x_0)</f>
        <v>0</v>
      </c>
      <c r="E54" s="1"/>
      <c r="F54" s="5">
        <f t="shared" ref="F54:F59" si="36">IF(D$12=0,0,D54/D$12)</f>
        <v>0</v>
      </c>
      <c r="G54" s="1"/>
      <c r="H54" s="1">
        <f>SUM(OSRRefH22_7x_0)</f>
        <v>163</v>
      </c>
      <c r="I54" s="1"/>
      <c r="J54" s="5">
        <f t="shared" ref="J54:J59" si="37">IF(H$12=0,0,H54/H$12)</f>
        <v>2.0859994880982852E-2</v>
      </c>
      <c r="K54" s="1"/>
      <c r="L54" s="1">
        <f t="shared" ref="L54:L59" si="38">+D54-H54</f>
        <v>-163</v>
      </c>
      <c r="M54" s="1"/>
      <c r="N54" s="5">
        <f t="shared" ref="N54:N59" si="39">IF(H54=0,0,L54/H54)</f>
        <v>-1</v>
      </c>
      <c r="O54" s="14"/>
      <c r="P54" s="1">
        <f>SUM(OSRRefP22_7x_0)</f>
        <v>0</v>
      </c>
      <c r="Q54" s="1"/>
      <c r="R54" s="5">
        <f t="shared" ref="R54:R59" si="40">IF(P$12=0,0,P54/P$12)</f>
        <v>0</v>
      </c>
      <c r="S54" s="1"/>
      <c r="T54" s="1">
        <f>SUM(OSRRefT22_7x_0)</f>
        <v>978</v>
      </c>
      <c r="U54" s="1"/>
      <c r="V54" s="5">
        <f t="shared" ref="V54:V59" si="41">IF(T$12=0,0,T54/T$12)</f>
        <v>1.634740748169692E-2</v>
      </c>
      <c r="W54" s="1"/>
      <c r="X54" s="1">
        <f t="shared" ref="X54:X59" si="42">+P54-T54</f>
        <v>-978</v>
      </c>
      <c r="Y54" s="1"/>
      <c r="Z54" s="5">
        <f t="shared" ref="Z54:Z59" si="43">IF(T54=0,0,X54/T54)</f>
        <v>-1</v>
      </c>
    </row>
    <row r="55" spans="1:26" s="24" customFormat="1" hidden="1" outlineLevel="2" x14ac:dyDescent="0.25">
      <c r="A55" s="29"/>
      <c r="B55" s="11" t="str">
        <f>CONCATENATE("          ", "6285", " - ", "JANITORIAL SERVICES")</f>
        <v xml:space="preserve">          6285 - JANITORIAL SERVICES</v>
      </c>
      <c r="C55" s="11"/>
      <c r="D55" s="7"/>
      <c r="E55" s="2"/>
      <c r="F55" s="6">
        <f t="shared" si="36"/>
        <v>0</v>
      </c>
      <c r="G55" s="2"/>
      <c r="H55" s="7">
        <v>163</v>
      </c>
      <c r="I55" s="2"/>
      <c r="J55" s="6">
        <f t="shared" si="37"/>
        <v>2.0859994880982852E-2</v>
      </c>
      <c r="K55" s="2"/>
      <c r="L55" s="7">
        <f t="shared" si="38"/>
        <v>-163</v>
      </c>
      <c r="M55" s="2"/>
      <c r="N55" s="6">
        <f t="shared" si="39"/>
        <v>-1</v>
      </c>
      <c r="O55" s="11"/>
      <c r="P55" s="7"/>
      <c r="Q55" s="2"/>
      <c r="R55" s="6">
        <f t="shared" si="40"/>
        <v>0</v>
      </c>
      <c r="S55" s="2"/>
      <c r="T55" s="7">
        <v>978</v>
      </c>
      <c r="U55" s="2"/>
      <c r="V55" s="6">
        <f t="shared" si="41"/>
        <v>1.634740748169692E-2</v>
      </c>
      <c r="W55" s="2"/>
      <c r="X55" s="7">
        <f t="shared" si="42"/>
        <v>-978</v>
      </c>
      <c r="Y55" s="2"/>
      <c r="Z55" s="6">
        <f t="shared" si="43"/>
        <v>-1</v>
      </c>
    </row>
    <row r="56" spans="1:26" s="28" customFormat="1" outlineLevel="1" collapsed="1" x14ac:dyDescent="0.25">
      <c r="A56" s="27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SUM(OSRRefD22_8x_0)</f>
        <v>0</v>
      </c>
      <c r="E56" s="1"/>
      <c r="F56" s="5">
        <f t="shared" si="36"/>
        <v>0</v>
      </c>
      <c r="G56" s="1"/>
      <c r="H56" s="1">
        <f>SUM(OSRRefH22_8x_0)</f>
        <v>410</v>
      </c>
      <c r="I56" s="1"/>
      <c r="J56" s="5">
        <f t="shared" si="37"/>
        <v>5.2469925774251344E-2</v>
      </c>
      <c r="K56" s="1"/>
      <c r="L56" s="1">
        <f t="shared" si="38"/>
        <v>-410</v>
      </c>
      <c r="M56" s="1"/>
      <c r="N56" s="5">
        <f t="shared" si="39"/>
        <v>-1</v>
      </c>
      <c r="O56" s="14"/>
      <c r="P56" s="1">
        <f>SUM(OSRRefP22_8x_0)</f>
        <v>0</v>
      </c>
      <c r="Q56" s="1"/>
      <c r="R56" s="5">
        <f t="shared" si="40"/>
        <v>0</v>
      </c>
      <c r="S56" s="1"/>
      <c r="T56" s="1">
        <f>SUM(OSRRefT22_8x_0)</f>
        <v>2560</v>
      </c>
      <c r="U56" s="1"/>
      <c r="V56" s="5">
        <f t="shared" si="41"/>
        <v>4.2790759870290511E-2</v>
      </c>
      <c r="W56" s="1"/>
      <c r="X56" s="1">
        <f t="shared" si="42"/>
        <v>-2560</v>
      </c>
      <c r="Y56" s="1"/>
      <c r="Z56" s="5">
        <f t="shared" si="43"/>
        <v>-1</v>
      </c>
    </row>
    <row r="57" spans="1:26" s="24" customFormat="1" hidden="1" outlineLevel="2" x14ac:dyDescent="0.25">
      <c r="A57" s="29"/>
      <c r="B57" s="11" t="str">
        <f>CONCATENATE("          ", "6235", " - ", "COVID-19 EXPENSES")</f>
        <v xml:space="preserve">          6235 - COVID-19 EXPENSES</v>
      </c>
      <c r="C57" s="11"/>
      <c r="D57" s="7"/>
      <c r="E57" s="2"/>
      <c r="F57" s="6">
        <f t="shared" si="36"/>
        <v>0</v>
      </c>
      <c r="G57" s="2"/>
      <c r="H57" s="7">
        <v>0</v>
      </c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/>
      <c r="Q57" s="2"/>
      <c r="R57" s="6">
        <f t="shared" si="40"/>
        <v>0</v>
      </c>
      <c r="S57" s="2"/>
      <c r="T57" s="7">
        <v>0</v>
      </c>
      <c r="U57" s="2"/>
      <c r="V57" s="6">
        <f t="shared" si="41"/>
        <v>0</v>
      </c>
      <c r="W57" s="2"/>
      <c r="X57" s="7">
        <f t="shared" si="42"/>
        <v>0</v>
      </c>
      <c r="Y57" s="2"/>
      <c r="Z57" s="6">
        <f t="shared" si="43"/>
        <v>0</v>
      </c>
    </row>
    <row r="58" spans="1:26" s="24" customFormat="1" hidden="1" outlineLevel="2" x14ac:dyDescent="0.25">
      <c r="A58" s="29"/>
      <c r="B58" s="11" t="str">
        <f>CONCATENATE("          ", "6247", " - ", "STORE SUPPLIES")</f>
        <v xml:space="preserve">          6247 - STORE SUPPLIES</v>
      </c>
      <c r="C58" s="11"/>
      <c r="D58" s="7"/>
      <c r="E58" s="2"/>
      <c r="F58" s="6">
        <f t="shared" si="36"/>
        <v>0</v>
      </c>
      <c r="G58" s="2"/>
      <c r="H58" s="7">
        <v>410</v>
      </c>
      <c r="I58" s="2"/>
      <c r="J58" s="6">
        <f t="shared" si="37"/>
        <v>5.2469925774251344E-2</v>
      </c>
      <c r="K58" s="2"/>
      <c r="L58" s="7">
        <f t="shared" si="38"/>
        <v>-410</v>
      </c>
      <c r="M58" s="2"/>
      <c r="N58" s="6">
        <f t="shared" si="39"/>
        <v>-1</v>
      </c>
      <c r="O58" s="11"/>
      <c r="P58" s="7"/>
      <c r="Q58" s="2"/>
      <c r="R58" s="6">
        <f t="shared" si="40"/>
        <v>0</v>
      </c>
      <c r="S58" s="2"/>
      <c r="T58" s="7">
        <v>2560</v>
      </c>
      <c r="U58" s="2"/>
      <c r="V58" s="6">
        <f t="shared" si="41"/>
        <v>4.2790759870290511E-2</v>
      </c>
      <c r="W58" s="2"/>
      <c r="X58" s="7">
        <f t="shared" si="42"/>
        <v>-2560</v>
      </c>
      <c r="Y58" s="2"/>
      <c r="Z58" s="6">
        <f t="shared" si="43"/>
        <v>-1</v>
      </c>
    </row>
    <row r="59" spans="1:26" s="24" customFormat="1" hidden="1" outlineLevel="2" x14ac:dyDescent="0.25">
      <c r="A59" s="29"/>
      <c r="B59" s="11" t="str">
        <f>CONCATENATE("          ", "6248", " - ", "UNIFORMS")</f>
        <v xml:space="preserve">          6248 - UNIFORMS</v>
      </c>
      <c r="C59" s="11"/>
      <c r="D59" s="7"/>
      <c r="E59" s="2"/>
      <c r="F59" s="6">
        <f t="shared" si="36"/>
        <v>0</v>
      </c>
      <c r="G59" s="2"/>
      <c r="H59" s="7"/>
      <c r="I59" s="2"/>
      <c r="J59" s="6">
        <f t="shared" si="37"/>
        <v>0</v>
      </c>
      <c r="K59" s="2"/>
      <c r="L59" s="7">
        <f t="shared" si="38"/>
        <v>0</v>
      </c>
      <c r="M59" s="2"/>
      <c r="N59" s="6">
        <f t="shared" si="39"/>
        <v>0</v>
      </c>
      <c r="O59" s="11"/>
      <c r="P59" s="7"/>
      <c r="Q59" s="2"/>
      <c r="R59" s="6">
        <f t="shared" si="40"/>
        <v>0</v>
      </c>
      <c r="S59" s="2"/>
      <c r="T59" s="7">
        <v>0</v>
      </c>
      <c r="U59" s="2"/>
      <c r="V59" s="6">
        <f t="shared" si="41"/>
        <v>0</v>
      </c>
      <c r="W59" s="2"/>
      <c r="X59" s="7">
        <f t="shared" si="42"/>
        <v>0</v>
      </c>
      <c r="Y59" s="2"/>
      <c r="Z59" s="6">
        <f t="shared" si="43"/>
        <v>0</v>
      </c>
    </row>
    <row r="60" spans="1:26" s="28" customFormat="1" outlineLevel="1" collapsed="1" x14ac:dyDescent="0.25">
      <c r="A60" s="27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SUM(OSRRefD22_9x_0)</f>
        <v>122.05</v>
      </c>
      <c r="E60" s="1"/>
      <c r="F60" s="5">
        <f t="shared" ref="F60:F62" si="44">IF(D$12=0,0,D60/D$12)</f>
        <v>0</v>
      </c>
      <c r="G60" s="1"/>
      <c r="H60" s="1">
        <f>SUM(OSRRefH22_9x_0)</f>
        <v>120</v>
      </c>
      <c r="I60" s="1"/>
      <c r="J60" s="5">
        <f t="shared" ref="J60:J62" si="45">IF(H$12=0,0,H60/H$12)</f>
        <v>1.5357051446122344E-2</v>
      </c>
      <c r="K60" s="1"/>
      <c r="L60" s="1">
        <f t="shared" ref="L60:L62" si="46">+D60-H60</f>
        <v>2.0499999999999972</v>
      </c>
      <c r="M60" s="1"/>
      <c r="N60" s="5">
        <f t="shared" ref="N60:N62" si="47">IF(H60=0,0,L60/H60)</f>
        <v>1.7083333333333308E-2</v>
      </c>
      <c r="O60" s="14"/>
      <c r="P60" s="1">
        <f>SUM(OSRRefP22_9x_0)</f>
        <v>780.4</v>
      </c>
      <c r="Q60" s="1"/>
      <c r="R60" s="5">
        <f t="shared" ref="R60:R62" si="48">IF(P$12=0,0,P60/P$12)</f>
        <v>0</v>
      </c>
      <c r="S60" s="1"/>
      <c r="T60" s="1">
        <f>SUM(OSRRefT22_9x_0)</f>
        <v>720</v>
      </c>
      <c r="U60" s="1"/>
      <c r="V60" s="5">
        <f t="shared" ref="V60:V62" si="49">IF(T$12=0,0,T60/T$12)</f>
        <v>1.2034901213519206E-2</v>
      </c>
      <c r="W60" s="1"/>
      <c r="X60" s="1">
        <f t="shared" ref="X60:X62" si="50">+P60-T60</f>
        <v>60.399999999999977</v>
      </c>
      <c r="Y60" s="1"/>
      <c r="Z60" s="5">
        <f t="shared" ref="Z60:Z62" si="51">IF(T60=0,0,X60/T60)</f>
        <v>8.388888888888886E-2</v>
      </c>
    </row>
    <row r="61" spans="1:26" s="24" customFormat="1" hidden="1" outlineLevel="2" x14ac:dyDescent="0.25">
      <c r="A61" s="29"/>
      <c r="B61" s="11" t="str">
        <f>CONCATENATE("          ", "6303", " - ", "DATA PHONE LINES")</f>
        <v xml:space="preserve">          6303 - DATA PHONE LINES</v>
      </c>
      <c r="C61" s="11"/>
      <c r="D61" s="7"/>
      <c r="E61" s="2"/>
      <c r="F61" s="6">
        <f t="shared" si="44"/>
        <v>0</v>
      </c>
      <c r="G61" s="2"/>
      <c r="H61" s="7">
        <v>120</v>
      </c>
      <c r="I61" s="2"/>
      <c r="J61" s="6">
        <f t="shared" si="45"/>
        <v>1.5357051446122344E-2</v>
      </c>
      <c r="K61" s="2"/>
      <c r="L61" s="7">
        <f t="shared" si="46"/>
        <v>-120</v>
      </c>
      <c r="M61" s="2"/>
      <c r="N61" s="6">
        <f t="shared" si="47"/>
        <v>-1</v>
      </c>
      <c r="O61" s="11"/>
      <c r="P61" s="7"/>
      <c r="Q61" s="2"/>
      <c r="R61" s="6">
        <f t="shared" si="48"/>
        <v>0</v>
      </c>
      <c r="S61" s="2"/>
      <c r="T61" s="7">
        <v>720</v>
      </c>
      <c r="U61" s="2"/>
      <c r="V61" s="6">
        <f t="shared" si="49"/>
        <v>1.2034901213519206E-2</v>
      </c>
      <c r="W61" s="2"/>
      <c r="X61" s="7">
        <f t="shared" si="50"/>
        <v>-720</v>
      </c>
      <c r="Y61" s="2"/>
      <c r="Z61" s="6">
        <f t="shared" si="51"/>
        <v>-1</v>
      </c>
    </row>
    <row r="62" spans="1:26" s="24" customFormat="1" hidden="1" outlineLevel="2" x14ac:dyDescent="0.25">
      <c r="A62" s="29"/>
      <c r="B62" s="11" t="str">
        <f>CONCATENATE("          ", "6309", " - ", "TELEPHONE")</f>
        <v xml:space="preserve">          6309 - TELEPHONE</v>
      </c>
      <c r="C62" s="11"/>
      <c r="D62" s="7">
        <v>122.05</v>
      </c>
      <c r="E62" s="2"/>
      <c r="F62" s="6">
        <f t="shared" si="44"/>
        <v>0</v>
      </c>
      <c r="G62" s="2"/>
      <c r="H62" s="7"/>
      <c r="I62" s="2"/>
      <c r="J62" s="6">
        <f t="shared" si="45"/>
        <v>0</v>
      </c>
      <c r="K62" s="2"/>
      <c r="L62" s="7">
        <f t="shared" si="46"/>
        <v>122.05</v>
      </c>
      <c r="M62" s="2"/>
      <c r="N62" s="6">
        <f t="shared" si="47"/>
        <v>0</v>
      </c>
      <c r="O62" s="11"/>
      <c r="P62" s="7">
        <v>780.4</v>
      </c>
      <c r="Q62" s="2"/>
      <c r="R62" s="6">
        <f t="shared" si="48"/>
        <v>0</v>
      </c>
      <c r="S62" s="2"/>
      <c r="T62" s="7"/>
      <c r="U62" s="2"/>
      <c r="V62" s="6">
        <f t="shared" si="49"/>
        <v>0</v>
      </c>
      <c r="W62" s="2"/>
      <c r="X62" s="7">
        <f t="shared" si="50"/>
        <v>780.4</v>
      </c>
      <c r="Y62" s="2"/>
      <c r="Z62" s="6">
        <f t="shared" si="51"/>
        <v>0</v>
      </c>
    </row>
    <row r="63" spans="1:26" s="28" customFormat="1" outlineLevel="1" collapsed="1" x14ac:dyDescent="0.25">
      <c r="A63" s="27"/>
      <c r="B63" s="14" t="str">
        <f>CONCATENATE("     ","Training                                          ")</f>
        <v xml:space="preserve">     Training                                          </v>
      </c>
      <c r="C63" s="14"/>
      <c r="D63" s="1">
        <f>SUM(OSRRefD22_10x_0)</f>
        <v>0</v>
      </c>
      <c r="E63" s="1"/>
      <c r="F63" s="5">
        <f t="shared" ref="F63:F66" si="52">IF(D$12=0,0,D63/D$12)</f>
        <v>0</v>
      </c>
      <c r="G63" s="1"/>
      <c r="H63" s="1">
        <f>SUM(OSRRefH22_10x_0)</f>
        <v>0</v>
      </c>
      <c r="I63" s="1"/>
      <c r="J63" s="5">
        <f t="shared" ref="J63:J66" si="53">IF(H$12=0,0,H63/H$12)</f>
        <v>0</v>
      </c>
      <c r="K63" s="1"/>
      <c r="L63" s="1">
        <f t="shared" ref="L63:L66" si="54">+D63-H63</f>
        <v>0</v>
      </c>
      <c r="M63" s="1"/>
      <c r="N63" s="5">
        <f t="shared" ref="N63:N66" si="55">IF(H63=0,0,L63/H63)</f>
        <v>0</v>
      </c>
      <c r="O63" s="14"/>
      <c r="P63" s="1">
        <f>SUM(OSRRefP22_10x_0)</f>
        <v>0</v>
      </c>
      <c r="Q63" s="1"/>
      <c r="R63" s="5">
        <f t="shared" ref="R63:R66" si="56">IF(P$12=0,0,P63/P$12)</f>
        <v>0</v>
      </c>
      <c r="S63" s="1"/>
      <c r="T63" s="1">
        <f>SUM(OSRRefT22_10x_0)</f>
        <v>60</v>
      </c>
      <c r="U63" s="1"/>
      <c r="V63" s="5">
        <f t="shared" ref="V63:V66" si="57">IF(T$12=0,0,T63/T$12)</f>
        <v>1.0029084344599338E-3</v>
      </c>
      <c r="W63" s="1"/>
      <c r="X63" s="1">
        <f t="shared" ref="X63:X66" si="58">+P63-T63</f>
        <v>-60</v>
      </c>
      <c r="Y63" s="1"/>
      <c r="Z63" s="5">
        <f t="shared" ref="Z63:Z66" si="59">IF(T63=0,0,X63/T63)</f>
        <v>-1</v>
      </c>
    </row>
    <row r="64" spans="1:26" s="24" customFormat="1" hidden="1" outlineLevel="2" x14ac:dyDescent="0.25">
      <c r="A64" s="29"/>
      <c r="B64" s="11" t="str">
        <f>CONCATENATE("          ", "6376", " - ", "TRAINING")</f>
        <v xml:space="preserve">          6376 - TRAINING</v>
      </c>
      <c r="C64" s="11"/>
      <c r="D64" s="7"/>
      <c r="E64" s="2"/>
      <c r="F64" s="6">
        <f t="shared" si="52"/>
        <v>0</v>
      </c>
      <c r="G64" s="2"/>
      <c r="H64" s="7"/>
      <c r="I64" s="2"/>
      <c r="J64" s="6">
        <f t="shared" si="53"/>
        <v>0</v>
      </c>
      <c r="K64" s="2"/>
      <c r="L64" s="7">
        <f t="shared" si="54"/>
        <v>0</v>
      </c>
      <c r="M64" s="2"/>
      <c r="N64" s="6">
        <f t="shared" si="55"/>
        <v>0</v>
      </c>
      <c r="O64" s="11"/>
      <c r="P64" s="7"/>
      <c r="Q64" s="2"/>
      <c r="R64" s="6">
        <f t="shared" si="56"/>
        <v>0</v>
      </c>
      <c r="S64" s="2"/>
      <c r="T64" s="7">
        <v>60</v>
      </c>
      <c r="U64" s="2"/>
      <c r="V64" s="6">
        <f t="shared" si="57"/>
        <v>1.0029084344599338E-3</v>
      </c>
      <c r="W64" s="2"/>
      <c r="X64" s="7">
        <f t="shared" si="58"/>
        <v>-60</v>
      </c>
      <c r="Y64" s="2"/>
      <c r="Z64" s="6">
        <f t="shared" si="59"/>
        <v>-1</v>
      </c>
    </row>
    <row r="65" spans="1:26" s="28" customFormat="1" outlineLevel="1" collapsed="1" x14ac:dyDescent="0.25">
      <c r="A65" s="27"/>
      <c r="B65" s="14" t="str">
        <f>CONCATENATE("     ","Travel                                            ")</f>
        <v xml:space="preserve">     Travel                                            </v>
      </c>
      <c r="C65" s="14"/>
      <c r="D65" s="1">
        <f>SUM(OSRRefD22_11x_0)</f>
        <v>0</v>
      </c>
      <c r="E65" s="1"/>
      <c r="F65" s="5">
        <f t="shared" si="52"/>
        <v>0</v>
      </c>
      <c r="G65" s="1"/>
      <c r="H65" s="1">
        <f>SUM(OSRRefH22_11x_0)</f>
        <v>0</v>
      </c>
      <c r="I65" s="1"/>
      <c r="J65" s="5">
        <f t="shared" si="53"/>
        <v>0</v>
      </c>
      <c r="K65" s="1"/>
      <c r="L65" s="1">
        <f t="shared" si="54"/>
        <v>0</v>
      </c>
      <c r="M65" s="1"/>
      <c r="N65" s="5">
        <f t="shared" si="55"/>
        <v>0</v>
      </c>
      <c r="O65" s="14"/>
      <c r="P65" s="1">
        <f>SUM(OSRRefP22_11x_0)</f>
        <v>0</v>
      </c>
      <c r="Q65" s="1"/>
      <c r="R65" s="5">
        <f t="shared" si="56"/>
        <v>0</v>
      </c>
      <c r="S65" s="1"/>
      <c r="T65" s="1">
        <f>SUM(OSRRefT22_11x_0)</f>
        <v>0</v>
      </c>
      <c r="U65" s="1"/>
      <c r="V65" s="5">
        <f t="shared" si="57"/>
        <v>0</v>
      </c>
      <c r="W65" s="1"/>
      <c r="X65" s="1">
        <f t="shared" si="58"/>
        <v>0</v>
      </c>
      <c r="Y65" s="1"/>
      <c r="Z65" s="5">
        <f t="shared" si="59"/>
        <v>0</v>
      </c>
    </row>
    <row r="66" spans="1:26" s="24" customFormat="1" hidden="1" outlineLevel="2" x14ac:dyDescent="0.25">
      <c r="A66" s="29"/>
      <c r="B66" s="11" t="str">
        <f>CONCATENATE("          ", "6292", " - ", "TRAVEL/CONFERENCE")</f>
        <v xml:space="preserve">          6292 - TRAVEL/CONFERENCE</v>
      </c>
      <c r="C66" s="11"/>
      <c r="D66" s="7"/>
      <c r="E66" s="2"/>
      <c r="F66" s="6">
        <f t="shared" si="52"/>
        <v>0</v>
      </c>
      <c r="G66" s="2"/>
      <c r="H66" s="7"/>
      <c r="I66" s="2"/>
      <c r="J66" s="6">
        <f t="shared" si="53"/>
        <v>0</v>
      </c>
      <c r="K66" s="2"/>
      <c r="L66" s="7">
        <f t="shared" si="54"/>
        <v>0</v>
      </c>
      <c r="M66" s="2"/>
      <c r="N66" s="6">
        <f t="shared" si="55"/>
        <v>0</v>
      </c>
      <c r="O66" s="11"/>
      <c r="P66" s="7"/>
      <c r="Q66" s="2"/>
      <c r="R66" s="6">
        <f t="shared" si="56"/>
        <v>0</v>
      </c>
      <c r="S66" s="2"/>
      <c r="T66" s="7">
        <v>0</v>
      </c>
      <c r="U66" s="2"/>
      <c r="V66" s="6">
        <f t="shared" si="57"/>
        <v>0</v>
      </c>
      <c r="W66" s="2"/>
      <c r="X66" s="7">
        <f t="shared" si="58"/>
        <v>0</v>
      </c>
      <c r="Y66" s="2"/>
      <c r="Z66" s="6">
        <f t="shared" si="59"/>
        <v>0</v>
      </c>
    </row>
    <row r="67" spans="1:26" s="53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6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5" t="s">
        <v>3</v>
      </c>
      <c r="C70" s="25"/>
      <c r="D70" s="21">
        <f>+D19-D21+D68</f>
        <v>-2286.9900000000002</v>
      </c>
      <c r="E70" s="13"/>
      <c r="F70" s="19">
        <f>IF(D$12=0,0,D70/D$12)</f>
        <v>0</v>
      </c>
      <c r="G70" s="13"/>
      <c r="H70" s="21">
        <f>+H19-H21+H68</f>
        <v>-8848.4206200000008</v>
      </c>
      <c r="I70" s="13"/>
      <c r="J70" s="19">
        <f>IF(H$12=0,0,H70/H$12)</f>
        <v>-1.1323804223189149</v>
      </c>
      <c r="K70" s="16"/>
      <c r="L70" s="21">
        <f>+D70-H70</f>
        <v>6561.430620000001</v>
      </c>
      <c r="M70" s="16"/>
      <c r="N70" s="19">
        <f>IF(H70=0,0,L70/H70)</f>
        <v>-0.74153692526429649</v>
      </c>
      <c r="O70" s="26"/>
      <c r="P70" s="21">
        <f>+P19-P21+P68</f>
        <v>-45648.310000000005</v>
      </c>
      <c r="Q70" s="13"/>
      <c r="R70" s="19">
        <f>IF(P$12=0,0,P70/P$12)</f>
        <v>0</v>
      </c>
      <c r="S70" s="13"/>
      <c r="T70" s="21">
        <f>+T19-T21+T68</f>
        <v>-51537.093109999987</v>
      </c>
      <c r="U70" s="13"/>
      <c r="V70" s="19">
        <f>IF(T$12=0,0,T70/T$12)</f>
        <v>-0.86144975612609875</v>
      </c>
      <c r="W70" s="16"/>
      <c r="X70" s="21">
        <f>+P70-T70</f>
        <v>5888.7831099999821</v>
      </c>
      <c r="Y70" s="16"/>
      <c r="Z70" s="19">
        <f>IF(T70=0,0,X70/T70)</f>
        <v>-0.11426300465629781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14</v>
      </c>
      <c r="C72" s="10"/>
      <c r="D72" s="4"/>
      <c r="E72" s="4"/>
      <c r="F72" s="12">
        <f>IF(D$12=0,0,D72/D$12)</f>
        <v>0</v>
      </c>
      <c r="G72" s="4"/>
      <c r="H72" s="4">
        <v>2072</v>
      </c>
      <c r="I72" s="4"/>
      <c r="J72" s="12">
        <f>IF(H$12=0,0,H72/H$12)</f>
        <v>0.2651650883030458</v>
      </c>
      <c r="K72" s="4"/>
      <c r="L72" s="4">
        <f>+D72-H72</f>
        <v>-2072</v>
      </c>
      <c r="M72" s="4"/>
      <c r="N72" s="12">
        <f>IF(H72=0,0,L72/H72)</f>
        <v>-1</v>
      </c>
      <c r="O72" s="10"/>
      <c r="P72" s="4"/>
      <c r="Q72" s="4"/>
      <c r="R72" s="12">
        <f>IF(P$12=0,0,P72/P$12)</f>
        <v>0</v>
      </c>
      <c r="S72" s="4"/>
      <c r="T72" s="4">
        <v>11349</v>
      </c>
      <c r="U72" s="4"/>
      <c r="V72" s="12">
        <f>IF(T$12=0,0,T72/T$12)</f>
        <v>0.18970013037809649</v>
      </c>
      <c r="W72" s="4"/>
      <c r="X72" s="4">
        <f>+P72-T72</f>
        <v>-11349</v>
      </c>
      <c r="Y72" s="4"/>
      <c r="Z72" s="12">
        <f>IF(T72=0,0,X72/T72)</f>
        <v>-1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5" t="s">
        <v>4</v>
      </c>
      <c r="C74" s="25"/>
      <c r="D74" s="34">
        <f>+D70-D72</f>
        <v>-2286.9900000000002</v>
      </c>
      <c r="E74" s="13"/>
      <c r="F74" s="31">
        <f>IF(D$12=0,0,D74/D$12)</f>
        <v>0</v>
      </c>
      <c r="G74" s="13"/>
      <c r="H74" s="34">
        <f>+H70-H72</f>
        <v>-10920.420620000001</v>
      </c>
      <c r="I74" s="13"/>
      <c r="J74" s="31">
        <f>IF(H$12=0,0,H74/H$12)</f>
        <v>-1.3975455106219608</v>
      </c>
      <c r="K74" s="16"/>
      <c r="L74" s="34">
        <f>D74-H74</f>
        <v>8633.430620000001</v>
      </c>
      <c r="M74" s="16"/>
      <c r="N74" s="31">
        <f>IF(H74=0,0,L74/H74)</f>
        <v>-0.79057674794947597</v>
      </c>
      <c r="O74" s="26"/>
      <c r="P74" s="34">
        <f>+P70-P72</f>
        <v>-45648.310000000005</v>
      </c>
      <c r="Q74" s="13"/>
      <c r="R74" s="31">
        <f>IF(P$12=0,0,P74/P$12)</f>
        <v>0</v>
      </c>
      <c r="S74" s="13"/>
      <c r="T74" s="34">
        <f>+T70-T72</f>
        <v>-62886.093109999987</v>
      </c>
      <c r="U74" s="13"/>
      <c r="V74" s="31">
        <f>IF(T$12=0,0,T74/T$12)</f>
        <v>-1.0511498865041953</v>
      </c>
      <c r="W74" s="16"/>
      <c r="X74" s="34">
        <f>P74-T74</f>
        <v>17237.783109999982</v>
      </c>
      <c r="Y74" s="16"/>
      <c r="Z74" s="31">
        <f>IF(T74=0,0,X74/T74)</f>
        <v>-0.27411121056364168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5" t="s">
        <v>5</v>
      </c>
      <c r="C77" s="25"/>
      <c r="D77" s="33">
        <f>SUM(D74:D76)</f>
        <v>-2286.9900000000002</v>
      </c>
      <c r="E77" s="13"/>
      <c r="F77" s="32">
        <f>IF(D$12=0,0,D77/D$12)</f>
        <v>0</v>
      </c>
      <c r="G77" s="13"/>
      <c r="H77" s="33">
        <f>SUM(H74:H76)</f>
        <v>-10920.420620000001</v>
      </c>
      <c r="I77" s="13"/>
      <c r="J77" s="32">
        <f>IF(H$12=0,0,H77/H$12)</f>
        <v>-1.3975455106219608</v>
      </c>
      <c r="K77" s="16"/>
      <c r="L77" s="33">
        <f>+D77-H77</f>
        <v>8633.430620000001</v>
      </c>
      <c r="M77" s="16"/>
      <c r="N77" s="32">
        <f>IF(H77=0,0,L77/H77)</f>
        <v>-0.79057674794947597</v>
      </c>
      <c r="O77" s="26"/>
      <c r="P77" s="33">
        <f>SUM(P74:P76)</f>
        <v>-45648.310000000005</v>
      </c>
      <c r="Q77" s="13"/>
      <c r="R77" s="32">
        <f>IF(P$12=0,0,P77/P$12)</f>
        <v>0</v>
      </c>
      <c r="S77" s="13"/>
      <c r="T77" s="33">
        <f>SUM(T74:T76)</f>
        <v>-62886.093109999987</v>
      </c>
      <c r="U77" s="13"/>
      <c r="V77" s="32">
        <f>IF(T$12=0,0,T77/T$12)</f>
        <v>-1.0511498865041953</v>
      </c>
      <c r="W77" s="16"/>
      <c r="X77" s="33">
        <f>+P77-T77</f>
        <v>17237.783109999982</v>
      </c>
      <c r="Y77" s="16"/>
      <c r="Z77" s="32">
        <f>IF(T77=0,0,X77/T77)</f>
        <v>-0.27411121056364168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63">
        <v>44209.51849008102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0" t="s">
        <v>314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8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","321", " - ", "Student Union C-Store")</f>
        <v>Department 321 - Student Union C-Store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4062</v>
      </c>
      <c r="I12" s="4"/>
      <c r="J12" s="12"/>
      <c r="K12" s="4"/>
      <c r="L12" s="4">
        <f t="shared" ref="L12:L15" si="0">+D12-H12</f>
        <v>-4062</v>
      </c>
      <c r="M12" s="4"/>
      <c r="N12" s="12">
        <f t="shared" ref="N12:N15" si="1">IF(H12=0,0,L12/H12)</f>
        <v>-1</v>
      </c>
      <c r="O12" s="10"/>
      <c r="P12" s="4">
        <f>SUM(OSRRefP13x_0)</f>
        <v>2476.4700000000003</v>
      </c>
      <c r="Q12" s="4"/>
      <c r="R12" s="12"/>
      <c r="S12" s="4"/>
      <c r="T12" s="4">
        <f>SUM(OSRRefT13x_0)</f>
        <v>34674</v>
      </c>
      <c r="U12" s="4"/>
      <c r="V12" s="12"/>
      <c r="W12" s="4"/>
      <c r="X12" s="4">
        <f t="shared" ref="X12:X15" si="2">+P12-T12</f>
        <v>-32197.53</v>
      </c>
      <c r="Y12" s="4"/>
      <c r="Z12" s="12">
        <f t="shared" ref="Z12:Z15" si="3">IF(T12=0,0,X12/T12)</f>
        <v>-0.92857847378439173</v>
      </c>
    </row>
    <row r="13" spans="1:26" s="24" customFormat="1" hidden="1" outlineLevel="1" x14ac:dyDescent="0.25">
      <c r="A13" s="51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5" si="4"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--444.59</f>
        <v>444.59</v>
      </c>
      <c r="Q13" s="2"/>
      <c r="R13" s="22"/>
      <c r="S13" s="2"/>
      <c r="T13" s="2"/>
      <c r="U13" s="2"/>
      <c r="V13" s="22"/>
      <c r="W13" s="2"/>
      <c r="X13" s="2">
        <f t="shared" si="2"/>
        <v>444.59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4062</v>
      </c>
      <c r="I14" s="2"/>
      <c r="J14" s="22"/>
      <c r="K14" s="2"/>
      <c r="L14" s="2">
        <f t="shared" si="0"/>
        <v>-4062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34674</v>
      </c>
      <c r="U14" s="2"/>
      <c r="V14" s="22"/>
      <c r="W14" s="2"/>
      <c r="X14" s="2">
        <f t="shared" si="2"/>
        <v>-34674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22"/>
      <c r="G15" s="2"/>
      <c r="H15" s="2"/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--2031.88</f>
        <v>2031.88</v>
      </c>
      <c r="Q15" s="2"/>
      <c r="R15" s="22"/>
      <c r="S15" s="2"/>
      <c r="T15" s="2"/>
      <c r="U15" s="2"/>
      <c r="V15" s="22"/>
      <c r="W15" s="2"/>
      <c r="X15" s="2">
        <f t="shared" si="2"/>
        <v>2031.88</v>
      </c>
      <c r="Y15" s="2"/>
      <c r="Z15" s="22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497</v>
      </c>
      <c r="E17" s="4"/>
      <c r="F17" s="12">
        <f t="shared" ref="F17:F19" si="5">IF(D$12=0,0,D17/D$12)</f>
        <v>0</v>
      </c>
      <c r="G17" s="4"/>
      <c r="H17" s="4">
        <f>SUM(OSRRefH16x_0)</f>
        <v>2528</v>
      </c>
      <c r="I17" s="4"/>
      <c r="J17" s="12">
        <f t="shared" ref="J17:J19" si="6">IF(H$12=0,0,H17/H$12)</f>
        <v>0.62235352043328407</v>
      </c>
      <c r="K17" s="4"/>
      <c r="L17" s="4">
        <f t="shared" ref="L17:L19" si="7">+D17-H17</f>
        <v>-2031</v>
      </c>
      <c r="M17" s="4"/>
      <c r="N17" s="12">
        <f t="shared" ref="N17:N19" si="8">IF(H17=0,0,L17/H17)</f>
        <v>-0.80340189873417722</v>
      </c>
      <c r="O17" s="10"/>
      <c r="P17" s="4">
        <f>SUM(OSRRefP16x_0)</f>
        <v>258.48</v>
      </c>
      <c r="Q17" s="4"/>
      <c r="R17" s="12">
        <f t="shared" ref="R17:R19" si="9">IF(P$12=0,0,P17/P$12)</f>
        <v>0.10437437158536142</v>
      </c>
      <c r="S17" s="4"/>
      <c r="T17" s="4">
        <f>SUM(OSRRefT16x_0)</f>
        <v>18445</v>
      </c>
      <c r="U17" s="4"/>
      <c r="V17" s="12">
        <f t="shared" ref="V17:V19" si="10">IF(T$12=0,0,T17/T$12)</f>
        <v>0.53195477879679298</v>
      </c>
      <c r="W17" s="4"/>
      <c r="X17" s="4">
        <f t="shared" ref="X17:X19" si="11">+P17-T17</f>
        <v>-18186.52</v>
      </c>
      <c r="Y17" s="4"/>
      <c r="Z17" s="12">
        <f t="shared" ref="Z17:Z19" si="12">IF(T17=0,0,X17/T17)</f>
        <v>-0.98598644619137976</v>
      </c>
    </row>
    <row r="18" spans="1:26" s="24" customFormat="1" hidden="1" outlineLevel="1" x14ac:dyDescent="0.25">
      <c r="A18" s="51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2">
        <f t="shared" si="5"/>
        <v>0</v>
      </c>
      <c r="G18" s="2"/>
      <c r="H18" s="2">
        <v>2528</v>
      </c>
      <c r="I18" s="2"/>
      <c r="J18" s="22">
        <f t="shared" si="6"/>
        <v>0.62235352043328407</v>
      </c>
      <c r="K18" s="2"/>
      <c r="L18" s="2">
        <f t="shared" si="7"/>
        <v>-2528</v>
      </c>
      <c r="M18" s="2"/>
      <c r="N18" s="22">
        <f t="shared" si="8"/>
        <v>-1</v>
      </c>
      <c r="O18" s="11"/>
      <c r="P18" s="2"/>
      <c r="Q18" s="2"/>
      <c r="R18" s="22">
        <f t="shared" si="9"/>
        <v>0</v>
      </c>
      <c r="S18" s="2"/>
      <c r="T18" s="2">
        <v>18445</v>
      </c>
      <c r="U18" s="2"/>
      <c r="V18" s="22">
        <f t="shared" si="10"/>
        <v>0.53195477879679298</v>
      </c>
      <c r="W18" s="2"/>
      <c r="X18" s="2">
        <f t="shared" si="11"/>
        <v>-18445</v>
      </c>
      <c r="Y18" s="2"/>
      <c r="Z18" s="22">
        <f t="shared" si="12"/>
        <v>-1</v>
      </c>
    </row>
    <row r="19" spans="1:26" s="24" customFormat="1" hidden="1" outlineLevel="1" x14ac:dyDescent="0.25">
      <c r="A19" s="51"/>
      <c r="B19" s="11" t="str">
        <f>CONCATENATE("          ", "5053", " - ", "PURCHASES @ COST-FOOD")</f>
        <v xml:space="preserve">          5053 - PURCHASES @ COST-FOOD</v>
      </c>
      <c r="C19" s="11"/>
      <c r="D19" s="2">
        <v>497</v>
      </c>
      <c r="E19" s="2"/>
      <c r="F19" s="22">
        <f t="shared" si="5"/>
        <v>0</v>
      </c>
      <c r="G19" s="2"/>
      <c r="H19" s="2"/>
      <c r="I19" s="2"/>
      <c r="J19" s="22">
        <f t="shared" si="6"/>
        <v>0</v>
      </c>
      <c r="K19" s="2"/>
      <c r="L19" s="2">
        <f t="shared" si="7"/>
        <v>497</v>
      </c>
      <c r="M19" s="2"/>
      <c r="N19" s="22">
        <f t="shared" si="8"/>
        <v>0</v>
      </c>
      <c r="O19" s="11"/>
      <c r="P19" s="2">
        <v>258.48</v>
      </c>
      <c r="Q19" s="2"/>
      <c r="R19" s="22">
        <f t="shared" si="9"/>
        <v>0.10437437158536142</v>
      </c>
      <c r="S19" s="2"/>
      <c r="T19" s="2"/>
      <c r="U19" s="2"/>
      <c r="V19" s="22">
        <f t="shared" si="10"/>
        <v>0</v>
      </c>
      <c r="W19" s="2"/>
      <c r="X19" s="2">
        <f t="shared" si="11"/>
        <v>258.48</v>
      </c>
      <c r="Y19" s="2"/>
      <c r="Z19" s="22">
        <f t="shared" si="12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6</v>
      </c>
      <c r="C21" s="25"/>
      <c r="D21" s="21">
        <f>D12-D17</f>
        <v>-497</v>
      </c>
      <c r="E21" s="13"/>
      <c r="F21" s="19">
        <f>IF(D$12=0,0,D21/D$12)</f>
        <v>0</v>
      </c>
      <c r="G21" s="13"/>
      <c r="H21" s="21">
        <f>H12-H17</f>
        <v>1534</v>
      </c>
      <c r="I21" s="13"/>
      <c r="J21" s="19">
        <f>IF(H$12=0,0,H21/H$12)</f>
        <v>0.37764647956671588</v>
      </c>
      <c r="K21" s="16"/>
      <c r="L21" s="21">
        <f>+D21-H21</f>
        <v>-2031</v>
      </c>
      <c r="M21" s="16"/>
      <c r="N21" s="19">
        <f>IF(H21=0,0,L21/H21)</f>
        <v>-1.3239895697522817</v>
      </c>
      <c r="O21" s="26"/>
      <c r="P21" s="21">
        <f>P12-P17</f>
        <v>2217.9900000000002</v>
      </c>
      <c r="Q21" s="13"/>
      <c r="R21" s="19">
        <f>IF(P$12=0,0,P21/P$12)</f>
        <v>0.89562562841463855</v>
      </c>
      <c r="S21" s="13"/>
      <c r="T21" s="21">
        <f>T12-T17</f>
        <v>16229</v>
      </c>
      <c r="U21" s="13"/>
      <c r="V21" s="19">
        <f>IF(T$12=0,0,T21/T$12)</f>
        <v>0.46804522120320702</v>
      </c>
      <c r="W21" s="16"/>
      <c r="X21" s="21">
        <f>+P21-T21</f>
        <v>-14011.01</v>
      </c>
      <c r="Y21" s="16"/>
      <c r="Z21" s="19">
        <f>IF(T21=0,0,X21/T21)</f>
        <v>-0.86333169018423805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9</v>
      </c>
      <c r="C23" s="10"/>
      <c r="D23" s="20">
        <f>SUM(OSRRefD22x_0)</f>
        <v>3005.98</v>
      </c>
      <c r="E23" s="20"/>
      <c r="F23" s="30">
        <f t="shared" ref="F23:F33" si="13">IF(D$12=0,0,D23/D$12)</f>
        <v>0</v>
      </c>
      <c r="G23" s="20"/>
      <c r="H23" s="20">
        <f>SUM(OSRRefH22x_0)</f>
        <v>5742.2743214000002</v>
      </c>
      <c r="I23" s="20"/>
      <c r="J23" s="30">
        <f t="shared" ref="J23:J33" si="14">IF(H$12=0,0,H23/H$12)</f>
        <v>1.4136568984244215</v>
      </c>
      <c r="K23" s="4"/>
      <c r="L23" s="20">
        <f t="shared" ref="L23:L33" si="15">+D23-H23</f>
        <v>-2736.2943214000002</v>
      </c>
      <c r="M23" s="4"/>
      <c r="N23" s="30">
        <f t="shared" ref="N23:N33" si="16">IF(H23=0,0,L23/H23)</f>
        <v>-0.47651752045396456</v>
      </c>
      <c r="O23" s="10"/>
      <c r="P23" s="20">
        <f>SUM(OSRRefP22x_0)</f>
        <v>35177.789999999986</v>
      </c>
      <c r="Q23" s="20"/>
      <c r="R23" s="30">
        <f t="shared" ref="R23:R33" si="17">IF(P$12=0,0,P23/P$12)</f>
        <v>14.204811687603719</v>
      </c>
      <c r="S23" s="20"/>
      <c r="T23" s="20">
        <f>SUM(OSRRefT22x_0)</f>
        <v>42162.831731899998</v>
      </c>
      <c r="U23" s="20"/>
      <c r="V23" s="30">
        <f t="shared" ref="V23:V33" si="18">IF(T$12=0,0,T23/T$12)</f>
        <v>1.2159783045480763</v>
      </c>
      <c r="W23" s="4"/>
      <c r="X23" s="20">
        <f t="shared" ref="X23:X33" si="19">+P23-T23</f>
        <v>-6985.0417319000117</v>
      </c>
      <c r="Y23" s="4"/>
      <c r="Z23" s="30">
        <f t="shared" ref="Z23:Z33" si="20">IF(T23=0,0,X23/T23)</f>
        <v>-0.1656682306424688</v>
      </c>
    </row>
    <row r="24" spans="1:26" s="28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650.5</v>
      </c>
      <c r="E24" s="1"/>
      <c r="F24" s="5">
        <f t="shared" si="13"/>
        <v>0</v>
      </c>
      <c r="G24" s="1"/>
      <c r="H24" s="1">
        <f>SUM(OSRRefH22_0x_0)</f>
        <v>226.49432139999999</v>
      </c>
      <c r="I24" s="1"/>
      <c r="J24" s="5">
        <f t="shared" si="14"/>
        <v>5.5759311029049727E-2</v>
      </c>
      <c r="K24" s="1"/>
      <c r="L24" s="1">
        <f t="shared" si="15"/>
        <v>424.00567860000001</v>
      </c>
      <c r="M24" s="1"/>
      <c r="N24" s="5">
        <f t="shared" si="16"/>
        <v>1.8720366849780103</v>
      </c>
      <c r="O24" s="14"/>
      <c r="P24" s="1">
        <f>SUM(OSRRefP22_0x_0)</f>
        <v>8751.99</v>
      </c>
      <c r="Q24" s="1"/>
      <c r="R24" s="5">
        <f t="shared" si="17"/>
        <v>3.5340585591588023</v>
      </c>
      <c r="S24" s="1"/>
      <c r="T24" s="1">
        <f>SUM(OSRRefT22_0x_0)</f>
        <v>1925.2017318999999</v>
      </c>
      <c r="U24" s="1"/>
      <c r="V24" s="5">
        <f t="shared" si="18"/>
        <v>5.5522920110169002E-2</v>
      </c>
      <c r="W24" s="1"/>
      <c r="X24" s="1">
        <f t="shared" si="19"/>
        <v>6826.7882681000001</v>
      </c>
      <c r="Y24" s="1"/>
      <c r="Z24" s="5">
        <f t="shared" si="20"/>
        <v>3.5460119087689463</v>
      </c>
    </row>
    <row r="25" spans="1:26" s="24" customFormat="1" hidden="1" outlineLevel="2" x14ac:dyDescent="0.25">
      <c r="A25" s="29"/>
      <c r="B25" s="11" t="str">
        <f>CONCATENATE("          ", "6111", " - ", "F.I.C.A.")</f>
        <v xml:space="preserve">          6111 - F.I.C.A.</v>
      </c>
      <c r="C25" s="11"/>
      <c r="D25" s="7"/>
      <c r="E25" s="2"/>
      <c r="F25" s="6">
        <f t="shared" si="13"/>
        <v>0</v>
      </c>
      <c r="G25" s="2"/>
      <c r="H25" s="7">
        <v>100.2374634</v>
      </c>
      <c r="I25" s="2"/>
      <c r="J25" s="6">
        <f t="shared" si="14"/>
        <v>2.4676874298375184E-2</v>
      </c>
      <c r="K25" s="2"/>
      <c r="L25" s="7">
        <f t="shared" si="15"/>
        <v>-100.2374634</v>
      </c>
      <c r="M25" s="2"/>
      <c r="N25" s="6">
        <f t="shared" si="16"/>
        <v>-1</v>
      </c>
      <c r="O25" s="11"/>
      <c r="P25" s="7">
        <v>1667.09</v>
      </c>
      <c r="Q25" s="2"/>
      <c r="R25" s="6">
        <f t="shared" si="17"/>
        <v>0.67317189386505782</v>
      </c>
      <c r="S25" s="2"/>
      <c r="T25" s="7">
        <v>852.01843889999998</v>
      </c>
      <c r="U25" s="2"/>
      <c r="V25" s="6">
        <f t="shared" si="18"/>
        <v>2.4572256990828864E-2</v>
      </c>
      <c r="W25" s="2"/>
      <c r="X25" s="7">
        <f t="shared" si="19"/>
        <v>815.07156109999994</v>
      </c>
      <c r="Y25" s="2"/>
      <c r="Z25" s="6">
        <f t="shared" si="20"/>
        <v>0.9566360584311997</v>
      </c>
    </row>
    <row r="26" spans="1:26" s="24" customFormat="1" hidden="1" outlineLevel="2" x14ac:dyDescent="0.25">
      <c r="A26" s="29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6">
        <f t="shared" si="13"/>
        <v>0</v>
      </c>
      <c r="G26" s="2"/>
      <c r="H26" s="7">
        <v>45.709429999999998</v>
      </c>
      <c r="I26" s="2"/>
      <c r="J26" s="6">
        <f t="shared" si="14"/>
        <v>1.1252936976858689E-2</v>
      </c>
      <c r="K26" s="2"/>
      <c r="L26" s="7">
        <f t="shared" si="15"/>
        <v>-45.709429999999998</v>
      </c>
      <c r="M26" s="2"/>
      <c r="N26" s="6">
        <f t="shared" si="16"/>
        <v>-1</v>
      </c>
      <c r="O26" s="11"/>
      <c r="P26" s="7">
        <v>331.61</v>
      </c>
      <c r="Q26" s="2"/>
      <c r="R26" s="6">
        <f t="shared" si="17"/>
        <v>0.13390430734069056</v>
      </c>
      <c r="S26" s="2"/>
      <c r="T26" s="7">
        <v>388.53015499999998</v>
      </c>
      <c r="U26" s="2"/>
      <c r="V26" s="6">
        <f t="shared" si="18"/>
        <v>1.1205230287823728E-2</v>
      </c>
      <c r="W26" s="2"/>
      <c r="X26" s="7">
        <f t="shared" si="19"/>
        <v>-56.920154999999966</v>
      </c>
      <c r="Y26" s="2"/>
      <c r="Z26" s="6">
        <f t="shared" si="20"/>
        <v>-0.14650125419479981</v>
      </c>
    </row>
    <row r="27" spans="1:26" s="24" customFormat="1" hidden="1" outlineLevel="2" x14ac:dyDescent="0.25">
      <c r="A27" s="29"/>
      <c r="B27" s="11" t="str">
        <f>CONCATENATE("          ", "6113", " - ", "GROUP INSURANCE")</f>
        <v xml:space="preserve">          6113 - GROUP INSURANCE</v>
      </c>
      <c r="C27" s="11"/>
      <c r="D27" s="7">
        <v>650.5</v>
      </c>
      <c r="E27" s="2"/>
      <c r="F27" s="6">
        <f t="shared" si="13"/>
        <v>0</v>
      </c>
      <c r="G27" s="2"/>
      <c r="H27" s="7">
        <v>0</v>
      </c>
      <c r="I27" s="2"/>
      <c r="J27" s="6">
        <f t="shared" si="14"/>
        <v>0</v>
      </c>
      <c r="K27" s="2"/>
      <c r="L27" s="7">
        <f t="shared" si="15"/>
        <v>650.5</v>
      </c>
      <c r="M27" s="2"/>
      <c r="N27" s="6">
        <f t="shared" si="16"/>
        <v>0</v>
      </c>
      <c r="O27" s="11"/>
      <c r="P27" s="7">
        <v>3385.22</v>
      </c>
      <c r="Q27" s="2"/>
      <c r="R27" s="6">
        <f t="shared" si="17"/>
        <v>1.366953768872629</v>
      </c>
      <c r="S27" s="2"/>
      <c r="T27" s="7">
        <v>0</v>
      </c>
      <c r="U27" s="2"/>
      <c r="V27" s="6">
        <f t="shared" si="18"/>
        <v>0</v>
      </c>
      <c r="W27" s="2"/>
      <c r="X27" s="7">
        <f t="shared" si="19"/>
        <v>3385.22</v>
      </c>
      <c r="Y27" s="2"/>
      <c r="Z27" s="6">
        <f t="shared" si="20"/>
        <v>0</v>
      </c>
    </row>
    <row r="28" spans="1:26" s="24" customFormat="1" hidden="1" outlineLevel="2" x14ac:dyDescent="0.25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7"/>
      <c r="E28" s="2"/>
      <c r="F28" s="6">
        <f t="shared" si="13"/>
        <v>0</v>
      </c>
      <c r="G28" s="2"/>
      <c r="H28" s="7">
        <v>6.4240279999999998</v>
      </c>
      <c r="I28" s="2"/>
      <c r="J28" s="6">
        <f t="shared" si="14"/>
        <v>1.5814938453963564E-3</v>
      </c>
      <c r="K28" s="2"/>
      <c r="L28" s="7">
        <f t="shared" si="15"/>
        <v>-6.4240279999999998</v>
      </c>
      <c r="M28" s="2"/>
      <c r="N28" s="6">
        <f t="shared" si="16"/>
        <v>-1</v>
      </c>
      <c r="O28" s="11"/>
      <c r="P28" s="7">
        <v>62.01</v>
      </c>
      <c r="Q28" s="2"/>
      <c r="R28" s="6">
        <f t="shared" si="17"/>
        <v>2.5039673406098192E-2</v>
      </c>
      <c r="S28" s="2"/>
      <c r="T28" s="7">
        <v>54.604238000000002</v>
      </c>
      <c r="U28" s="2"/>
      <c r="V28" s="6">
        <f t="shared" si="18"/>
        <v>1.5747891215319837E-3</v>
      </c>
      <c r="W28" s="2"/>
      <c r="X28" s="7">
        <f t="shared" si="19"/>
        <v>7.4057619999999957</v>
      </c>
      <c r="Y28" s="2"/>
      <c r="Z28" s="6">
        <f t="shared" si="20"/>
        <v>0.13562613949488675</v>
      </c>
    </row>
    <row r="29" spans="1:26" s="24" customFormat="1" hidden="1" outlineLevel="2" x14ac:dyDescent="0.25">
      <c r="A29" s="29"/>
      <c r="B29" s="11" t="str">
        <f>CONCATENATE("          ", "6115", " - ", "P.E.R.S.")</f>
        <v xml:space="preserve">          6115 - P.E.R.S.</v>
      </c>
      <c r="C29" s="11"/>
      <c r="D29" s="7"/>
      <c r="E29" s="2"/>
      <c r="F29" s="6">
        <f t="shared" si="13"/>
        <v>0</v>
      </c>
      <c r="G29" s="2"/>
      <c r="H29" s="7">
        <v>0</v>
      </c>
      <c r="I29" s="2"/>
      <c r="J29" s="6">
        <f t="shared" si="14"/>
        <v>0</v>
      </c>
      <c r="K29" s="2"/>
      <c r="L29" s="7">
        <f t="shared" si="15"/>
        <v>0</v>
      </c>
      <c r="M29" s="2"/>
      <c r="N29" s="6">
        <f t="shared" si="16"/>
        <v>0</v>
      </c>
      <c r="O29" s="11"/>
      <c r="P29" s="7">
        <v>1254.1099999999999</v>
      </c>
      <c r="Q29" s="2"/>
      <c r="R29" s="6">
        <f t="shared" si="17"/>
        <v>0.50641033406421232</v>
      </c>
      <c r="S29" s="2"/>
      <c r="T29" s="7">
        <v>0</v>
      </c>
      <c r="U29" s="2"/>
      <c r="V29" s="6">
        <f t="shared" si="18"/>
        <v>0</v>
      </c>
      <c r="W29" s="2"/>
      <c r="X29" s="7">
        <f t="shared" si="19"/>
        <v>1254.1099999999999</v>
      </c>
      <c r="Y29" s="2"/>
      <c r="Z29" s="6">
        <f t="shared" si="20"/>
        <v>0</v>
      </c>
    </row>
    <row r="30" spans="1:26" s="24" customFormat="1" hidden="1" outlineLevel="2" x14ac:dyDescent="0.25">
      <c r="A30" s="29"/>
      <c r="B30" s="11" t="str">
        <f>CONCATENATE("          ", "6116", " - ", "EDUCATIONAL BENEFITS")</f>
        <v xml:space="preserve">          6116 - EDUCATIONAL BENEFITS</v>
      </c>
      <c r="C30" s="11"/>
      <c r="D30" s="7"/>
      <c r="E30" s="2"/>
      <c r="F30" s="6">
        <f t="shared" si="13"/>
        <v>0</v>
      </c>
      <c r="G30" s="2"/>
      <c r="H30" s="7">
        <v>0</v>
      </c>
      <c r="I30" s="2"/>
      <c r="J30" s="6">
        <f t="shared" si="14"/>
        <v>0</v>
      </c>
      <c r="K30" s="2"/>
      <c r="L30" s="7">
        <f t="shared" si="15"/>
        <v>0</v>
      </c>
      <c r="M30" s="2"/>
      <c r="N30" s="6">
        <f t="shared" si="16"/>
        <v>0</v>
      </c>
      <c r="O30" s="11"/>
      <c r="P30" s="7"/>
      <c r="Q30" s="2"/>
      <c r="R30" s="6">
        <f t="shared" si="17"/>
        <v>0</v>
      </c>
      <c r="S30" s="2"/>
      <c r="T30" s="7">
        <v>0</v>
      </c>
      <c r="U30" s="2"/>
      <c r="V30" s="6">
        <f t="shared" si="18"/>
        <v>0</v>
      </c>
      <c r="W30" s="2"/>
      <c r="X30" s="7">
        <f t="shared" si="19"/>
        <v>0</v>
      </c>
      <c r="Y30" s="2"/>
      <c r="Z30" s="6">
        <f t="shared" si="20"/>
        <v>0</v>
      </c>
    </row>
    <row r="31" spans="1:26" s="24" customFormat="1" hidden="1" outlineLevel="2" x14ac:dyDescent="0.25">
      <c r="A31" s="29"/>
      <c r="B31" s="11" t="str">
        <f>CONCATENATE("          ", "6118", " - ", "VACATION")</f>
        <v xml:space="preserve">          6118 - VACATION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>
        <v>958.88</v>
      </c>
      <c r="Q31" s="2"/>
      <c r="R31" s="6">
        <f t="shared" si="17"/>
        <v>0.38719629149555612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958.88</v>
      </c>
      <c r="Y31" s="2"/>
      <c r="Z31" s="6">
        <f t="shared" si="20"/>
        <v>0</v>
      </c>
    </row>
    <row r="32" spans="1:26" s="24" customFormat="1" hidden="1" outlineLevel="2" x14ac:dyDescent="0.25">
      <c r="A32" s="29"/>
      <c r="B32" s="11" t="str">
        <f>CONCATENATE("          ", "6119", " - ", "SICK LEAVE")</f>
        <v xml:space="preserve">          6119 - SICK LEAVE</v>
      </c>
      <c r="C32" s="11"/>
      <c r="D32" s="7"/>
      <c r="E32" s="2"/>
      <c r="F32" s="6">
        <f t="shared" si="13"/>
        <v>0</v>
      </c>
      <c r="G32" s="2"/>
      <c r="H32" s="7">
        <v>74.123400000000004</v>
      </c>
      <c r="I32" s="2"/>
      <c r="J32" s="6">
        <f t="shared" si="14"/>
        <v>1.8248005908419497E-2</v>
      </c>
      <c r="K32" s="2"/>
      <c r="L32" s="7">
        <f t="shared" si="15"/>
        <v>-74.123400000000004</v>
      </c>
      <c r="M32" s="2"/>
      <c r="N32" s="6">
        <f t="shared" si="16"/>
        <v>-1</v>
      </c>
      <c r="O32" s="11"/>
      <c r="P32" s="7">
        <v>767.52</v>
      </c>
      <c r="Q32" s="2"/>
      <c r="R32" s="6">
        <f t="shared" si="17"/>
        <v>0.30992501423397006</v>
      </c>
      <c r="S32" s="2"/>
      <c r="T32" s="7">
        <v>630.0489</v>
      </c>
      <c r="U32" s="2"/>
      <c r="V32" s="6">
        <f t="shared" si="18"/>
        <v>1.8170643709984426E-2</v>
      </c>
      <c r="W32" s="2"/>
      <c r="X32" s="7">
        <f t="shared" si="19"/>
        <v>137.47109999999998</v>
      </c>
      <c r="Y32" s="2"/>
      <c r="Z32" s="6">
        <f t="shared" si="20"/>
        <v>0.21819115944809994</v>
      </c>
    </row>
    <row r="33" spans="1:26" s="24" customFormat="1" hidden="1" outlineLevel="2" x14ac:dyDescent="0.25">
      <c r="A33" s="29"/>
      <c r="B33" s="11" t="str">
        <f>CONCATENATE("          ", "6156", " - ", "EMPLOYEE MEALS")</f>
        <v xml:space="preserve">          6156 - EMPLOYEE MEALS</v>
      </c>
      <c r="C33" s="11"/>
      <c r="D33" s="7"/>
      <c r="E33" s="2"/>
      <c r="F33" s="6">
        <f t="shared" si="13"/>
        <v>0</v>
      </c>
      <c r="G33" s="2"/>
      <c r="H33" s="7"/>
      <c r="I33" s="2"/>
      <c r="J33" s="6">
        <f t="shared" si="14"/>
        <v>0</v>
      </c>
      <c r="K33" s="2"/>
      <c r="L33" s="7">
        <f t="shared" si="15"/>
        <v>0</v>
      </c>
      <c r="M33" s="2"/>
      <c r="N33" s="6">
        <f t="shared" si="16"/>
        <v>0</v>
      </c>
      <c r="O33" s="11"/>
      <c r="P33" s="7">
        <v>325.55</v>
      </c>
      <c r="Q33" s="2"/>
      <c r="R33" s="6">
        <f t="shared" si="17"/>
        <v>0.13145727588058809</v>
      </c>
      <c r="S33" s="2"/>
      <c r="T33" s="7"/>
      <c r="U33" s="2"/>
      <c r="V33" s="6">
        <f t="shared" si="18"/>
        <v>0</v>
      </c>
      <c r="W33" s="2"/>
      <c r="X33" s="7">
        <f t="shared" si="19"/>
        <v>325.55</v>
      </c>
      <c r="Y33" s="2"/>
      <c r="Z33" s="6">
        <f t="shared" si="20"/>
        <v>0</v>
      </c>
    </row>
    <row r="34" spans="1:26" s="28" customFormat="1" outlineLevel="1" collapsed="1" x14ac:dyDescent="0.25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0</v>
      </c>
      <c r="E34" s="1"/>
      <c r="F34" s="5">
        <f t="shared" ref="F34:F44" si="21">IF(D$12=0,0,D34/D$12)</f>
        <v>0</v>
      </c>
      <c r="G34" s="1"/>
      <c r="H34" s="1">
        <f>SUM(OSRRefH22_1x_0)</f>
        <v>2470.7799999999997</v>
      </c>
      <c r="I34" s="1"/>
      <c r="J34" s="5">
        <f t="shared" ref="J34:J44" si="22">IF(H$12=0,0,H34/H$12)</f>
        <v>0.60826686361398319</v>
      </c>
      <c r="K34" s="1"/>
      <c r="L34" s="1">
        <f t="shared" ref="L34:L44" si="23">+D34-H34</f>
        <v>-2470.7799999999997</v>
      </c>
      <c r="M34" s="1"/>
      <c r="N34" s="5">
        <f t="shared" ref="N34:N44" si="24">IF(H34=0,0,L34/H34)</f>
        <v>-1</v>
      </c>
      <c r="O34" s="14"/>
      <c r="P34" s="1">
        <f>SUM(OSRRefP22_1x_0)</f>
        <v>15859.96</v>
      </c>
      <c r="Q34" s="1"/>
      <c r="R34" s="5">
        <f t="shared" ref="R34:R44" si="25">IF(P$12=0,0,P34/P$12)</f>
        <v>6.404260903624917</v>
      </c>
      <c r="S34" s="1"/>
      <c r="T34" s="1">
        <f>SUM(OSRRefT22_1x_0)</f>
        <v>21001.629999999997</v>
      </c>
      <c r="U34" s="1"/>
      <c r="V34" s="5">
        <f t="shared" ref="V34:V44" si="26">IF(T$12=0,0,T34/T$12)</f>
        <v>0.60568812366614744</v>
      </c>
      <c r="W34" s="1"/>
      <c r="X34" s="1">
        <f t="shared" ref="X34:X44" si="27">+P34-T34</f>
        <v>-5141.6699999999983</v>
      </c>
      <c r="Y34" s="1"/>
      <c r="Z34" s="5">
        <f t="shared" ref="Z34:Z44" si="28">IF(T34=0,0,X34/T34)</f>
        <v>-0.24482242568791085</v>
      </c>
    </row>
    <row r="35" spans="1:26" s="24" customFormat="1" hidden="1" outlineLevel="2" x14ac:dyDescent="0.25">
      <c r="A35" s="29"/>
      <c r="B35" s="11" t="str">
        <f>CONCATENATE("          ", "6001", " - ", "ADMINISTRATIVE SALARIES")</f>
        <v xml:space="preserve">          6001 - ADMINISTRATIVE SALARIES</v>
      </c>
      <c r="C35" s="11"/>
      <c r="D35" s="7"/>
      <c r="E35" s="2"/>
      <c r="F35" s="6">
        <f t="shared" si="21"/>
        <v>0</v>
      </c>
      <c r="G35" s="2"/>
      <c r="H35" s="7">
        <v>0</v>
      </c>
      <c r="I35" s="2"/>
      <c r="J35" s="6">
        <f t="shared" si="22"/>
        <v>0</v>
      </c>
      <c r="K35" s="2"/>
      <c r="L35" s="7">
        <f t="shared" si="23"/>
        <v>0</v>
      </c>
      <c r="M35" s="2"/>
      <c r="N35" s="6">
        <f t="shared" si="24"/>
        <v>0</v>
      </c>
      <c r="O35" s="11"/>
      <c r="P35" s="7"/>
      <c r="Q35" s="2"/>
      <c r="R35" s="6">
        <f t="shared" si="25"/>
        <v>0</v>
      </c>
      <c r="S35" s="2"/>
      <c r="T35" s="7">
        <v>0</v>
      </c>
      <c r="U35" s="2"/>
      <c r="V35" s="6">
        <f t="shared" si="26"/>
        <v>0</v>
      </c>
      <c r="W35" s="2"/>
      <c r="X35" s="7">
        <f t="shared" si="27"/>
        <v>0</v>
      </c>
      <c r="Y35" s="2"/>
      <c r="Z35" s="6">
        <f t="shared" si="28"/>
        <v>0</v>
      </c>
    </row>
    <row r="36" spans="1:26" s="24" customFormat="1" hidden="1" outlineLevel="2" x14ac:dyDescent="0.25">
      <c r="A36" s="29"/>
      <c r="B36" s="11" t="str">
        <f>CONCATENATE("          ", "6002", " - ", "STAFF SALARIES")</f>
        <v xml:space="preserve">          6002 - STAFF SALARIES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>
        <v>13728</v>
      </c>
      <c r="Q36" s="2"/>
      <c r="R36" s="6">
        <f t="shared" si="25"/>
        <v>5.5433742383311726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13728</v>
      </c>
      <c r="Y36" s="2"/>
      <c r="Z36" s="6">
        <f t="shared" si="28"/>
        <v>0</v>
      </c>
    </row>
    <row r="37" spans="1:26" s="24" customFormat="1" hidden="1" outlineLevel="2" x14ac:dyDescent="0.25">
      <c r="A37" s="29"/>
      <c r="B37" s="11" t="str">
        <f>CONCATENATE("          ", "6003", " - ", "STAFF HOURLY-9 MONTH")</f>
        <v xml:space="preserve">          6003 - STAFF HOURLY-9 MONTH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/>
      <c r="Q37" s="2"/>
      <c r="R37" s="6">
        <f t="shared" si="25"/>
        <v>0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0</v>
      </c>
      <c r="Y37" s="2"/>
      <c r="Z37" s="6">
        <f t="shared" si="28"/>
        <v>0</v>
      </c>
    </row>
    <row r="38" spans="1:26" s="24" customFormat="1" hidden="1" outlineLevel="2" x14ac:dyDescent="0.25">
      <c r="A38" s="29"/>
      <c r="B38" s="11" t="str">
        <f>CONCATENATE("          ", "6004", " - ", "STAFF HOURLY")</f>
        <v xml:space="preserve">          6004 - STAFF HOURLY</v>
      </c>
      <c r="C38" s="11"/>
      <c r="D38" s="7"/>
      <c r="E38" s="2"/>
      <c r="F38" s="6">
        <f t="shared" si="21"/>
        <v>0</v>
      </c>
      <c r="G38" s="2"/>
      <c r="H38" s="7">
        <v>1309.78</v>
      </c>
      <c r="I38" s="2"/>
      <c r="J38" s="6">
        <f t="shared" si="22"/>
        <v>0.32244707040866566</v>
      </c>
      <c r="K38" s="2"/>
      <c r="L38" s="7">
        <f t="shared" si="23"/>
        <v>-1309.78</v>
      </c>
      <c r="M38" s="2"/>
      <c r="N38" s="6">
        <f t="shared" si="24"/>
        <v>-1</v>
      </c>
      <c r="O38" s="11"/>
      <c r="P38" s="7"/>
      <c r="Q38" s="2"/>
      <c r="R38" s="6">
        <f t="shared" si="25"/>
        <v>0</v>
      </c>
      <c r="S38" s="2"/>
      <c r="T38" s="7">
        <v>11133.13</v>
      </c>
      <c r="U38" s="2"/>
      <c r="V38" s="6">
        <f t="shared" si="26"/>
        <v>0.32108005998731037</v>
      </c>
      <c r="W38" s="2"/>
      <c r="X38" s="7">
        <f t="shared" si="27"/>
        <v>-11133.13</v>
      </c>
      <c r="Y38" s="2"/>
      <c r="Z38" s="6">
        <f t="shared" si="28"/>
        <v>-1</v>
      </c>
    </row>
    <row r="39" spans="1:26" s="24" customFormat="1" hidden="1" outlineLevel="2" x14ac:dyDescent="0.25">
      <c r="A39" s="29"/>
      <c r="B39" s="11" t="str">
        <f>CONCATENATE("          ", "6005", " - ", "TEMPORARY WAGES-HOURLY")</f>
        <v xml:space="preserve">          6005 - TEMPORARY WAGES-HOURLY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>
        <v>2131.96</v>
      </c>
      <c r="Q39" s="2"/>
      <c r="R39" s="6">
        <f t="shared" si="25"/>
        <v>0.86088666529374469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2131.96</v>
      </c>
      <c r="Y39" s="2"/>
      <c r="Z39" s="6">
        <f t="shared" si="28"/>
        <v>0</v>
      </c>
    </row>
    <row r="40" spans="1:26" s="24" customFormat="1" hidden="1" outlineLevel="2" x14ac:dyDescent="0.25">
      <c r="A40" s="29"/>
      <c r="B40" s="11" t="str">
        <f>CONCATENATE("          ", "6006", " - ", "TEMPORARY PART TIME")</f>
        <v xml:space="preserve">          6006 - TEMPORARY PART TIME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9"/>
      <c r="B41" s="11" t="str">
        <f>CONCATENATE("          ", "6007", " - ", "STUDENT HOURLY")</f>
        <v xml:space="preserve">          6007 - STUDENT HOURLY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>
        <v>0</v>
      </c>
      <c r="Q41" s="2"/>
      <c r="R41" s="6">
        <f t="shared" si="25"/>
        <v>0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0</v>
      </c>
      <c r="Y41" s="2"/>
      <c r="Z41" s="6">
        <f t="shared" si="28"/>
        <v>0</v>
      </c>
    </row>
    <row r="42" spans="1:26" s="24" customFormat="1" hidden="1" outlineLevel="2" x14ac:dyDescent="0.25">
      <c r="A42" s="29"/>
      <c r="B42" s="11" t="str">
        <f>CONCATENATE("          ", "6008", " - ", "STUDENT HOURLY-FICA EXEMPT")</f>
        <v xml:space="preserve">          6008 - STUDENT HOURLY-FICA EXEMPT</v>
      </c>
      <c r="C42" s="11"/>
      <c r="D42" s="7"/>
      <c r="E42" s="2"/>
      <c r="F42" s="6">
        <f t="shared" si="21"/>
        <v>0</v>
      </c>
      <c r="G42" s="2"/>
      <c r="H42" s="7">
        <v>1161</v>
      </c>
      <c r="I42" s="2"/>
      <c r="J42" s="6">
        <f t="shared" si="22"/>
        <v>0.28581979320531758</v>
      </c>
      <c r="K42" s="2"/>
      <c r="L42" s="7">
        <f t="shared" si="23"/>
        <v>-1161</v>
      </c>
      <c r="M42" s="2"/>
      <c r="N42" s="6">
        <f t="shared" si="24"/>
        <v>-1</v>
      </c>
      <c r="O42" s="11"/>
      <c r="P42" s="7"/>
      <c r="Q42" s="2"/>
      <c r="R42" s="6">
        <f t="shared" si="25"/>
        <v>0</v>
      </c>
      <c r="S42" s="2"/>
      <c r="T42" s="7">
        <v>9868.5</v>
      </c>
      <c r="U42" s="2"/>
      <c r="V42" s="6">
        <f t="shared" si="26"/>
        <v>0.28460806367883718</v>
      </c>
      <c r="W42" s="2"/>
      <c r="X42" s="7">
        <f t="shared" si="27"/>
        <v>-9868.5</v>
      </c>
      <c r="Y42" s="2"/>
      <c r="Z42" s="6">
        <f t="shared" si="28"/>
        <v>-1</v>
      </c>
    </row>
    <row r="43" spans="1:26" s="24" customFormat="1" hidden="1" outlineLevel="2" x14ac:dyDescent="0.25">
      <c r="A43" s="29"/>
      <c r="B43" s="11" t="str">
        <f>CONCATENATE("          ", "6009", " - ", "TEMPORARY-SEASONAL")</f>
        <v xml:space="preserve">          6009 - TEMPORARY-SEASONAL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9"/>
      <c r="B44" s="11" t="str">
        <f>CONCATENATE("          ", "6010", " - ", "GRATUITY")</f>
        <v xml:space="preserve">          6010 - GRATUITY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8" customFormat="1" outlineLevel="1" collapsed="1" x14ac:dyDescent="0.25">
      <c r="A45" s="27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0</v>
      </c>
      <c r="E45" s="1"/>
      <c r="F45" s="5">
        <f t="shared" ref="F45:F57" si="29">IF(D$12=0,0,D45/D$12)</f>
        <v>0</v>
      </c>
      <c r="G45" s="1"/>
      <c r="H45" s="1">
        <f>SUM(OSRRefH22_2x_0)</f>
        <v>100</v>
      </c>
      <c r="I45" s="1"/>
      <c r="J45" s="5">
        <f t="shared" ref="J45:J57" si="30">IF(H$12=0,0,H45/H$12)</f>
        <v>2.4618414574101428E-2</v>
      </c>
      <c r="K45" s="1"/>
      <c r="L45" s="1">
        <f t="shared" ref="L45:L57" si="31">+D45-H45</f>
        <v>-100</v>
      </c>
      <c r="M45" s="1"/>
      <c r="N45" s="5">
        <f t="shared" ref="N45:N57" si="32">IF(H45=0,0,L45/H45)</f>
        <v>-1</v>
      </c>
      <c r="O45" s="14"/>
      <c r="P45" s="1">
        <f>SUM(OSRRefP22_2x_0)</f>
        <v>0</v>
      </c>
      <c r="Q45" s="1"/>
      <c r="R45" s="5">
        <f t="shared" ref="R45:R57" si="33">IF(P$12=0,0,P45/P$12)</f>
        <v>0</v>
      </c>
      <c r="S45" s="1"/>
      <c r="T45" s="1">
        <f>SUM(OSRRefT22_2x_0)</f>
        <v>500</v>
      </c>
      <c r="U45" s="1"/>
      <c r="V45" s="5">
        <f t="shared" ref="V45:V57" si="34">IF(T$12=0,0,T45/T$12)</f>
        <v>1.442002653284882E-2</v>
      </c>
      <c r="W45" s="1"/>
      <c r="X45" s="1">
        <f t="shared" ref="X45:X57" si="35">+P45-T45</f>
        <v>-500</v>
      </c>
      <c r="Y45" s="1"/>
      <c r="Z45" s="5">
        <f t="shared" ref="Z45:Z57" si="36">IF(T45=0,0,X45/T45)</f>
        <v>-1</v>
      </c>
    </row>
    <row r="46" spans="1:26" s="24" customFormat="1" hidden="1" outlineLevel="2" x14ac:dyDescent="0.25">
      <c r="A46" s="29"/>
      <c r="B46" s="11" t="str">
        <f>CONCATENATE("          ", "6362", " - ", "ADVERTISING EXPENSE")</f>
        <v xml:space="preserve">          6362 - ADVERTISING EXPENSE</v>
      </c>
      <c r="C46" s="11"/>
      <c r="D46" s="7"/>
      <c r="E46" s="2"/>
      <c r="F46" s="6">
        <f t="shared" si="29"/>
        <v>0</v>
      </c>
      <c r="G46" s="2"/>
      <c r="H46" s="7">
        <v>100</v>
      </c>
      <c r="I46" s="2"/>
      <c r="J46" s="6">
        <f t="shared" si="30"/>
        <v>2.4618414574101428E-2</v>
      </c>
      <c r="K46" s="2"/>
      <c r="L46" s="7">
        <f t="shared" si="31"/>
        <v>-100</v>
      </c>
      <c r="M46" s="2"/>
      <c r="N46" s="6">
        <f t="shared" si="32"/>
        <v>-1</v>
      </c>
      <c r="O46" s="11"/>
      <c r="P46" s="7"/>
      <c r="Q46" s="2"/>
      <c r="R46" s="6">
        <f t="shared" si="33"/>
        <v>0</v>
      </c>
      <c r="S46" s="2"/>
      <c r="T46" s="7">
        <v>500</v>
      </c>
      <c r="U46" s="2"/>
      <c r="V46" s="6">
        <f t="shared" si="34"/>
        <v>1.442002653284882E-2</v>
      </c>
      <c r="W46" s="2"/>
      <c r="X46" s="7">
        <f t="shared" si="35"/>
        <v>-500</v>
      </c>
      <c r="Y46" s="2"/>
      <c r="Z46" s="6">
        <f t="shared" si="36"/>
        <v>-1</v>
      </c>
    </row>
    <row r="47" spans="1:26" s="28" customFormat="1" outlineLevel="1" collapsed="1" x14ac:dyDescent="0.25">
      <c r="A47" s="27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SUM(OSRRefD22_3x_0)</f>
        <v>0</v>
      </c>
      <c r="E47" s="1"/>
      <c r="F47" s="5">
        <f t="shared" si="29"/>
        <v>0</v>
      </c>
      <c r="G47" s="1"/>
      <c r="H47" s="1">
        <f>SUM(OSRRefH22_3x_0)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4"/>
      <c r="P47" s="1">
        <f>SUM(OSRRefP22_3x_0)</f>
        <v>3.31</v>
      </c>
      <c r="Q47" s="1"/>
      <c r="R47" s="5">
        <f t="shared" si="33"/>
        <v>1.3365798899239642E-3</v>
      </c>
      <c r="S47" s="1"/>
      <c r="T47" s="1">
        <f>SUM(OSRRefT22_3x_0)</f>
        <v>0</v>
      </c>
      <c r="U47" s="1"/>
      <c r="V47" s="5">
        <f t="shared" si="34"/>
        <v>0</v>
      </c>
      <c r="W47" s="1"/>
      <c r="X47" s="1">
        <f t="shared" si="35"/>
        <v>3.31</v>
      </c>
      <c r="Y47" s="1"/>
      <c r="Z47" s="5">
        <f t="shared" si="36"/>
        <v>0</v>
      </c>
    </row>
    <row r="48" spans="1:26" s="24" customFormat="1" hidden="1" outlineLevel="2" x14ac:dyDescent="0.25">
      <c r="A48" s="29"/>
      <c r="B48" s="11" t="str">
        <f>CONCATENATE("          ", "6272", " - ", "CASH (OVER/SHORT)")</f>
        <v xml:space="preserve">          6272 - CASH (OVER/SHORT)</v>
      </c>
      <c r="C48" s="11"/>
      <c r="D48" s="7"/>
      <c r="E48" s="2"/>
      <c r="F48" s="6">
        <f t="shared" si="29"/>
        <v>0</v>
      </c>
      <c r="G48" s="2"/>
      <c r="H48" s="7"/>
      <c r="I48" s="2"/>
      <c r="J48" s="6">
        <f t="shared" si="30"/>
        <v>0</v>
      </c>
      <c r="K48" s="2"/>
      <c r="L48" s="7">
        <f t="shared" si="31"/>
        <v>0</v>
      </c>
      <c r="M48" s="2"/>
      <c r="N48" s="6">
        <f t="shared" si="32"/>
        <v>0</v>
      </c>
      <c r="O48" s="11"/>
      <c r="P48" s="7">
        <v>3.31</v>
      </c>
      <c r="Q48" s="2"/>
      <c r="R48" s="6">
        <f t="shared" si="33"/>
        <v>1.3365798899239642E-3</v>
      </c>
      <c r="S48" s="2"/>
      <c r="T48" s="7"/>
      <c r="U48" s="2"/>
      <c r="V48" s="6">
        <f t="shared" si="34"/>
        <v>0</v>
      </c>
      <c r="W48" s="2"/>
      <c r="X48" s="7">
        <f t="shared" si="35"/>
        <v>3.31</v>
      </c>
      <c r="Y48" s="2"/>
      <c r="Z48" s="6">
        <f t="shared" si="36"/>
        <v>0</v>
      </c>
    </row>
    <row r="49" spans="1:26" s="28" customFormat="1" outlineLevel="1" collapsed="1" x14ac:dyDescent="0.25">
      <c r="A49" s="27"/>
      <c r="B49" s="14" t="str">
        <f>CONCATENATE("     ","Bank/card Fees                                    ")</f>
        <v xml:space="preserve">     Bank/card Fees                                    </v>
      </c>
      <c r="C49" s="14"/>
      <c r="D49" s="1">
        <f>SUM(OSRRefD22_4x_0)</f>
        <v>274</v>
      </c>
      <c r="E49" s="1"/>
      <c r="F49" s="5">
        <f t="shared" si="29"/>
        <v>0</v>
      </c>
      <c r="G49" s="1"/>
      <c r="H49" s="1">
        <f>SUM(OSRRefH22_4x_0)</f>
        <v>308</v>
      </c>
      <c r="I49" s="1"/>
      <c r="J49" s="5">
        <f t="shared" si="30"/>
        <v>7.5824716888232405E-2</v>
      </c>
      <c r="K49" s="1"/>
      <c r="L49" s="1">
        <f t="shared" si="31"/>
        <v>-34</v>
      </c>
      <c r="M49" s="1"/>
      <c r="N49" s="5">
        <f t="shared" si="32"/>
        <v>-0.11038961038961038</v>
      </c>
      <c r="O49" s="14"/>
      <c r="P49" s="1">
        <f>SUM(OSRRefP22_4x_0)</f>
        <v>673.33</v>
      </c>
      <c r="Q49" s="1"/>
      <c r="R49" s="5">
        <f t="shared" si="33"/>
        <v>0.27189103845392837</v>
      </c>
      <c r="S49" s="1"/>
      <c r="T49" s="1">
        <f>SUM(OSRRefT22_4x_0)</f>
        <v>2198</v>
      </c>
      <c r="U49" s="1"/>
      <c r="V49" s="5">
        <f t="shared" si="34"/>
        <v>6.3390436638403408E-2</v>
      </c>
      <c r="W49" s="1"/>
      <c r="X49" s="1">
        <f t="shared" si="35"/>
        <v>-1524.67</v>
      </c>
      <c r="Y49" s="1"/>
      <c r="Z49" s="5">
        <f t="shared" si="36"/>
        <v>-0.69366242038216563</v>
      </c>
    </row>
    <row r="50" spans="1:26" s="24" customFormat="1" hidden="1" outlineLevel="2" x14ac:dyDescent="0.25">
      <c r="A50" s="29"/>
      <c r="B50" s="11" t="str">
        <f>CONCATENATE("          ", "6381", " - ", "BANK/CREDIT CARD FEES")</f>
        <v xml:space="preserve">          6381 - BANK/CREDIT CARD FEES</v>
      </c>
      <c r="C50" s="11"/>
      <c r="D50" s="7">
        <v>274</v>
      </c>
      <c r="E50" s="2"/>
      <c r="F50" s="6">
        <f t="shared" si="29"/>
        <v>0</v>
      </c>
      <c r="G50" s="2"/>
      <c r="H50" s="7">
        <v>308</v>
      </c>
      <c r="I50" s="2"/>
      <c r="J50" s="6">
        <f t="shared" si="30"/>
        <v>7.5824716888232405E-2</v>
      </c>
      <c r="K50" s="2"/>
      <c r="L50" s="7">
        <f t="shared" si="31"/>
        <v>-34</v>
      </c>
      <c r="M50" s="2"/>
      <c r="N50" s="6">
        <f t="shared" si="32"/>
        <v>-0.11038961038961038</v>
      </c>
      <c r="O50" s="11"/>
      <c r="P50" s="7">
        <v>673.33</v>
      </c>
      <c r="Q50" s="2"/>
      <c r="R50" s="6">
        <f t="shared" si="33"/>
        <v>0.27189103845392837</v>
      </c>
      <c r="S50" s="2"/>
      <c r="T50" s="7">
        <v>2198</v>
      </c>
      <c r="U50" s="2"/>
      <c r="V50" s="6">
        <f t="shared" si="34"/>
        <v>6.3390436638403408E-2</v>
      </c>
      <c r="W50" s="2"/>
      <c r="X50" s="7">
        <f t="shared" si="35"/>
        <v>-1524.67</v>
      </c>
      <c r="Y50" s="2"/>
      <c r="Z50" s="6">
        <f t="shared" si="36"/>
        <v>-0.69366242038216563</v>
      </c>
    </row>
    <row r="51" spans="1:26" s="28" customFormat="1" outlineLevel="1" collapsed="1" x14ac:dyDescent="0.25">
      <c r="A51" s="27"/>
      <c r="B51" s="14" t="str">
        <f>CONCATENATE("     ","Depreciation                                      ")</f>
        <v xml:space="preserve">     Depreciation                                      </v>
      </c>
      <c r="C51" s="14"/>
      <c r="D51" s="1">
        <f>SUM(OSRRefD22_5x_0)</f>
        <v>1075.3699999999999</v>
      </c>
      <c r="E51" s="1"/>
      <c r="F51" s="5">
        <f t="shared" si="29"/>
        <v>0</v>
      </c>
      <c r="G51" s="1"/>
      <c r="H51" s="1">
        <f>SUM(OSRRefH22_5x_0)</f>
        <v>1075</v>
      </c>
      <c r="I51" s="1"/>
      <c r="J51" s="5">
        <f t="shared" si="30"/>
        <v>0.26464795667159036</v>
      </c>
      <c r="K51" s="1"/>
      <c r="L51" s="1">
        <f t="shared" si="31"/>
        <v>0.36999999999989086</v>
      </c>
      <c r="M51" s="1"/>
      <c r="N51" s="5">
        <f t="shared" si="32"/>
        <v>3.4418604651152636E-4</v>
      </c>
      <c r="O51" s="14"/>
      <c r="P51" s="1">
        <f>SUM(OSRRefP22_5x_0)</f>
        <v>6452.22</v>
      </c>
      <c r="Q51" s="1"/>
      <c r="R51" s="5">
        <f t="shared" si="33"/>
        <v>2.6054101200499096</v>
      </c>
      <c r="S51" s="1"/>
      <c r="T51" s="1">
        <f>SUM(OSRRefT22_5x_0)</f>
        <v>6450</v>
      </c>
      <c r="U51" s="1"/>
      <c r="V51" s="5">
        <f t="shared" si="34"/>
        <v>0.18601834227374978</v>
      </c>
      <c r="W51" s="1"/>
      <c r="X51" s="1">
        <f t="shared" si="35"/>
        <v>2.2200000000002547</v>
      </c>
      <c r="Y51" s="1"/>
      <c r="Z51" s="5">
        <f t="shared" si="36"/>
        <v>3.4418604651166736E-4</v>
      </c>
    </row>
    <row r="52" spans="1:26" s="24" customFormat="1" hidden="1" outlineLevel="2" x14ac:dyDescent="0.25">
      <c r="A52" s="29"/>
      <c r="B52" s="11" t="str">
        <f>CONCATENATE("          ", "6322", " - ", "EQUIPMENT DEPRECIATION EXPENSE")</f>
        <v xml:space="preserve">          6322 - EQUIPMENT DEPRECIATION EXPENSE</v>
      </c>
      <c r="C52" s="11"/>
      <c r="D52" s="7">
        <v>1075.3699999999999</v>
      </c>
      <c r="E52" s="2"/>
      <c r="F52" s="6">
        <f t="shared" si="29"/>
        <v>0</v>
      </c>
      <c r="G52" s="2"/>
      <c r="H52" s="7">
        <v>1075</v>
      </c>
      <c r="I52" s="2"/>
      <c r="J52" s="6">
        <f t="shared" si="30"/>
        <v>0.26464795667159036</v>
      </c>
      <c r="K52" s="2"/>
      <c r="L52" s="7">
        <f t="shared" si="31"/>
        <v>0.36999999999989086</v>
      </c>
      <c r="M52" s="2"/>
      <c r="N52" s="6">
        <f t="shared" si="32"/>
        <v>3.4418604651152636E-4</v>
      </c>
      <c r="O52" s="11"/>
      <c r="P52" s="7">
        <v>6452.22</v>
      </c>
      <c r="Q52" s="2"/>
      <c r="R52" s="6">
        <f t="shared" si="33"/>
        <v>2.6054101200499096</v>
      </c>
      <c r="S52" s="2"/>
      <c r="T52" s="7">
        <v>6450</v>
      </c>
      <c r="U52" s="2"/>
      <c r="V52" s="6">
        <f t="shared" si="34"/>
        <v>0.18601834227374978</v>
      </c>
      <c r="W52" s="2"/>
      <c r="X52" s="7">
        <f t="shared" si="35"/>
        <v>2.2200000000002547</v>
      </c>
      <c r="Y52" s="2"/>
      <c r="Z52" s="6">
        <f t="shared" si="36"/>
        <v>3.4418604651166736E-4</v>
      </c>
    </row>
    <row r="53" spans="1:26" s="28" customFormat="1" outlineLevel="1" collapsed="1" x14ac:dyDescent="0.25">
      <c r="A53" s="27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SUM(OSRRefD22_6x_0)</f>
        <v>806.38</v>
      </c>
      <c r="E53" s="1"/>
      <c r="F53" s="5">
        <f t="shared" si="29"/>
        <v>0</v>
      </c>
      <c r="G53" s="1"/>
      <c r="H53" s="1">
        <f>SUM(OSRRefH22_6x_0)</f>
        <v>0</v>
      </c>
      <c r="I53" s="1"/>
      <c r="J53" s="5">
        <f t="shared" si="30"/>
        <v>0</v>
      </c>
      <c r="K53" s="1"/>
      <c r="L53" s="1">
        <f t="shared" si="31"/>
        <v>806.38</v>
      </c>
      <c r="M53" s="1"/>
      <c r="N53" s="5">
        <f t="shared" si="32"/>
        <v>0</v>
      </c>
      <c r="O53" s="14"/>
      <c r="P53" s="1">
        <f>SUM(OSRRefP22_6x_0)</f>
        <v>1560.93</v>
      </c>
      <c r="Q53" s="1"/>
      <c r="R53" s="5">
        <f t="shared" si="33"/>
        <v>0.63030442525045727</v>
      </c>
      <c r="S53" s="1"/>
      <c r="T53" s="1">
        <f>SUM(OSRRefT22_6x_0)</f>
        <v>1000</v>
      </c>
      <c r="U53" s="1"/>
      <c r="V53" s="5">
        <f t="shared" si="34"/>
        <v>2.8840053065697639E-2</v>
      </c>
      <c r="W53" s="1"/>
      <c r="X53" s="1">
        <f t="shared" si="35"/>
        <v>560.93000000000006</v>
      </c>
      <c r="Y53" s="1"/>
      <c r="Z53" s="5">
        <f t="shared" si="36"/>
        <v>0.56093000000000004</v>
      </c>
    </row>
    <row r="54" spans="1:26" s="24" customFormat="1" hidden="1" outlineLevel="2" x14ac:dyDescent="0.25">
      <c r="A54" s="29"/>
      <c r="B54" s="11" t="str">
        <f>CONCATENATE("          ", "6279", " - ", "GENERAL EXPENSE")</f>
        <v xml:space="preserve">          6279 - GENERAL EXPENSE</v>
      </c>
      <c r="C54" s="11"/>
      <c r="D54" s="7">
        <v>806.38</v>
      </c>
      <c r="E54" s="2"/>
      <c r="F54" s="6">
        <f t="shared" si="29"/>
        <v>0</v>
      </c>
      <c r="G54" s="2"/>
      <c r="H54" s="7"/>
      <c r="I54" s="2"/>
      <c r="J54" s="6">
        <f t="shared" si="30"/>
        <v>0</v>
      </c>
      <c r="K54" s="2"/>
      <c r="L54" s="7">
        <f t="shared" si="31"/>
        <v>806.38</v>
      </c>
      <c r="M54" s="2"/>
      <c r="N54" s="6">
        <f t="shared" si="32"/>
        <v>0</v>
      </c>
      <c r="O54" s="11"/>
      <c r="P54" s="7">
        <v>1560.93</v>
      </c>
      <c r="Q54" s="2"/>
      <c r="R54" s="6">
        <f t="shared" si="33"/>
        <v>0.63030442525045727</v>
      </c>
      <c r="S54" s="2"/>
      <c r="T54" s="7">
        <v>1000</v>
      </c>
      <c r="U54" s="2"/>
      <c r="V54" s="6">
        <f t="shared" si="34"/>
        <v>2.8840053065697639E-2</v>
      </c>
      <c r="W54" s="2"/>
      <c r="X54" s="7">
        <f t="shared" si="35"/>
        <v>560.93000000000006</v>
      </c>
      <c r="Y54" s="2"/>
      <c r="Z54" s="6">
        <f t="shared" si="36"/>
        <v>0.56093000000000004</v>
      </c>
    </row>
    <row r="55" spans="1:26" s="28" customFormat="1" outlineLevel="1" collapsed="1" x14ac:dyDescent="0.25">
      <c r="A55" s="27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SUM(OSRRefD22_7x_0)</f>
        <v>48.23</v>
      </c>
      <c r="E55" s="1"/>
      <c r="F55" s="5">
        <f t="shared" si="29"/>
        <v>0</v>
      </c>
      <c r="G55" s="1"/>
      <c r="H55" s="1">
        <f>SUM(OSRRefH22_7x_0)</f>
        <v>250</v>
      </c>
      <c r="I55" s="1"/>
      <c r="J55" s="5">
        <f t="shared" si="30"/>
        <v>6.1546036435253568E-2</v>
      </c>
      <c r="K55" s="1"/>
      <c r="L55" s="1">
        <f t="shared" si="31"/>
        <v>-201.77</v>
      </c>
      <c r="M55" s="1"/>
      <c r="N55" s="5">
        <f t="shared" si="32"/>
        <v>-0.80708000000000002</v>
      </c>
      <c r="O55" s="14"/>
      <c r="P55" s="1">
        <f>SUM(OSRRefP22_7x_0)</f>
        <v>492.62</v>
      </c>
      <c r="Q55" s="1"/>
      <c r="R55" s="5">
        <f t="shared" si="33"/>
        <v>0.19892023727321548</v>
      </c>
      <c r="S55" s="1"/>
      <c r="T55" s="1">
        <f>SUM(OSRRefT22_7x_0)</f>
        <v>1250</v>
      </c>
      <c r="U55" s="1"/>
      <c r="V55" s="5">
        <f t="shared" si="34"/>
        <v>3.6050066332122051E-2</v>
      </c>
      <c r="W55" s="1"/>
      <c r="X55" s="1">
        <f t="shared" si="35"/>
        <v>-757.38</v>
      </c>
      <c r="Y55" s="1"/>
      <c r="Z55" s="5">
        <f t="shared" si="36"/>
        <v>-0.605904</v>
      </c>
    </row>
    <row r="56" spans="1:26" s="24" customFormat="1" hidden="1" outlineLevel="2" x14ac:dyDescent="0.25">
      <c r="A56" s="29"/>
      <c r="B56" s="11" t="str">
        <f>CONCATENATE("          ", "6373", " - ", "MAINTENANCE CONTRACTS")</f>
        <v xml:space="preserve">          6373 - MAINTENANCE CONTRACTS</v>
      </c>
      <c r="C56" s="11"/>
      <c r="D56" s="7">
        <v>48.23</v>
      </c>
      <c r="E56" s="2"/>
      <c r="F56" s="6">
        <f t="shared" si="29"/>
        <v>0</v>
      </c>
      <c r="G56" s="2"/>
      <c r="H56" s="7"/>
      <c r="I56" s="2"/>
      <c r="J56" s="6">
        <f t="shared" si="30"/>
        <v>0</v>
      </c>
      <c r="K56" s="2"/>
      <c r="L56" s="7">
        <f t="shared" si="31"/>
        <v>48.23</v>
      </c>
      <c r="M56" s="2"/>
      <c r="N56" s="6">
        <f t="shared" si="32"/>
        <v>0</v>
      </c>
      <c r="O56" s="11"/>
      <c r="P56" s="7">
        <v>175.06</v>
      </c>
      <c r="Q56" s="2"/>
      <c r="R56" s="6">
        <f t="shared" si="33"/>
        <v>7.0689327954709724E-2</v>
      </c>
      <c r="S56" s="2"/>
      <c r="T56" s="7"/>
      <c r="U56" s="2"/>
      <c r="V56" s="6">
        <f t="shared" si="34"/>
        <v>0</v>
      </c>
      <c r="W56" s="2"/>
      <c r="X56" s="7">
        <f t="shared" si="35"/>
        <v>175.06</v>
      </c>
      <c r="Y56" s="2"/>
      <c r="Z56" s="6">
        <f t="shared" si="36"/>
        <v>0</v>
      </c>
    </row>
    <row r="57" spans="1:26" s="24" customFormat="1" hidden="1" outlineLevel="2" x14ac:dyDescent="0.25">
      <c r="A57" s="29"/>
      <c r="B57" s="11" t="str">
        <f>CONCATENATE("          ", "6375", " - ", "OUTSIDE REPAIRS &amp; MAINTENANCE")</f>
        <v xml:space="preserve">          6375 - OUTSIDE REPAIRS &amp; MAINTENANCE</v>
      </c>
      <c r="C57" s="11"/>
      <c r="D57" s="7"/>
      <c r="E57" s="2"/>
      <c r="F57" s="6">
        <f t="shared" si="29"/>
        <v>0</v>
      </c>
      <c r="G57" s="2"/>
      <c r="H57" s="7">
        <v>250</v>
      </c>
      <c r="I57" s="2"/>
      <c r="J57" s="6">
        <f t="shared" si="30"/>
        <v>6.1546036435253568E-2</v>
      </c>
      <c r="K57" s="2"/>
      <c r="L57" s="7">
        <f t="shared" si="31"/>
        <v>-250</v>
      </c>
      <c r="M57" s="2"/>
      <c r="N57" s="6">
        <f t="shared" si="32"/>
        <v>-1</v>
      </c>
      <c r="O57" s="11"/>
      <c r="P57" s="7">
        <v>317.56</v>
      </c>
      <c r="Q57" s="2"/>
      <c r="R57" s="6">
        <f t="shared" si="33"/>
        <v>0.12823090931850575</v>
      </c>
      <c r="S57" s="2"/>
      <c r="T57" s="7">
        <v>1250</v>
      </c>
      <c r="U57" s="2"/>
      <c r="V57" s="6">
        <f t="shared" si="34"/>
        <v>3.6050066332122051E-2</v>
      </c>
      <c r="W57" s="2"/>
      <c r="X57" s="7">
        <f t="shared" si="35"/>
        <v>-932.44</v>
      </c>
      <c r="Y57" s="2"/>
      <c r="Z57" s="6">
        <f t="shared" si="36"/>
        <v>-0.74595200000000006</v>
      </c>
    </row>
    <row r="58" spans="1:26" s="28" customFormat="1" outlineLevel="1" collapsed="1" x14ac:dyDescent="0.25">
      <c r="A58" s="27"/>
      <c r="B58" s="14" t="str">
        <f>CONCATENATE("     ","Royalty &amp; Commissions                             ")</f>
        <v xml:space="preserve">     Royalty &amp; Commissions                             </v>
      </c>
      <c r="C58" s="14"/>
      <c r="D58" s="1">
        <f>SUM(OSRRefD22_8x_0)</f>
        <v>0</v>
      </c>
      <c r="E58" s="1"/>
      <c r="F58" s="5">
        <f t="shared" ref="F58:F60" si="37">IF(D$12=0,0,D58/D$12)</f>
        <v>0</v>
      </c>
      <c r="G58" s="1"/>
      <c r="H58" s="1">
        <f>SUM(OSRRefH22_8x_0)</f>
        <v>433</v>
      </c>
      <c r="I58" s="1"/>
      <c r="J58" s="5">
        <f t="shared" ref="J58:J60" si="38">IF(H$12=0,0,H58/H$12)</f>
        <v>0.10659773510585918</v>
      </c>
      <c r="K58" s="1"/>
      <c r="L58" s="1">
        <f t="shared" ref="L58:L60" si="39">+D58-H58</f>
        <v>-433</v>
      </c>
      <c r="M58" s="1"/>
      <c r="N58" s="5">
        <f t="shared" ref="N58:N60" si="40">IF(H58=0,0,L58/H58)</f>
        <v>-1</v>
      </c>
      <c r="O58" s="14"/>
      <c r="P58" s="1">
        <f>SUM(OSRRefP22_8x_0)</f>
        <v>185.7</v>
      </c>
      <c r="Q58" s="1"/>
      <c r="R58" s="5">
        <f t="shared" ref="R58:R60" si="41">IF(P$12=0,0,P58/P$12)</f>
        <v>7.4985766029873155E-2</v>
      </c>
      <c r="S58" s="1"/>
      <c r="T58" s="1">
        <f>SUM(OSRRefT22_8x_0)</f>
        <v>3158</v>
      </c>
      <c r="U58" s="1"/>
      <c r="V58" s="5">
        <f t="shared" ref="V58:V60" si="42">IF(T$12=0,0,T58/T$12)</f>
        <v>9.1076887581473157E-2</v>
      </c>
      <c r="W58" s="1"/>
      <c r="X58" s="1">
        <f t="shared" ref="X58:X60" si="43">+P58-T58</f>
        <v>-2972.3</v>
      </c>
      <c r="Y58" s="1"/>
      <c r="Z58" s="5">
        <f t="shared" ref="Z58:Z60" si="44">IF(T58=0,0,X58/T58)</f>
        <v>-0.94119696010133003</v>
      </c>
    </row>
    <row r="59" spans="1:26" s="24" customFormat="1" hidden="1" outlineLevel="2" x14ac:dyDescent="0.25">
      <c r="A59" s="29"/>
      <c r="B59" s="11" t="str">
        <f>CONCATENATE("          ", "6254", " - ", "ROYALTY &amp; COMMISSIONS")</f>
        <v xml:space="preserve">          6254 - ROYALTY &amp; COMMISSIONS</v>
      </c>
      <c r="C59" s="11"/>
      <c r="D59" s="7"/>
      <c r="E59" s="2"/>
      <c r="F59" s="6">
        <f t="shared" si="37"/>
        <v>0</v>
      </c>
      <c r="G59" s="2"/>
      <c r="H59" s="7"/>
      <c r="I59" s="2"/>
      <c r="J59" s="6">
        <f t="shared" si="38"/>
        <v>0</v>
      </c>
      <c r="K59" s="2"/>
      <c r="L59" s="7">
        <f t="shared" si="39"/>
        <v>0</v>
      </c>
      <c r="M59" s="2"/>
      <c r="N59" s="6">
        <f t="shared" si="40"/>
        <v>0</v>
      </c>
      <c r="O59" s="11"/>
      <c r="P59" s="7">
        <v>185.7</v>
      </c>
      <c r="Q59" s="2"/>
      <c r="R59" s="6">
        <f t="shared" si="41"/>
        <v>7.4985766029873155E-2</v>
      </c>
      <c r="S59" s="2"/>
      <c r="T59" s="7"/>
      <c r="U59" s="2"/>
      <c r="V59" s="6">
        <f t="shared" si="42"/>
        <v>0</v>
      </c>
      <c r="W59" s="2"/>
      <c r="X59" s="7">
        <f t="shared" si="43"/>
        <v>185.7</v>
      </c>
      <c r="Y59" s="2"/>
      <c r="Z59" s="6">
        <f t="shared" si="44"/>
        <v>0</v>
      </c>
    </row>
    <row r="60" spans="1:26" s="24" customFormat="1" hidden="1" outlineLevel="2" x14ac:dyDescent="0.25">
      <c r="A60" s="29"/>
      <c r="B60" s="11" t="str">
        <f>CONCATENATE("          ", "6259", " - ", "ROYALTY &amp; COMMISSIONS")</f>
        <v xml:space="preserve">          6259 - ROYALTY &amp; COMMISSIONS</v>
      </c>
      <c r="C60" s="11"/>
      <c r="D60" s="7"/>
      <c r="E60" s="2"/>
      <c r="F60" s="6">
        <f t="shared" si="37"/>
        <v>0</v>
      </c>
      <c r="G60" s="2"/>
      <c r="H60" s="7">
        <v>433</v>
      </c>
      <c r="I60" s="2"/>
      <c r="J60" s="6">
        <f t="shared" si="38"/>
        <v>0.10659773510585918</v>
      </c>
      <c r="K60" s="2"/>
      <c r="L60" s="7">
        <f t="shared" si="39"/>
        <v>-433</v>
      </c>
      <c r="M60" s="2"/>
      <c r="N60" s="6">
        <f t="shared" si="40"/>
        <v>-1</v>
      </c>
      <c r="O60" s="11"/>
      <c r="P60" s="7"/>
      <c r="Q60" s="2"/>
      <c r="R60" s="6">
        <f t="shared" si="41"/>
        <v>0</v>
      </c>
      <c r="S60" s="2"/>
      <c r="T60" s="7">
        <v>3158</v>
      </c>
      <c r="U60" s="2"/>
      <c r="V60" s="6">
        <f t="shared" si="42"/>
        <v>9.1076887581473157E-2</v>
      </c>
      <c r="W60" s="2"/>
      <c r="X60" s="7">
        <f t="shared" si="43"/>
        <v>-3158</v>
      </c>
      <c r="Y60" s="2"/>
      <c r="Z60" s="6">
        <f t="shared" si="44"/>
        <v>-1</v>
      </c>
    </row>
    <row r="61" spans="1:26" s="28" customFormat="1" outlineLevel="1" collapsed="1" x14ac:dyDescent="0.25">
      <c r="A61" s="27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SUM(OSRRefD22_9x_0)</f>
        <v>0</v>
      </c>
      <c r="E61" s="1"/>
      <c r="F61" s="5">
        <f t="shared" ref="F61:F63" si="45">IF(D$12=0,0,D61/D$12)</f>
        <v>0</v>
      </c>
      <c r="G61" s="1"/>
      <c r="H61" s="1">
        <f>SUM(OSRRefH22_9x_0)</f>
        <v>287</v>
      </c>
      <c r="I61" s="1"/>
      <c r="J61" s="5">
        <f t="shared" ref="J61:J63" si="46">IF(H$12=0,0,H61/H$12)</f>
        <v>7.0654849827671104E-2</v>
      </c>
      <c r="K61" s="1"/>
      <c r="L61" s="1">
        <f t="shared" ref="L61:L63" si="47">+D61-H61</f>
        <v>-287</v>
      </c>
      <c r="M61" s="1"/>
      <c r="N61" s="5">
        <f t="shared" ref="N61:N63" si="48">IF(H61=0,0,L61/H61)</f>
        <v>-1</v>
      </c>
      <c r="O61" s="14"/>
      <c r="P61" s="1">
        <f>SUM(OSRRefP22_9x_0)</f>
        <v>-63.319999999999993</v>
      </c>
      <c r="Q61" s="1"/>
      <c r="R61" s="5">
        <f t="shared" ref="R61:R63" si="49">IF(P$12=0,0,P61/P$12)</f>
        <v>-2.556865215407414E-2</v>
      </c>
      <c r="S61" s="1"/>
      <c r="T61" s="1">
        <f>SUM(OSRRefT22_9x_0)</f>
        <v>1435</v>
      </c>
      <c r="U61" s="1"/>
      <c r="V61" s="5">
        <f t="shared" ref="V61:V63" si="50">IF(T$12=0,0,T61/T$12)</f>
        <v>4.1385476149276117E-2</v>
      </c>
      <c r="W61" s="1"/>
      <c r="X61" s="1">
        <f t="shared" ref="X61:X63" si="51">+P61-T61</f>
        <v>-1498.32</v>
      </c>
      <c r="Y61" s="1"/>
      <c r="Z61" s="5">
        <f t="shared" ref="Z61:Z63" si="52">IF(T61=0,0,X61/T61)</f>
        <v>-1.0441254355400695</v>
      </c>
    </row>
    <row r="62" spans="1:26" s="24" customFormat="1" hidden="1" outlineLevel="2" x14ac:dyDescent="0.25">
      <c r="A62" s="29"/>
      <c r="B62" s="11" t="str">
        <f>CONCATENATE("          ", "6282", " - ", "JANITORIAL/EXTERMINATOR EXPENS")</f>
        <v xml:space="preserve">          6282 - JANITORIAL/EXTERMINATOR EXPENS</v>
      </c>
      <c r="C62" s="11"/>
      <c r="D62" s="7"/>
      <c r="E62" s="2"/>
      <c r="F62" s="6">
        <f t="shared" si="45"/>
        <v>0</v>
      </c>
      <c r="G62" s="2"/>
      <c r="H62" s="7"/>
      <c r="I62" s="2"/>
      <c r="J62" s="6">
        <f t="shared" si="46"/>
        <v>0</v>
      </c>
      <c r="K62" s="2"/>
      <c r="L62" s="7">
        <f t="shared" si="47"/>
        <v>0</v>
      </c>
      <c r="M62" s="2"/>
      <c r="N62" s="6">
        <f t="shared" si="48"/>
        <v>0</v>
      </c>
      <c r="O62" s="11"/>
      <c r="P62" s="7">
        <v>82</v>
      </c>
      <c r="Q62" s="2"/>
      <c r="R62" s="6">
        <f t="shared" si="49"/>
        <v>3.3111646819868598E-2</v>
      </c>
      <c r="S62" s="2"/>
      <c r="T62" s="7"/>
      <c r="U62" s="2"/>
      <c r="V62" s="6">
        <f t="shared" si="50"/>
        <v>0</v>
      </c>
      <c r="W62" s="2"/>
      <c r="X62" s="7">
        <f t="shared" si="51"/>
        <v>82</v>
      </c>
      <c r="Y62" s="2"/>
      <c r="Z62" s="6">
        <f t="shared" si="52"/>
        <v>0</v>
      </c>
    </row>
    <row r="63" spans="1:26" s="24" customFormat="1" hidden="1" outlineLevel="2" x14ac:dyDescent="0.25">
      <c r="A63" s="29"/>
      <c r="B63" s="11" t="str">
        <f>CONCATENATE("          ", "6285", " - ", "JANITORIAL SERVICES")</f>
        <v xml:space="preserve">          6285 - JANITORIAL SERVICES</v>
      </c>
      <c r="C63" s="11"/>
      <c r="D63" s="7"/>
      <c r="E63" s="2"/>
      <c r="F63" s="6">
        <f t="shared" si="45"/>
        <v>0</v>
      </c>
      <c r="G63" s="2"/>
      <c r="H63" s="7">
        <v>287</v>
      </c>
      <c r="I63" s="2"/>
      <c r="J63" s="6">
        <f t="shared" si="46"/>
        <v>7.0654849827671104E-2</v>
      </c>
      <c r="K63" s="2"/>
      <c r="L63" s="7">
        <f t="shared" si="47"/>
        <v>-287</v>
      </c>
      <c r="M63" s="2"/>
      <c r="N63" s="6">
        <f t="shared" si="48"/>
        <v>-1</v>
      </c>
      <c r="O63" s="11"/>
      <c r="P63" s="7">
        <v>-145.32</v>
      </c>
      <c r="Q63" s="2"/>
      <c r="R63" s="6">
        <f t="shared" si="49"/>
        <v>-5.8680298973942738E-2</v>
      </c>
      <c r="S63" s="2"/>
      <c r="T63" s="7">
        <v>1435</v>
      </c>
      <c r="U63" s="2"/>
      <c r="V63" s="6">
        <f t="shared" si="50"/>
        <v>4.1385476149276117E-2</v>
      </c>
      <c r="W63" s="2"/>
      <c r="X63" s="7">
        <f t="shared" si="51"/>
        <v>-1580.32</v>
      </c>
      <c r="Y63" s="2"/>
      <c r="Z63" s="6">
        <f t="shared" si="52"/>
        <v>-1.1012682926829267</v>
      </c>
    </row>
    <row r="64" spans="1:26" s="28" customFormat="1" outlineLevel="1" collapsed="1" x14ac:dyDescent="0.25">
      <c r="A64" s="27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SUM(OSRRefD22_10x_0)</f>
        <v>0</v>
      </c>
      <c r="E64" s="1"/>
      <c r="F64" s="5">
        <f t="shared" ref="F64:F67" si="53">IF(D$12=0,0,D64/D$12)</f>
        <v>0</v>
      </c>
      <c r="G64" s="1"/>
      <c r="H64" s="1">
        <f>SUM(OSRRefH22_10x_0)</f>
        <v>467</v>
      </c>
      <c r="I64" s="1"/>
      <c r="J64" s="5">
        <f t="shared" ref="J64:J67" si="54">IF(H$12=0,0,H64/H$12)</f>
        <v>0.11496799606105366</v>
      </c>
      <c r="K64" s="1"/>
      <c r="L64" s="1">
        <f t="shared" ref="L64:L67" si="55">+D64-H64</f>
        <v>-467</v>
      </c>
      <c r="M64" s="1"/>
      <c r="N64" s="5">
        <f t="shared" ref="N64:N67" si="56">IF(H64=0,0,L64/H64)</f>
        <v>-1</v>
      </c>
      <c r="O64" s="14"/>
      <c r="P64" s="1">
        <f>SUM(OSRRefP22_10x_0)</f>
        <v>328.55</v>
      </c>
      <c r="Q64" s="1"/>
      <c r="R64" s="5">
        <f t="shared" ref="R64:R67" si="57">IF(P$12=0,0,P64/P$12)</f>
        <v>0.13266867759351011</v>
      </c>
      <c r="S64" s="1"/>
      <c r="T64" s="1">
        <f>SUM(OSRRefT22_10x_0)</f>
        <v>2435</v>
      </c>
      <c r="U64" s="1"/>
      <c r="V64" s="5">
        <f t="shared" ref="V64:V67" si="58">IF(T$12=0,0,T64/T$12)</f>
        <v>7.0225529214973756E-2</v>
      </c>
      <c r="W64" s="1"/>
      <c r="X64" s="1">
        <f t="shared" ref="X64:X67" si="59">+P64-T64</f>
        <v>-2106.4499999999998</v>
      </c>
      <c r="Y64" s="1"/>
      <c r="Z64" s="5">
        <f t="shared" ref="Z64:Z67" si="60">IF(T64=0,0,X64/T64)</f>
        <v>-0.8650718685831621</v>
      </c>
    </row>
    <row r="65" spans="1:26" s="24" customFormat="1" hidden="1" outlineLevel="2" x14ac:dyDescent="0.25">
      <c r="A65" s="29"/>
      <c r="B65" s="11" t="str">
        <f>CONCATENATE("          ", "6235", " - ", "COVID-19 EXPENSES")</f>
        <v xml:space="preserve">          6235 - COVID-19 EXPENSES</v>
      </c>
      <c r="C65" s="11"/>
      <c r="D65" s="7"/>
      <c r="E65" s="2"/>
      <c r="F65" s="6">
        <f t="shared" si="53"/>
        <v>0</v>
      </c>
      <c r="G65" s="2"/>
      <c r="H65" s="7">
        <v>200</v>
      </c>
      <c r="I65" s="2"/>
      <c r="J65" s="6">
        <f t="shared" si="54"/>
        <v>4.9236829148202856E-2</v>
      </c>
      <c r="K65" s="2"/>
      <c r="L65" s="7">
        <f t="shared" si="55"/>
        <v>-200</v>
      </c>
      <c r="M65" s="2"/>
      <c r="N65" s="6">
        <f t="shared" si="56"/>
        <v>-1</v>
      </c>
      <c r="O65" s="11"/>
      <c r="P65" s="7">
        <v>207.27</v>
      </c>
      <c r="Q65" s="2"/>
      <c r="R65" s="6">
        <f t="shared" si="57"/>
        <v>8.3695744345782502E-2</v>
      </c>
      <c r="S65" s="2"/>
      <c r="T65" s="7">
        <v>1000</v>
      </c>
      <c r="U65" s="2"/>
      <c r="V65" s="6">
        <f t="shared" si="58"/>
        <v>2.8840053065697639E-2</v>
      </c>
      <c r="W65" s="2"/>
      <c r="X65" s="7">
        <f t="shared" si="59"/>
        <v>-792.73</v>
      </c>
      <c r="Y65" s="2"/>
      <c r="Z65" s="6">
        <f t="shared" si="60"/>
        <v>-0.79273000000000005</v>
      </c>
    </row>
    <row r="66" spans="1:26" s="24" customFormat="1" hidden="1" outlineLevel="2" x14ac:dyDescent="0.25">
      <c r="A66" s="29"/>
      <c r="B66" s="11" t="str">
        <f>CONCATENATE("          ", "6247", " - ", "STORE SUPPLIES")</f>
        <v xml:space="preserve">          6247 - STORE SUPPLIES</v>
      </c>
      <c r="C66" s="11"/>
      <c r="D66" s="7"/>
      <c r="E66" s="2"/>
      <c r="F66" s="6">
        <f t="shared" si="53"/>
        <v>0</v>
      </c>
      <c r="G66" s="2"/>
      <c r="H66" s="7">
        <v>267</v>
      </c>
      <c r="I66" s="2"/>
      <c r="J66" s="6">
        <f t="shared" si="54"/>
        <v>6.5731166912850816E-2</v>
      </c>
      <c r="K66" s="2"/>
      <c r="L66" s="7">
        <f t="shared" si="55"/>
        <v>-267</v>
      </c>
      <c r="M66" s="2"/>
      <c r="N66" s="6">
        <f t="shared" si="56"/>
        <v>-1</v>
      </c>
      <c r="O66" s="11"/>
      <c r="P66" s="7">
        <v>121.28</v>
      </c>
      <c r="Q66" s="2"/>
      <c r="R66" s="6">
        <f t="shared" si="57"/>
        <v>4.8972933247727606E-2</v>
      </c>
      <c r="S66" s="2"/>
      <c r="T66" s="7">
        <v>1335</v>
      </c>
      <c r="U66" s="2"/>
      <c r="V66" s="6">
        <f t="shared" si="58"/>
        <v>3.8501470842706352E-2</v>
      </c>
      <c r="W66" s="2"/>
      <c r="X66" s="7">
        <f t="shared" si="59"/>
        <v>-1213.72</v>
      </c>
      <c r="Y66" s="2"/>
      <c r="Z66" s="6">
        <f t="shared" si="60"/>
        <v>-0.90915355805243447</v>
      </c>
    </row>
    <row r="67" spans="1:26" s="24" customFormat="1" hidden="1" outlineLevel="2" x14ac:dyDescent="0.25">
      <c r="A67" s="29"/>
      <c r="B67" s="11" t="str">
        <f>CONCATENATE("          ", "6248", " - ", "UNIFORMS")</f>
        <v xml:space="preserve">          6248 - UNIFORMS</v>
      </c>
      <c r="C67" s="11"/>
      <c r="D67" s="7"/>
      <c r="E67" s="2"/>
      <c r="F67" s="6">
        <f t="shared" si="53"/>
        <v>0</v>
      </c>
      <c r="G67" s="2"/>
      <c r="H67" s="7"/>
      <c r="I67" s="2"/>
      <c r="J67" s="6">
        <f t="shared" si="54"/>
        <v>0</v>
      </c>
      <c r="K67" s="2"/>
      <c r="L67" s="7">
        <f t="shared" si="55"/>
        <v>0</v>
      </c>
      <c r="M67" s="2"/>
      <c r="N67" s="6">
        <f t="shared" si="56"/>
        <v>0</v>
      </c>
      <c r="O67" s="11"/>
      <c r="P67" s="7"/>
      <c r="Q67" s="2"/>
      <c r="R67" s="6">
        <f t="shared" si="57"/>
        <v>0</v>
      </c>
      <c r="S67" s="2"/>
      <c r="T67" s="7">
        <v>100</v>
      </c>
      <c r="U67" s="2"/>
      <c r="V67" s="6">
        <f t="shared" si="58"/>
        <v>2.8840053065697642E-3</v>
      </c>
      <c r="W67" s="2"/>
      <c r="X67" s="7">
        <f t="shared" si="59"/>
        <v>-100</v>
      </c>
      <c r="Y67" s="2"/>
      <c r="Z67" s="6">
        <f t="shared" si="60"/>
        <v>-1</v>
      </c>
    </row>
    <row r="68" spans="1:26" s="28" customFormat="1" outlineLevel="1" collapsed="1" x14ac:dyDescent="0.25">
      <c r="A68" s="27"/>
      <c r="B68" s="14" t="str">
        <f>CONCATENATE("     ","Telephone/Data Lines                              ")</f>
        <v xml:space="preserve">     Telephone/Data Lines                              </v>
      </c>
      <c r="C68" s="14"/>
      <c r="D68" s="1">
        <f>SUM(OSRRefD22_11x_0)</f>
        <v>101.5</v>
      </c>
      <c r="E68" s="1"/>
      <c r="F68" s="5">
        <f t="shared" ref="F68:F70" si="61">IF(D$12=0,0,D68/D$12)</f>
        <v>0</v>
      </c>
      <c r="G68" s="1"/>
      <c r="H68" s="1">
        <f>SUM(OSRRefH22_11x_0)</f>
        <v>75</v>
      </c>
      <c r="I68" s="1"/>
      <c r="J68" s="5">
        <f t="shared" ref="J68:J70" si="62">IF(H$12=0,0,H68/H$12)</f>
        <v>1.8463810930576072E-2</v>
      </c>
      <c r="K68" s="1"/>
      <c r="L68" s="1">
        <f t="shared" ref="L68:L70" si="63">+D68-H68</f>
        <v>26.5</v>
      </c>
      <c r="M68" s="1"/>
      <c r="N68" s="5">
        <f t="shared" ref="N68:N70" si="64">IF(H68=0,0,L68/H68)</f>
        <v>0.35333333333333333</v>
      </c>
      <c r="O68" s="14"/>
      <c r="P68" s="1">
        <f>SUM(OSRRefP22_11x_0)</f>
        <v>632.5</v>
      </c>
      <c r="Q68" s="1"/>
      <c r="R68" s="5">
        <f t="shared" ref="R68:R70" si="65">IF(P$12=0,0,P68/P$12)</f>
        <v>0.25540386114105962</v>
      </c>
      <c r="S68" s="1"/>
      <c r="T68" s="1">
        <f>SUM(OSRRefT22_11x_0)</f>
        <v>450</v>
      </c>
      <c r="U68" s="1"/>
      <c r="V68" s="5">
        <f t="shared" ref="V68:V70" si="66">IF(T$12=0,0,T68/T$12)</f>
        <v>1.2978023879563939E-2</v>
      </c>
      <c r="W68" s="1"/>
      <c r="X68" s="1">
        <f t="shared" ref="X68:X70" si="67">+P68-T68</f>
        <v>182.5</v>
      </c>
      <c r="Y68" s="1"/>
      <c r="Z68" s="5">
        <f t="shared" ref="Z68:Z70" si="68">IF(T68=0,0,X68/T68)</f>
        <v>0.40555555555555556</v>
      </c>
    </row>
    <row r="69" spans="1:26" s="24" customFormat="1" hidden="1" outlineLevel="2" x14ac:dyDescent="0.25">
      <c r="A69" s="29"/>
      <c r="B69" s="11" t="str">
        <f>CONCATENATE("          ", "6303", " - ", "DATA PHONE LINES")</f>
        <v xml:space="preserve">          6303 - DATA PHONE LINES</v>
      </c>
      <c r="C69" s="11"/>
      <c r="D69" s="7"/>
      <c r="E69" s="2"/>
      <c r="F69" s="6">
        <f t="shared" si="61"/>
        <v>0</v>
      </c>
      <c r="G69" s="2"/>
      <c r="H69" s="7">
        <v>75</v>
      </c>
      <c r="I69" s="2"/>
      <c r="J69" s="6">
        <f t="shared" si="62"/>
        <v>1.8463810930576072E-2</v>
      </c>
      <c r="K69" s="2"/>
      <c r="L69" s="7">
        <f t="shared" si="63"/>
        <v>-75</v>
      </c>
      <c r="M69" s="2"/>
      <c r="N69" s="6">
        <f t="shared" si="64"/>
        <v>-1</v>
      </c>
      <c r="O69" s="11"/>
      <c r="P69" s="7"/>
      <c r="Q69" s="2"/>
      <c r="R69" s="6">
        <f t="shared" si="65"/>
        <v>0</v>
      </c>
      <c r="S69" s="2"/>
      <c r="T69" s="7">
        <v>450</v>
      </c>
      <c r="U69" s="2"/>
      <c r="V69" s="6">
        <f t="shared" si="66"/>
        <v>1.2978023879563939E-2</v>
      </c>
      <c r="W69" s="2"/>
      <c r="X69" s="7">
        <f t="shared" si="67"/>
        <v>-450</v>
      </c>
      <c r="Y69" s="2"/>
      <c r="Z69" s="6">
        <f t="shared" si="68"/>
        <v>-1</v>
      </c>
    </row>
    <row r="70" spans="1:26" s="24" customFormat="1" hidden="1" outlineLevel="2" x14ac:dyDescent="0.25">
      <c r="A70" s="29"/>
      <c r="B70" s="11" t="str">
        <f>CONCATENATE("          ", "6309", " - ", "TELEPHONE")</f>
        <v xml:space="preserve">          6309 - TELEPHONE</v>
      </c>
      <c r="C70" s="11"/>
      <c r="D70" s="7">
        <v>101.5</v>
      </c>
      <c r="E70" s="2"/>
      <c r="F70" s="6">
        <f t="shared" si="61"/>
        <v>0</v>
      </c>
      <c r="G70" s="2"/>
      <c r="H70" s="7"/>
      <c r="I70" s="2"/>
      <c r="J70" s="6">
        <f t="shared" si="62"/>
        <v>0</v>
      </c>
      <c r="K70" s="2"/>
      <c r="L70" s="7">
        <f t="shared" si="63"/>
        <v>101.5</v>
      </c>
      <c r="M70" s="2"/>
      <c r="N70" s="6">
        <f t="shared" si="64"/>
        <v>0</v>
      </c>
      <c r="O70" s="11"/>
      <c r="P70" s="7">
        <v>632.5</v>
      </c>
      <c r="Q70" s="2"/>
      <c r="R70" s="6">
        <f t="shared" si="65"/>
        <v>0.25540386114105962</v>
      </c>
      <c r="S70" s="2"/>
      <c r="T70" s="7"/>
      <c r="U70" s="2"/>
      <c r="V70" s="6">
        <f t="shared" si="66"/>
        <v>0</v>
      </c>
      <c r="W70" s="2"/>
      <c r="X70" s="7">
        <f t="shared" si="67"/>
        <v>632.5</v>
      </c>
      <c r="Y70" s="2"/>
      <c r="Z70" s="6">
        <f t="shared" si="68"/>
        <v>0</v>
      </c>
    </row>
    <row r="71" spans="1:26" s="28" customFormat="1" outlineLevel="1" collapsed="1" x14ac:dyDescent="0.25">
      <c r="A71" s="27"/>
      <c r="B71" s="14" t="str">
        <f>CONCATENATE("     ","Training                                          ")</f>
        <v xml:space="preserve">     Training                                          </v>
      </c>
      <c r="C71" s="14"/>
      <c r="D71" s="1">
        <f>SUM(OSRRefD22_12x_0)</f>
        <v>0</v>
      </c>
      <c r="E71" s="1"/>
      <c r="F71" s="5">
        <f t="shared" ref="F71:F74" si="69">IF(D$12=0,0,D71/D$12)</f>
        <v>0</v>
      </c>
      <c r="G71" s="1"/>
      <c r="H71" s="1">
        <f>SUM(OSRRefH22_12x_0)</f>
        <v>0</v>
      </c>
      <c r="I71" s="1"/>
      <c r="J71" s="5">
        <f t="shared" ref="J71:J74" si="70">IF(H$12=0,0,H71/H$12)</f>
        <v>0</v>
      </c>
      <c r="K71" s="1"/>
      <c r="L71" s="1">
        <f t="shared" ref="L71:L74" si="71">+D71-H71</f>
        <v>0</v>
      </c>
      <c r="M71" s="1"/>
      <c r="N71" s="5">
        <f t="shared" ref="N71:N74" si="72">IF(H71=0,0,L71/H71)</f>
        <v>0</v>
      </c>
      <c r="O71" s="14"/>
      <c r="P71" s="1">
        <f>SUM(OSRRefP22_12x_0)</f>
        <v>0</v>
      </c>
      <c r="Q71" s="1"/>
      <c r="R71" s="5">
        <f t="shared" ref="R71:R74" si="73">IF(P$12=0,0,P71/P$12)</f>
        <v>0</v>
      </c>
      <c r="S71" s="1"/>
      <c r="T71" s="1">
        <f>SUM(OSRRefT22_12x_0)</f>
        <v>60</v>
      </c>
      <c r="U71" s="1"/>
      <c r="V71" s="5">
        <f t="shared" ref="V71:V74" si="74">IF(T$12=0,0,T71/T$12)</f>
        <v>1.7304031839418584E-3</v>
      </c>
      <c r="W71" s="1"/>
      <c r="X71" s="1">
        <f t="shared" ref="X71:X74" si="75">+P71-T71</f>
        <v>-60</v>
      </c>
      <c r="Y71" s="1"/>
      <c r="Z71" s="5">
        <f t="shared" ref="Z71:Z74" si="76">IF(T71=0,0,X71/T71)</f>
        <v>-1</v>
      </c>
    </row>
    <row r="72" spans="1:26" s="24" customFormat="1" hidden="1" outlineLevel="2" x14ac:dyDescent="0.25">
      <c r="A72" s="29"/>
      <c r="B72" s="11" t="str">
        <f>CONCATENATE("          ", "6376", " - ", "TRAINING")</f>
        <v xml:space="preserve">          6376 - TRAINING</v>
      </c>
      <c r="C72" s="11"/>
      <c r="D72" s="7"/>
      <c r="E72" s="2"/>
      <c r="F72" s="6">
        <f t="shared" si="69"/>
        <v>0</v>
      </c>
      <c r="G72" s="2"/>
      <c r="H72" s="7"/>
      <c r="I72" s="2"/>
      <c r="J72" s="6">
        <f t="shared" si="70"/>
        <v>0</v>
      </c>
      <c r="K72" s="2"/>
      <c r="L72" s="7">
        <f t="shared" si="71"/>
        <v>0</v>
      </c>
      <c r="M72" s="2"/>
      <c r="N72" s="6">
        <f t="shared" si="72"/>
        <v>0</v>
      </c>
      <c r="O72" s="11"/>
      <c r="P72" s="7"/>
      <c r="Q72" s="2"/>
      <c r="R72" s="6">
        <f t="shared" si="73"/>
        <v>0</v>
      </c>
      <c r="S72" s="2"/>
      <c r="T72" s="7">
        <v>60</v>
      </c>
      <c r="U72" s="2"/>
      <c r="V72" s="6">
        <f t="shared" si="74"/>
        <v>1.7304031839418584E-3</v>
      </c>
      <c r="W72" s="2"/>
      <c r="X72" s="7">
        <f t="shared" si="75"/>
        <v>-60</v>
      </c>
      <c r="Y72" s="2"/>
      <c r="Z72" s="6">
        <f t="shared" si="76"/>
        <v>-1</v>
      </c>
    </row>
    <row r="73" spans="1:26" s="28" customFormat="1" outlineLevel="1" collapsed="1" x14ac:dyDescent="0.25">
      <c r="A73" s="27"/>
      <c r="B73" s="14" t="str">
        <f>CONCATENATE("     ","Utilities                                         ")</f>
        <v xml:space="preserve">     Utilities                                         </v>
      </c>
      <c r="C73" s="14"/>
      <c r="D73" s="1">
        <f>SUM(OSRRefD22_13x_0)</f>
        <v>50</v>
      </c>
      <c r="E73" s="1"/>
      <c r="F73" s="5">
        <f t="shared" si="69"/>
        <v>0</v>
      </c>
      <c r="G73" s="1"/>
      <c r="H73" s="1">
        <f>SUM(OSRRefH22_13x_0)</f>
        <v>50</v>
      </c>
      <c r="I73" s="1"/>
      <c r="J73" s="5">
        <f t="shared" si="70"/>
        <v>1.2309207287050714E-2</v>
      </c>
      <c r="K73" s="1"/>
      <c r="L73" s="1">
        <f t="shared" si="71"/>
        <v>0</v>
      </c>
      <c r="M73" s="1"/>
      <c r="N73" s="5">
        <f t="shared" si="72"/>
        <v>0</v>
      </c>
      <c r="O73" s="14"/>
      <c r="P73" s="1">
        <f>SUM(OSRRefP22_13x_0)</f>
        <v>300</v>
      </c>
      <c r="Q73" s="1"/>
      <c r="R73" s="5">
        <f t="shared" si="73"/>
        <v>0.1211401712922022</v>
      </c>
      <c r="S73" s="1"/>
      <c r="T73" s="1">
        <f>SUM(OSRRefT22_13x_0)</f>
        <v>300</v>
      </c>
      <c r="U73" s="1"/>
      <c r="V73" s="5">
        <f t="shared" si="74"/>
        <v>8.6520159197092921E-3</v>
      </c>
      <c r="W73" s="1"/>
      <c r="X73" s="1">
        <f t="shared" si="75"/>
        <v>0</v>
      </c>
      <c r="Y73" s="1"/>
      <c r="Z73" s="5">
        <f t="shared" si="76"/>
        <v>0</v>
      </c>
    </row>
    <row r="74" spans="1:26" s="24" customFormat="1" hidden="1" outlineLevel="2" x14ac:dyDescent="0.25">
      <c r="A74" s="29"/>
      <c r="B74" s="11" t="str">
        <f>CONCATENATE("          ", "6274", " - ", "UTILITIES")</f>
        <v xml:space="preserve">          6274 - UTILITIES</v>
      </c>
      <c r="C74" s="11"/>
      <c r="D74" s="7">
        <v>50</v>
      </c>
      <c r="E74" s="2"/>
      <c r="F74" s="6">
        <f t="shared" si="69"/>
        <v>0</v>
      </c>
      <c r="G74" s="2"/>
      <c r="H74" s="7">
        <v>50</v>
      </c>
      <c r="I74" s="2"/>
      <c r="J74" s="6">
        <f t="shared" si="70"/>
        <v>1.2309207287050714E-2</v>
      </c>
      <c r="K74" s="2"/>
      <c r="L74" s="7">
        <f t="shared" si="71"/>
        <v>0</v>
      </c>
      <c r="M74" s="2"/>
      <c r="N74" s="6">
        <f t="shared" si="72"/>
        <v>0</v>
      </c>
      <c r="O74" s="11"/>
      <c r="P74" s="7">
        <v>300</v>
      </c>
      <c r="Q74" s="2"/>
      <c r="R74" s="6">
        <f t="shared" si="73"/>
        <v>0.1211401712922022</v>
      </c>
      <c r="S74" s="2"/>
      <c r="T74" s="7">
        <v>300</v>
      </c>
      <c r="U74" s="2"/>
      <c r="V74" s="6">
        <f t="shared" si="74"/>
        <v>8.6520159197092921E-3</v>
      </c>
      <c r="W74" s="2"/>
      <c r="X74" s="7">
        <f t="shared" si="75"/>
        <v>0</v>
      </c>
      <c r="Y74" s="2"/>
      <c r="Z74" s="6">
        <f t="shared" si="76"/>
        <v>0</v>
      </c>
    </row>
    <row r="75" spans="1:26" s="53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6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5" t="s">
        <v>3</v>
      </c>
      <c r="C78" s="25"/>
      <c r="D78" s="21">
        <f>+D21-D23+D76</f>
        <v>-3502.98</v>
      </c>
      <c r="E78" s="13"/>
      <c r="F78" s="19">
        <f>IF(D$12=0,0,D78/D$12)</f>
        <v>0</v>
      </c>
      <c r="G78" s="13"/>
      <c r="H78" s="21">
        <f>+H21-H23+H76</f>
        <v>-4208.2743214000002</v>
      </c>
      <c r="I78" s="13"/>
      <c r="J78" s="19">
        <f>IF(H$12=0,0,H78/H$12)</f>
        <v>-1.0360104188577055</v>
      </c>
      <c r="K78" s="16"/>
      <c r="L78" s="21">
        <f>+D78-H78</f>
        <v>705.29432140000017</v>
      </c>
      <c r="M78" s="16"/>
      <c r="N78" s="19">
        <f>IF(H78=0,0,L78/H78)</f>
        <v>-0.16759704038622755</v>
      </c>
      <c r="O78" s="26"/>
      <c r="P78" s="21">
        <f>+P21-P23+P76</f>
        <v>-32959.799999999988</v>
      </c>
      <c r="Q78" s="13"/>
      <c r="R78" s="19">
        <f>IF(P$12=0,0,P78/P$12)</f>
        <v>-13.309186059189082</v>
      </c>
      <c r="S78" s="13"/>
      <c r="T78" s="21">
        <f>+T21-T23+T76</f>
        <v>-25933.831731899998</v>
      </c>
      <c r="U78" s="13"/>
      <c r="V78" s="19">
        <f>IF(T$12=0,0,T78/T$12)</f>
        <v>-0.7479330833448693</v>
      </c>
      <c r="W78" s="16"/>
      <c r="X78" s="21">
        <f>+P78-T78</f>
        <v>-7025.9682680999904</v>
      </c>
      <c r="Y78" s="16"/>
      <c r="Z78" s="19">
        <f>IF(T78=0,0,X78/T78)</f>
        <v>0.27091901963170656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>
        <v>64.69</v>
      </c>
      <c r="E80" s="4"/>
      <c r="F80" s="12">
        <f>IF(D$12=0,0,D80/D$12)</f>
        <v>0</v>
      </c>
      <c r="G80" s="4"/>
      <c r="H80" s="4">
        <v>1118</v>
      </c>
      <c r="I80" s="4"/>
      <c r="J80" s="12">
        <f>IF(H$12=0,0,H80/H$12)</f>
        <v>0.27523387493845397</v>
      </c>
      <c r="K80" s="4"/>
      <c r="L80" s="4">
        <f>+D80-H80</f>
        <v>-1053.31</v>
      </c>
      <c r="M80" s="4"/>
      <c r="N80" s="12">
        <f>IF(H80=0,0,L80/H80)</f>
        <v>-0.94213774597495525</v>
      </c>
      <c r="O80" s="10"/>
      <c r="P80" s="4">
        <v>458.2</v>
      </c>
      <c r="Q80" s="4"/>
      <c r="R80" s="12">
        <f>IF(P$12=0,0,P80/P$12)</f>
        <v>0.18502142162029014</v>
      </c>
      <c r="S80" s="4"/>
      <c r="T80" s="4">
        <v>6577</v>
      </c>
      <c r="U80" s="4"/>
      <c r="V80" s="12">
        <f>IF(T$12=0,0,T80/T$12)</f>
        <v>0.18968102901309339</v>
      </c>
      <c r="W80" s="4"/>
      <c r="X80" s="4">
        <f>+P80-T80</f>
        <v>-6118.8</v>
      </c>
      <c r="Y80" s="4"/>
      <c r="Z80" s="12">
        <f>IF(T80=0,0,X80/T80)</f>
        <v>-0.93033297856165431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5" t="s">
        <v>4</v>
      </c>
      <c r="C82" s="25"/>
      <c r="D82" s="34">
        <f>+D78-D80</f>
        <v>-3567.67</v>
      </c>
      <c r="E82" s="13"/>
      <c r="F82" s="31">
        <f>IF(D$12=0,0,D82/D$12)</f>
        <v>0</v>
      </c>
      <c r="G82" s="13"/>
      <c r="H82" s="34">
        <f>+H78-H80</f>
        <v>-5326.2743214000002</v>
      </c>
      <c r="I82" s="13"/>
      <c r="J82" s="31">
        <f>IF(H$12=0,0,H82/H$12)</f>
        <v>-1.3112442937961595</v>
      </c>
      <c r="K82" s="16"/>
      <c r="L82" s="34">
        <f>D82-H82</f>
        <v>1758.6043214000001</v>
      </c>
      <c r="M82" s="16"/>
      <c r="N82" s="31">
        <f>IF(H82=0,0,L82/H82)</f>
        <v>-0.33017531867148642</v>
      </c>
      <c r="O82" s="26"/>
      <c r="P82" s="34">
        <f>+P78-P80</f>
        <v>-33417.999999999985</v>
      </c>
      <c r="Q82" s="13"/>
      <c r="R82" s="31">
        <f>IF(P$12=0,0,P82/P$12)</f>
        <v>-13.49420748080937</v>
      </c>
      <c r="S82" s="13"/>
      <c r="T82" s="34">
        <f>+T78-T80</f>
        <v>-32510.831731899998</v>
      </c>
      <c r="U82" s="13"/>
      <c r="V82" s="31">
        <f>IF(T$12=0,0,T82/T$12)</f>
        <v>-0.93761411235796266</v>
      </c>
      <c r="W82" s="16"/>
      <c r="X82" s="34">
        <f>P82-T82</f>
        <v>-907.16826809998747</v>
      </c>
      <c r="Y82" s="16"/>
      <c r="Z82" s="31">
        <f>IF(T82=0,0,X82/T82)</f>
        <v>2.7903569972645877E-2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5" t="s">
        <v>5</v>
      </c>
      <c r="C85" s="25"/>
      <c r="D85" s="33">
        <f>SUM(D82:D84)</f>
        <v>-3567.67</v>
      </c>
      <c r="E85" s="13"/>
      <c r="F85" s="32">
        <f>IF(D$12=0,0,D85/D$12)</f>
        <v>0</v>
      </c>
      <c r="G85" s="13"/>
      <c r="H85" s="33">
        <f>SUM(H82:H84)</f>
        <v>-5326.2743214000002</v>
      </c>
      <c r="I85" s="13"/>
      <c r="J85" s="32">
        <f>IF(H$12=0,0,H85/H$12)</f>
        <v>-1.3112442937961595</v>
      </c>
      <c r="K85" s="16"/>
      <c r="L85" s="33">
        <f>+D85-H85</f>
        <v>1758.6043214000001</v>
      </c>
      <c r="M85" s="16"/>
      <c r="N85" s="32">
        <f>IF(H85=0,0,L85/H85)</f>
        <v>-0.33017531867148642</v>
      </c>
      <c r="O85" s="26"/>
      <c r="P85" s="33">
        <f>SUM(P82:P84)</f>
        <v>-33417.999999999985</v>
      </c>
      <c r="Q85" s="13"/>
      <c r="R85" s="32">
        <f>IF(P$12=0,0,P85/P$12)</f>
        <v>-13.49420748080937</v>
      </c>
      <c r="S85" s="13"/>
      <c r="T85" s="33">
        <f>SUM(T82:T84)</f>
        <v>-32510.831731899998</v>
      </c>
      <c r="U85" s="13"/>
      <c r="V85" s="32">
        <f>IF(T$12=0,0,T85/T$12)</f>
        <v>-0.93761411235796266</v>
      </c>
      <c r="W85" s="16"/>
      <c r="X85" s="33">
        <f>+P85-T85</f>
        <v>-907.16826809998747</v>
      </c>
      <c r="Y85" s="16"/>
      <c r="Z85" s="32">
        <f>IF(T85=0,0,X85/T85)</f>
        <v>2.7903569972645877E-2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63">
        <v>44209.518582523146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60" t="s">
        <v>314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8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","322", " - ", "Beach Hut")</f>
        <v>Department 322 - Beach Hut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>
        <f>SUM(OSRRefD16x_0)</f>
        <v>0</v>
      </c>
      <c r="E15" s="4"/>
      <c r="F15" s="12">
        <f t="shared" ref="F15:F17" si="4">IF(D$12=0,0,D15/D$12)</f>
        <v>0</v>
      </c>
      <c r="G15" s="4"/>
      <c r="H15" s="4">
        <f>SUM(OSRRefH16x_0)</f>
        <v>0</v>
      </c>
      <c r="I15" s="4"/>
      <c r="J15" s="12">
        <f t="shared" ref="J15:J17" si="5">IF(H$12=0,0,H15/H$12)</f>
        <v>0</v>
      </c>
      <c r="K15" s="4"/>
      <c r="L15" s="4">
        <f t="shared" ref="L15:L17" si="6">+D15-H15</f>
        <v>0</v>
      </c>
      <c r="M15" s="4"/>
      <c r="N15" s="12">
        <f t="shared" ref="N15:N17" si="7">IF(H15=0,0,L15/H15)</f>
        <v>0</v>
      </c>
      <c r="O15" s="10"/>
      <c r="P15" s="4">
        <f>SUM(OSRRefP16x_0)</f>
        <v>-1222.33</v>
      </c>
      <c r="Q15" s="4"/>
      <c r="R15" s="12">
        <f t="shared" ref="R15:R17" si="8">IF(P$12=0,0,P15/P$12)</f>
        <v>0</v>
      </c>
      <c r="S15" s="4"/>
      <c r="T15" s="4">
        <f>SUM(OSRRefT16x_0)</f>
        <v>0</v>
      </c>
      <c r="U15" s="4"/>
      <c r="V15" s="12">
        <f t="shared" ref="V15:V17" si="9">IF(T$12=0,0,T15/T$12)</f>
        <v>0</v>
      </c>
      <c r="W15" s="4"/>
      <c r="X15" s="4">
        <f t="shared" ref="X15:X17" si="10">+P15-T15</f>
        <v>-1222.33</v>
      </c>
      <c r="Y15" s="4"/>
      <c r="Z15" s="12">
        <f t="shared" ref="Z15:Z17" si="11">IF(T15=0,0,X15/T15)</f>
        <v>0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0</v>
      </c>
      <c r="I16" s="2"/>
      <c r="J16" s="22">
        <f t="shared" si="5"/>
        <v>0</v>
      </c>
      <c r="K16" s="2"/>
      <c r="L16" s="2">
        <f t="shared" si="6"/>
        <v>0</v>
      </c>
      <c r="M16" s="2"/>
      <c r="N16" s="22">
        <f t="shared" si="7"/>
        <v>0</v>
      </c>
      <c r="O16" s="11"/>
      <c r="P16" s="2"/>
      <c r="Q16" s="2"/>
      <c r="R16" s="22">
        <f t="shared" si="8"/>
        <v>0</v>
      </c>
      <c r="S16" s="2"/>
      <c r="T16" s="2">
        <v>0</v>
      </c>
      <c r="U16" s="2"/>
      <c r="V16" s="22">
        <f t="shared" si="9"/>
        <v>0</v>
      </c>
      <c r="W16" s="2"/>
      <c r="X16" s="2">
        <f t="shared" si="10"/>
        <v>0</v>
      </c>
      <c r="Y16" s="2"/>
      <c r="Z16" s="22">
        <f t="shared" si="11"/>
        <v>0</v>
      </c>
    </row>
    <row r="17" spans="1:26" s="24" customFormat="1" hidden="1" outlineLevel="1" x14ac:dyDescent="0.25">
      <c r="A17" s="51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22">
        <f t="shared" si="4"/>
        <v>0</v>
      </c>
      <c r="G17" s="2"/>
      <c r="H17" s="2"/>
      <c r="I17" s="2"/>
      <c r="J17" s="22">
        <f t="shared" si="5"/>
        <v>0</v>
      </c>
      <c r="K17" s="2"/>
      <c r="L17" s="2">
        <f t="shared" si="6"/>
        <v>0</v>
      </c>
      <c r="M17" s="2"/>
      <c r="N17" s="22">
        <f t="shared" si="7"/>
        <v>0</v>
      </c>
      <c r="O17" s="11"/>
      <c r="P17" s="2">
        <v>-1222.33</v>
      </c>
      <c r="Q17" s="2"/>
      <c r="R17" s="22">
        <f t="shared" si="8"/>
        <v>0</v>
      </c>
      <c r="S17" s="2"/>
      <c r="T17" s="2"/>
      <c r="U17" s="2"/>
      <c r="V17" s="22">
        <f t="shared" si="9"/>
        <v>0</v>
      </c>
      <c r="W17" s="2"/>
      <c r="X17" s="2">
        <f t="shared" si="10"/>
        <v>-1222.33</v>
      </c>
      <c r="Y17" s="2"/>
      <c r="Z17" s="22">
        <f t="shared" si="11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21">
        <f>D12-D15</f>
        <v>0</v>
      </c>
      <c r="E19" s="13"/>
      <c r="F19" s="19">
        <f>IF(D$12=0,0,D19/D$12)</f>
        <v>0</v>
      </c>
      <c r="G19" s="13"/>
      <c r="H19" s="21">
        <f>H12-H15</f>
        <v>0</v>
      </c>
      <c r="I19" s="13"/>
      <c r="J19" s="19">
        <f>IF(H$12=0,0,H19/H$12)</f>
        <v>0</v>
      </c>
      <c r="K19" s="16"/>
      <c r="L19" s="21">
        <f>+D19-H19</f>
        <v>0</v>
      </c>
      <c r="M19" s="16"/>
      <c r="N19" s="19">
        <f>IF(H19=0,0,L19/H19)</f>
        <v>0</v>
      </c>
      <c r="O19" s="26"/>
      <c r="P19" s="21">
        <f>P12-P15</f>
        <v>1222.33</v>
      </c>
      <c r="Q19" s="13"/>
      <c r="R19" s="19">
        <f>IF(P$12=0,0,P19/P$12)</f>
        <v>0</v>
      </c>
      <c r="S19" s="13"/>
      <c r="T19" s="21">
        <f>T12-T15</f>
        <v>0</v>
      </c>
      <c r="U19" s="13"/>
      <c r="V19" s="19">
        <f>IF(T$12=0,0,T19/T$12)</f>
        <v>0</v>
      </c>
      <c r="W19" s="16"/>
      <c r="X19" s="21">
        <f>+P19-T19</f>
        <v>1222.33</v>
      </c>
      <c r="Y19" s="16"/>
      <c r="Z19" s="19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20">
        <f>SUM(OSRRefD22x_0)</f>
        <v>2297.69</v>
      </c>
      <c r="E21" s="20"/>
      <c r="F21" s="30">
        <f t="shared" ref="F21:F30" si="12">IF(D$12=0,0,D21/D$12)</f>
        <v>0</v>
      </c>
      <c r="G21" s="20"/>
      <c r="H21" s="20">
        <f>SUM(OSRRefH22x_0)</f>
        <v>2017</v>
      </c>
      <c r="I21" s="20"/>
      <c r="J21" s="30">
        <f t="shared" ref="J21:J30" si="13">IF(H$12=0,0,H21/H$12)</f>
        <v>0</v>
      </c>
      <c r="K21" s="4"/>
      <c r="L21" s="20">
        <f t="shared" ref="L21:L30" si="14">+D21-H21</f>
        <v>280.69000000000005</v>
      </c>
      <c r="M21" s="4"/>
      <c r="N21" s="30">
        <f t="shared" ref="N21:N30" si="15">IF(H21=0,0,L21/H21)</f>
        <v>0.13916212196331187</v>
      </c>
      <c r="O21" s="10"/>
      <c r="P21" s="20">
        <f>SUM(OSRRefP22x_0)</f>
        <v>15790.289999999999</v>
      </c>
      <c r="Q21" s="20"/>
      <c r="R21" s="30">
        <f t="shared" ref="R21:R30" si="16">IF(P$12=0,0,P21/P$12)</f>
        <v>0</v>
      </c>
      <c r="S21" s="20"/>
      <c r="T21" s="20">
        <f>SUM(OSRRefT22x_0)</f>
        <v>12102</v>
      </c>
      <c r="U21" s="20"/>
      <c r="V21" s="30">
        <f t="shared" ref="V21:V30" si="17">IF(T$12=0,0,T21/T$12)</f>
        <v>0</v>
      </c>
      <c r="W21" s="4"/>
      <c r="X21" s="20">
        <f t="shared" ref="X21:X30" si="18">+P21-T21</f>
        <v>3688.2899999999991</v>
      </c>
      <c r="Y21" s="4"/>
      <c r="Z21" s="30">
        <f t="shared" ref="Z21:Z30" si="19">IF(T21=0,0,X21/T21)</f>
        <v>0.30476698066435293</v>
      </c>
    </row>
    <row r="22" spans="1:26" s="28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0</v>
      </c>
      <c r="I22" s="1"/>
      <c r="J22" s="5">
        <f t="shared" si="13"/>
        <v>0</v>
      </c>
      <c r="K22" s="1"/>
      <c r="L22" s="1">
        <f t="shared" si="14"/>
        <v>0</v>
      </c>
      <c r="M22" s="1"/>
      <c r="N22" s="5">
        <f t="shared" si="15"/>
        <v>0</v>
      </c>
      <c r="O22" s="14"/>
      <c r="P22" s="1">
        <f>SUM(OSRRefP22_0x_0)</f>
        <v>1595.9699999999998</v>
      </c>
      <c r="Q22" s="1"/>
      <c r="R22" s="5">
        <f t="shared" si="16"/>
        <v>0</v>
      </c>
      <c r="S22" s="1"/>
      <c r="T22" s="1">
        <f>SUM(OSRRefT22_0x_0)</f>
        <v>0</v>
      </c>
      <c r="U22" s="1"/>
      <c r="V22" s="5">
        <f t="shared" si="17"/>
        <v>0</v>
      </c>
      <c r="W22" s="1"/>
      <c r="X22" s="1">
        <f t="shared" si="18"/>
        <v>1595.9699999999998</v>
      </c>
      <c r="Y22" s="1"/>
      <c r="Z22" s="5">
        <f t="shared" si="19"/>
        <v>0</v>
      </c>
    </row>
    <row r="23" spans="1:26" s="24" customFormat="1" hidden="1" outlineLevel="2" x14ac:dyDescent="0.25">
      <c r="A23" s="29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>
        <v>159.12</v>
      </c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159.12</v>
      </c>
      <c r="Y23" s="2"/>
      <c r="Z23" s="6">
        <f t="shared" si="19"/>
        <v>0</v>
      </c>
    </row>
    <row r="24" spans="1:26" s="24" customFormat="1" hidden="1" outlineLevel="2" x14ac:dyDescent="0.25">
      <c r="A24" s="29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25">
      <c r="A25" s="29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>
        <v>683.68</v>
      </c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683.68</v>
      </c>
      <c r="Y25" s="2"/>
      <c r="Z25" s="6">
        <f t="shared" si="19"/>
        <v>0</v>
      </c>
    </row>
    <row r="26" spans="1:26" s="24" customFormat="1" hidden="1" outlineLevel="2" x14ac:dyDescent="0.2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2"/>
        <v>0</v>
      </c>
      <c r="G26" s="2"/>
      <c r="H26" s="7">
        <v>0</v>
      </c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0</v>
      </c>
      <c r="U26" s="2"/>
      <c r="V26" s="6">
        <f t="shared" si="17"/>
        <v>0</v>
      </c>
      <c r="W26" s="2"/>
      <c r="X26" s="7">
        <f t="shared" si="18"/>
        <v>0</v>
      </c>
      <c r="Y26" s="2"/>
      <c r="Z26" s="6">
        <f t="shared" si="19"/>
        <v>0</v>
      </c>
    </row>
    <row r="27" spans="1:26" s="24" customFormat="1" hidden="1" outlineLevel="2" x14ac:dyDescent="0.25">
      <c r="A27" s="29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>
        <v>321.57</v>
      </c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321.57</v>
      </c>
      <c r="Y27" s="2"/>
      <c r="Z27" s="6">
        <f t="shared" si="19"/>
        <v>0</v>
      </c>
    </row>
    <row r="28" spans="1:26" s="24" customFormat="1" hidden="1" outlineLevel="2" x14ac:dyDescent="0.25">
      <c r="A28" s="29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>
        <v>239.72</v>
      </c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239.72</v>
      </c>
      <c r="Y29" s="2"/>
      <c r="Z29" s="6">
        <f t="shared" si="19"/>
        <v>0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2"/>
        <v>0</v>
      </c>
      <c r="G30" s="2"/>
      <c r="H30" s="7">
        <v>0</v>
      </c>
      <c r="I30" s="2"/>
      <c r="J30" s="6">
        <f t="shared" si="13"/>
        <v>0</v>
      </c>
      <c r="K30" s="2"/>
      <c r="L30" s="7">
        <f t="shared" si="14"/>
        <v>0</v>
      </c>
      <c r="M30" s="2"/>
      <c r="N30" s="6">
        <f t="shared" si="15"/>
        <v>0</v>
      </c>
      <c r="O30" s="11"/>
      <c r="P30" s="7">
        <v>191.88</v>
      </c>
      <c r="Q30" s="2"/>
      <c r="R30" s="6">
        <f t="shared" si="16"/>
        <v>0</v>
      </c>
      <c r="S30" s="2"/>
      <c r="T30" s="7">
        <v>0</v>
      </c>
      <c r="U30" s="2"/>
      <c r="V30" s="6">
        <f t="shared" si="17"/>
        <v>0</v>
      </c>
      <c r="W30" s="2"/>
      <c r="X30" s="7">
        <f t="shared" si="18"/>
        <v>191.88</v>
      </c>
      <c r="Y30" s="2"/>
      <c r="Z30" s="6">
        <f t="shared" si="19"/>
        <v>0</v>
      </c>
    </row>
    <row r="31" spans="1:26" s="28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0">IF(D$12=0,0,D31/D$12)</f>
        <v>0</v>
      </c>
      <c r="G31" s="1"/>
      <c r="H31" s="1">
        <f>SUM(OSRRefH22_1x_0)</f>
        <v>0</v>
      </c>
      <c r="I31" s="1"/>
      <c r="J31" s="5">
        <f t="shared" ref="J31:J41" si="21">IF(H$12=0,0,H31/H$12)</f>
        <v>0</v>
      </c>
      <c r="K31" s="1"/>
      <c r="L31" s="1">
        <f t="shared" ref="L31:L41" si="22">+D31-H31</f>
        <v>0</v>
      </c>
      <c r="M31" s="1"/>
      <c r="N31" s="5">
        <f t="shared" ref="N31:N41" si="23">IF(H31=0,0,L31/H31)</f>
        <v>0</v>
      </c>
      <c r="O31" s="14"/>
      <c r="P31" s="1">
        <f>SUM(OSRRefP22_1x_0)</f>
        <v>2080</v>
      </c>
      <c r="Q31" s="1"/>
      <c r="R31" s="5">
        <f t="shared" ref="R31:R41" si="24">IF(P$12=0,0,P31/P$12)</f>
        <v>0</v>
      </c>
      <c r="S31" s="1"/>
      <c r="T31" s="1">
        <f>SUM(OSRRefT22_1x_0)</f>
        <v>0</v>
      </c>
      <c r="U31" s="1"/>
      <c r="V31" s="5">
        <f t="shared" ref="V31:V41" si="25">IF(T$12=0,0,T31/T$12)</f>
        <v>0</v>
      </c>
      <c r="W31" s="1"/>
      <c r="X31" s="1">
        <f t="shared" ref="X31:X41" si="26">+P31-T31</f>
        <v>2080</v>
      </c>
      <c r="Y31" s="1"/>
      <c r="Z31" s="5">
        <f t="shared" ref="Z31:Z41" si="27">IF(T31=0,0,X31/T31)</f>
        <v>0</v>
      </c>
    </row>
    <row r="32" spans="1:26" s="24" customFormat="1" hidden="1" outlineLevel="2" x14ac:dyDescent="0.25">
      <c r="A32" s="29"/>
      <c r="B32" s="11" t="str">
        <f>CONCATENATE("          ", "6001", " - ", "ADMINISTRATIVE SALARIES")</f>
        <v xml:space="preserve">          6001 - ADMINISTRATIVE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>
        <v>2080</v>
      </c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2080</v>
      </c>
      <c r="Y33" s="2"/>
      <c r="Z33" s="6">
        <f t="shared" si="27"/>
        <v>0</v>
      </c>
    </row>
    <row r="34" spans="1:26" s="24" customFormat="1" hidden="1" outlineLevel="2" x14ac:dyDescent="0.25">
      <c r="A34" s="29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25">
      <c r="A35" s="29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9"/>
      <c r="B36" s="11" t="str">
        <f>CONCATENATE("          ", "6005", " - ", "TEMPORARY WAGES-HOURLY")</f>
        <v xml:space="preserve">          6005 - TEMPORARY WAGES-HOURLY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9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9"/>
      <c r="B38" s="11" t="str">
        <f>CONCATENATE("          ", "6007", " - ", "STUDENT HOURLY")</f>
        <v xml:space="preserve">          6007 - STUDENT HOURLY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20"/>
        <v>0</v>
      </c>
      <c r="G41" s="2"/>
      <c r="H41" s="7">
        <v>0</v>
      </c>
      <c r="I41" s="2"/>
      <c r="J41" s="6">
        <f t="shared" si="21"/>
        <v>0</v>
      </c>
      <c r="K41" s="2"/>
      <c r="L41" s="7">
        <f t="shared" si="22"/>
        <v>0</v>
      </c>
      <c r="M41" s="2"/>
      <c r="N41" s="6">
        <f t="shared" si="23"/>
        <v>0</v>
      </c>
      <c r="O41" s="11"/>
      <c r="P41" s="7"/>
      <c r="Q41" s="2"/>
      <c r="R41" s="6">
        <f t="shared" si="24"/>
        <v>0</v>
      </c>
      <c r="S41" s="2"/>
      <c r="T41" s="7">
        <v>0</v>
      </c>
      <c r="U41" s="2"/>
      <c r="V41" s="6">
        <f t="shared" si="25"/>
        <v>0</v>
      </c>
      <c r="W41" s="2"/>
      <c r="X41" s="7">
        <f t="shared" si="26"/>
        <v>0</v>
      </c>
      <c r="Y41" s="2"/>
      <c r="Z41" s="6">
        <f t="shared" si="27"/>
        <v>0</v>
      </c>
    </row>
    <row r="42" spans="1:26" s="28" customFormat="1" outlineLevel="1" collapsed="1" x14ac:dyDescent="0.25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4" si="28">IF(D$12=0,0,D42/D$12)</f>
        <v>0</v>
      </c>
      <c r="G42" s="1"/>
      <c r="H42" s="1">
        <f>SUM(OSRRefH22_2x_0)</f>
        <v>0</v>
      </c>
      <c r="I42" s="1"/>
      <c r="J42" s="5">
        <f t="shared" ref="J42:J54" si="29">IF(H$12=0,0,H42/H$12)</f>
        <v>0</v>
      </c>
      <c r="K42" s="1"/>
      <c r="L42" s="1">
        <f t="shared" ref="L42:L54" si="30">+D42-H42</f>
        <v>0</v>
      </c>
      <c r="M42" s="1"/>
      <c r="N42" s="5">
        <f t="shared" ref="N42:N54" si="31">IF(H42=0,0,L42/H42)</f>
        <v>0</v>
      </c>
      <c r="O42" s="14"/>
      <c r="P42" s="1">
        <f>SUM(OSRRefP22_2x_0)</f>
        <v>0</v>
      </c>
      <c r="Q42" s="1"/>
      <c r="R42" s="5">
        <f t="shared" ref="R42:R54" si="32">IF(P$12=0,0,P42/P$12)</f>
        <v>0</v>
      </c>
      <c r="S42" s="1"/>
      <c r="T42" s="1">
        <f>SUM(OSRRefT22_2x_0)</f>
        <v>0</v>
      </c>
      <c r="U42" s="1"/>
      <c r="V42" s="5">
        <f t="shared" ref="V42:V54" si="33">IF(T$12=0,0,T42/T$12)</f>
        <v>0</v>
      </c>
      <c r="W42" s="1"/>
      <c r="X42" s="1">
        <f t="shared" ref="X42:X54" si="34">+P42-T42</f>
        <v>0</v>
      </c>
      <c r="Y42" s="1"/>
      <c r="Z42" s="5">
        <f t="shared" ref="Z42:Z54" si="35">IF(T42=0,0,X42/T42)</f>
        <v>0</v>
      </c>
    </row>
    <row r="43" spans="1:26" s="24" customFormat="1" hidden="1" outlineLevel="2" x14ac:dyDescent="0.25">
      <c r="A43" s="29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8"/>
        <v>0</v>
      </c>
      <c r="G43" s="2"/>
      <c r="H43" s="7">
        <v>0</v>
      </c>
      <c r="I43" s="2"/>
      <c r="J43" s="6">
        <f t="shared" si="29"/>
        <v>0</v>
      </c>
      <c r="K43" s="2"/>
      <c r="L43" s="7">
        <f t="shared" si="30"/>
        <v>0</v>
      </c>
      <c r="M43" s="2"/>
      <c r="N43" s="6">
        <f t="shared" si="31"/>
        <v>0</v>
      </c>
      <c r="O43" s="11"/>
      <c r="P43" s="7"/>
      <c r="Q43" s="2"/>
      <c r="R43" s="6">
        <f t="shared" si="32"/>
        <v>0</v>
      </c>
      <c r="S43" s="2"/>
      <c r="T43" s="7">
        <v>0</v>
      </c>
      <c r="U43" s="2"/>
      <c r="V43" s="6">
        <f t="shared" si="33"/>
        <v>0</v>
      </c>
      <c r="W43" s="2"/>
      <c r="X43" s="7">
        <f t="shared" si="34"/>
        <v>0</v>
      </c>
      <c r="Y43" s="2"/>
      <c r="Z43" s="6">
        <f t="shared" si="35"/>
        <v>0</v>
      </c>
    </row>
    <row r="44" spans="1:26" s="28" customFormat="1" outlineLevel="1" collapsed="1" x14ac:dyDescent="0.2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0</v>
      </c>
      <c r="E44" s="1"/>
      <c r="F44" s="5">
        <f t="shared" si="28"/>
        <v>0</v>
      </c>
      <c r="G44" s="1"/>
      <c r="H44" s="1">
        <f>SUM(OSRRefH22_3x_0)</f>
        <v>0</v>
      </c>
      <c r="I44" s="1"/>
      <c r="J44" s="5">
        <f t="shared" si="29"/>
        <v>0</v>
      </c>
      <c r="K44" s="1"/>
      <c r="L44" s="1">
        <f t="shared" si="30"/>
        <v>0</v>
      </c>
      <c r="M44" s="1"/>
      <c r="N44" s="5">
        <f t="shared" si="31"/>
        <v>0</v>
      </c>
      <c r="O44" s="14"/>
      <c r="P44" s="1">
        <f>SUM(OSRRefP22_3x_0)</f>
        <v>0</v>
      </c>
      <c r="Q44" s="1"/>
      <c r="R44" s="5">
        <f t="shared" si="32"/>
        <v>0</v>
      </c>
      <c r="S44" s="1"/>
      <c r="T44" s="1">
        <f>SUM(OSRRefT22_3x_0)</f>
        <v>0</v>
      </c>
      <c r="U44" s="1"/>
      <c r="V44" s="5">
        <f t="shared" si="33"/>
        <v>0</v>
      </c>
      <c r="W44" s="1"/>
      <c r="X44" s="1">
        <f t="shared" si="34"/>
        <v>0</v>
      </c>
      <c r="Y44" s="1"/>
      <c r="Z44" s="5">
        <f t="shared" si="35"/>
        <v>0</v>
      </c>
    </row>
    <row r="45" spans="1:26" s="24" customFormat="1" hidden="1" outlineLevel="2" x14ac:dyDescent="0.25">
      <c r="A45" s="29"/>
      <c r="B45" s="11" t="str">
        <f>CONCATENATE("          ", "6381", " - ", "BANK/CREDIT CARD FEES")</f>
        <v xml:space="preserve">          6381 - BANK/CREDIT CARD FEES</v>
      </c>
      <c r="C45" s="11"/>
      <c r="D45" s="7"/>
      <c r="E45" s="2"/>
      <c r="F45" s="6">
        <f t="shared" si="28"/>
        <v>0</v>
      </c>
      <c r="G45" s="2"/>
      <c r="H45" s="7">
        <v>0</v>
      </c>
      <c r="I45" s="2"/>
      <c r="J45" s="6">
        <f t="shared" si="29"/>
        <v>0</v>
      </c>
      <c r="K45" s="2"/>
      <c r="L45" s="7">
        <f t="shared" si="30"/>
        <v>0</v>
      </c>
      <c r="M45" s="2"/>
      <c r="N45" s="6">
        <f t="shared" si="31"/>
        <v>0</v>
      </c>
      <c r="O45" s="11"/>
      <c r="P45" s="7"/>
      <c r="Q45" s="2"/>
      <c r="R45" s="6">
        <f t="shared" si="32"/>
        <v>0</v>
      </c>
      <c r="S45" s="2"/>
      <c r="T45" s="7">
        <v>0</v>
      </c>
      <c r="U45" s="2"/>
      <c r="V45" s="6">
        <f t="shared" si="33"/>
        <v>0</v>
      </c>
      <c r="W45" s="2"/>
      <c r="X45" s="7">
        <f t="shared" si="34"/>
        <v>0</v>
      </c>
      <c r="Y45" s="2"/>
      <c r="Z45" s="6">
        <f t="shared" si="35"/>
        <v>0</v>
      </c>
    </row>
    <row r="46" spans="1:26" s="28" customFormat="1" outlineLevel="1" collapsed="1" x14ac:dyDescent="0.25">
      <c r="A46" s="27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SUM(OSRRefD22_4x_0)</f>
        <v>2017.34</v>
      </c>
      <c r="E46" s="1"/>
      <c r="F46" s="5">
        <f t="shared" si="28"/>
        <v>0</v>
      </c>
      <c r="G46" s="1"/>
      <c r="H46" s="1">
        <f>SUM(OSRRefH22_4x_0)</f>
        <v>2017</v>
      </c>
      <c r="I46" s="1"/>
      <c r="J46" s="5">
        <f t="shared" si="29"/>
        <v>0</v>
      </c>
      <c r="K46" s="1"/>
      <c r="L46" s="1">
        <f t="shared" si="30"/>
        <v>0.33999999999991815</v>
      </c>
      <c r="M46" s="1"/>
      <c r="N46" s="5">
        <f t="shared" si="31"/>
        <v>1.6856717897864064E-4</v>
      </c>
      <c r="O46" s="14"/>
      <c r="P46" s="1">
        <f>SUM(OSRRefP22_4x_0)</f>
        <v>12104.04</v>
      </c>
      <c r="Q46" s="1"/>
      <c r="R46" s="5">
        <f t="shared" si="32"/>
        <v>0</v>
      </c>
      <c r="S46" s="1"/>
      <c r="T46" s="1">
        <f>SUM(OSRRefT22_4x_0)</f>
        <v>12102</v>
      </c>
      <c r="U46" s="1"/>
      <c r="V46" s="5">
        <f t="shared" si="33"/>
        <v>0</v>
      </c>
      <c r="W46" s="1"/>
      <c r="X46" s="1">
        <f t="shared" si="34"/>
        <v>2.0400000000008731</v>
      </c>
      <c r="Y46" s="1"/>
      <c r="Z46" s="5">
        <f t="shared" si="35"/>
        <v>1.6856717897875337E-4</v>
      </c>
    </row>
    <row r="47" spans="1:26" s="24" customFormat="1" hidden="1" outlineLevel="2" x14ac:dyDescent="0.25">
      <c r="A47" s="29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2017.34</v>
      </c>
      <c r="E47" s="2"/>
      <c r="F47" s="6">
        <f t="shared" si="28"/>
        <v>0</v>
      </c>
      <c r="G47" s="2"/>
      <c r="H47" s="7">
        <v>2017</v>
      </c>
      <c r="I47" s="2"/>
      <c r="J47" s="6">
        <f t="shared" si="29"/>
        <v>0</v>
      </c>
      <c r="K47" s="2"/>
      <c r="L47" s="7">
        <f t="shared" si="30"/>
        <v>0.33999999999991815</v>
      </c>
      <c r="M47" s="2"/>
      <c r="N47" s="6">
        <f t="shared" si="31"/>
        <v>1.6856717897864064E-4</v>
      </c>
      <c r="O47" s="11"/>
      <c r="P47" s="7">
        <v>12104.04</v>
      </c>
      <c r="Q47" s="2"/>
      <c r="R47" s="6">
        <f t="shared" si="32"/>
        <v>0</v>
      </c>
      <c r="S47" s="2"/>
      <c r="T47" s="7">
        <v>12102</v>
      </c>
      <c r="U47" s="2"/>
      <c r="V47" s="6">
        <f t="shared" si="33"/>
        <v>0</v>
      </c>
      <c r="W47" s="2"/>
      <c r="X47" s="7">
        <f t="shared" si="34"/>
        <v>2.0400000000008731</v>
      </c>
      <c r="Y47" s="2"/>
      <c r="Z47" s="6">
        <f t="shared" si="35"/>
        <v>1.6856717897875337E-4</v>
      </c>
    </row>
    <row r="48" spans="1:26" s="28" customFormat="1" outlineLevel="1" collapsed="1" x14ac:dyDescent="0.25">
      <c r="A48" s="27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SUM(OSRRefD22_5x_0)</f>
        <v>0</v>
      </c>
      <c r="E48" s="1"/>
      <c r="F48" s="5">
        <f t="shared" si="28"/>
        <v>0</v>
      </c>
      <c r="G48" s="1"/>
      <c r="H48" s="1">
        <f>SUM(OSRRefH22_5x_0)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4"/>
      <c r="P48" s="1">
        <f>SUM(OSRRefP22_5x_0)</f>
        <v>0</v>
      </c>
      <c r="Q48" s="1"/>
      <c r="R48" s="5">
        <f t="shared" si="32"/>
        <v>0</v>
      </c>
      <c r="S48" s="1"/>
      <c r="T48" s="1">
        <f>SUM(OSRRefT22_5x_0)</f>
        <v>0</v>
      </c>
      <c r="U48" s="1"/>
      <c r="V48" s="5">
        <f t="shared" si="33"/>
        <v>0</v>
      </c>
      <c r="W48" s="1"/>
      <c r="X48" s="1">
        <f t="shared" si="34"/>
        <v>0</v>
      </c>
      <c r="Y48" s="1"/>
      <c r="Z48" s="5">
        <f t="shared" si="35"/>
        <v>0</v>
      </c>
    </row>
    <row r="49" spans="1:26" s="24" customFormat="1" hidden="1" outlineLevel="2" x14ac:dyDescent="0.25">
      <c r="A49" s="29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28"/>
        <v>0</v>
      </c>
      <c r="G49" s="2"/>
      <c r="H49" s="7"/>
      <c r="I49" s="2"/>
      <c r="J49" s="6">
        <f t="shared" si="29"/>
        <v>0</v>
      </c>
      <c r="K49" s="2"/>
      <c r="L49" s="7">
        <f t="shared" si="30"/>
        <v>0</v>
      </c>
      <c r="M49" s="2"/>
      <c r="N49" s="6">
        <f t="shared" si="31"/>
        <v>0</v>
      </c>
      <c r="O49" s="11"/>
      <c r="P49" s="7"/>
      <c r="Q49" s="2"/>
      <c r="R49" s="6">
        <f t="shared" si="32"/>
        <v>0</v>
      </c>
      <c r="S49" s="2"/>
      <c r="T49" s="7">
        <v>0</v>
      </c>
      <c r="U49" s="2"/>
      <c r="V49" s="6">
        <f t="shared" si="33"/>
        <v>0</v>
      </c>
      <c r="W49" s="2"/>
      <c r="X49" s="7">
        <f t="shared" si="34"/>
        <v>0</v>
      </c>
      <c r="Y49" s="2"/>
      <c r="Z49" s="6">
        <f t="shared" si="35"/>
        <v>0</v>
      </c>
    </row>
    <row r="50" spans="1:26" s="28" customFormat="1" outlineLevel="1" collapsed="1" x14ac:dyDescent="0.25">
      <c r="A50" s="27"/>
      <c r="B50" s="14" t="str">
        <f>CONCATENATE("     ","Rent                                              ")</f>
        <v xml:space="preserve">     Rent                                              </v>
      </c>
      <c r="C50" s="14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0</v>
      </c>
      <c r="I50" s="1"/>
      <c r="J50" s="5">
        <f t="shared" si="29"/>
        <v>0</v>
      </c>
      <c r="K50" s="1"/>
      <c r="L50" s="1">
        <f t="shared" si="30"/>
        <v>0</v>
      </c>
      <c r="M50" s="1"/>
      <c r="N50" s="5">
        <f t="shared" si="31"/>
        <v>0</v>
      </c>
      <c r="O50" s="14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0</v>
      </c>
      <c r="U50" s="1"/>
      <c r="V50" s="5">
        <f t="shared" si="33"/>
        <v>0</v>
      </c>
      <c r="W50" s="1"/>
      <c r="X50" s="1">
        <f t="shared" si="34"/>
        <v>0</v>
      </c>
      <c r="Y50" s="1"/>
      <c r="Z50" s="5">
        <f t="shared" si="35"/>
        <v>0</v>
      </c>
    </row>
    <row r="51" spans="1:26" s="24" customFormat="1" hidden="1" outlineLevel="2" x14ac:dyDescent="0.25">
      <c r="A51" s="29"/>
      <c r="B51" s="11" t="str">
        <f>CONCATENATE("          ", "6273", " - ", "RENT")</f>
        <v xml:space="preserve">          6273 - RENT</v>
      </c>
      <c r="C51" s="11"/>
      <c r="D51" s="7"/>
      <c r="E51" s="2"/>
      <c r="F51" s="6">
        <f t="shared" si="28"/>
        <v>0</v>
      </c>
      <c r="G51" s="2"/>
      <c r="H51" s="7">
        <v>0</v>
      </c>
      <c r="I51" s="2"/>
      <c r="J51" s="6">
        <f t="shared" si="29"/>
        <v>0</v>
      </c>
      <c r="K51" s="2"/>
      <c r="L51" s="7">
        <f t="shared" si="30"/>
        <v>0</v>
      </c>
      <c r="M51" s="2"/>
      <c r="N51" s="6">
        <f t="shared" si="31"/>
        <v>0</v>
      </c>
      <c r="O51" s="11"/>
      <c r="P51" s="7"/>
      <c r="Q51" s="2"/>
      <c r="R51" s="6">
        <f t="shared" si="32"/>
        <v>0</v>
      </c>
      <c r="S51" s="2"/>
      <c r="T51" s="7">
        <v>0</v>
      </c>
      <c r="U51" s="2"/>
      <c r="V51" s="6">
        <f t="shared" si="33"/>
        <v>0</v>
      </c>
      <c r="W51" s="2"/>
      <c r="X51" s="7">
        <f t="shared" si="34"/>
        <v>0</v>
      </c>
      <c r="Y51" s="2"/>
      <c r="Z51" s="6">
        <f t="shared" si="35"/>
        <v>0</v>
      </c>
    </row>
    <row r="52" spans="1:26" s="28" customFormat="1" outlineLevel="1" collapsed="1" x14ac:dyDescent="0.25">
      <c r="A52" s="27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SUM(OSRRefD22_7x_0)</f>
        <v>72.349999999999994</v>
      </c>
      <c r="E52" s="1"/>
      <c r="F52" s="5">
        <f t="shared" si="28"/>
        <v>0</v>
      </c>
      <c r="G52" s="1"/>
      <c r="H52" s="1">
        <f>SUM(OSRRefH22_7x_0)</f>
        <v>0</v>
      </c>
      <c r="I52" s="1"/>
      <c r="J52" s="5">
        <f t="shared" si="29"/>
        <v>0</v>
      </c>
      <c r="K52" s="1"/>
      <c r="L52" s="1">
        <f t="shared" si="30"/>
        <v>72.349999999999994</v>
      </c>
      <c r="M52" s="1"/>
      <c r="N52" s="5">
        <f t="shared" si="31"/>
        <v>0</v>
      </c>
      <c r="O52" s="14"/>
      <c r="P52" s="1">
        <f>SUM(OSRRefP22_7x_0)</f>
        <v>223.3</v>
      </c>
      <c r="Q52" s="1"/>
      <c r="R52" s="5">
        <f t="shared" si="32"/>
        <v>0</v>
      </c>
      <c r="S52" s="1"/>
      <c r="T52" s="1">
        <f>SUM(OSRRefT22_7x_0)</f>
        <v>0</v>
      </c>
      <c r="U52" s="1"/>
      <c r="V52" s="5">
        <f t="shared" si="33"/>
        <v>0</v>
      </c>
      <c r="W52" s="1"/>
      <c r="X52" s="1">
        <f t="shared" si="34"/>
        <v>223.3</v>
      </c>
      <c r="Y52" s="1"/>
      <c r="Z52" s="5">
        <f t="shared" si="35"/>
        <v>0</v>
      </c>
    </row>
    <row r="53" spans="1:26" s="24" customFormat="1" hidden="1" outlineLevel="2" x14ac:dyDescent="0.25">
      <c r="A53" s="29"/>
      <c r="B53" s="11" t="str">
        <f>CONCATENATE("          ", "6373", " - ", "MAINTENANCE CONTRACTS")</f>
        <v xml:space="preserve">          6373 - MAINTENANCE CONTRACTS</v>
      </c>
      <c r="C53" s="11"/>
      <c r="D53" s="7">
        <v>72.349999999999994</v>
      </c>
      <c r="E53" s="2"/>
      <c r="F53" s="6">
        <f t="shared" si="28"/>
        <v>0</v>
      </c>
      <c r="G53" s="2"/>
      <c r="H53" s="7"/>
      <c r="I53" s="2"/>
      <c r="J53" s="6">
        <f t="shared" si="29"/>
        <v>0</v>
      </c>
      <c r="K53" s="2"/>
      <c r="L53" s="7">
        <f t="shared" si="30"/>
        <v>72.349999999999994</v>
      </c>
      <c r="M53" s="2"/>
      <c r="N53" s="6">
        <f t="shared" si="31"/>
        <v>0</v>
      </c>
      <c r="O53" s="11"/>
      <c r="P53" s="7">
        <v>223.3</v>
      </c>
      <c r="Q53" s="2"/>
      <c r="R53" s="6">
        <f t="shared" si="32"/>
        <v>0</v>
      </c>
      <c r="S53" s="2"/>
      <c r="T53" s="7"/>
      <c r="U53" s="2"/>
      <c r="V53" s="6">
        <f t="shared" si="33"/>
        <v>0</v>
      </c>
      <c r="W53" s="2"/>
      <c r="X53" s="7">
        <f t="shared" si="34"/>
        <v>223.3</v>
      </c>
      <c r="Y53" s="2"/>
      <c r="Z53" s="6">
        <f t="shared" si="35"/>
        <v>0</v>
      </c>
    </row>
    <row r="54" spans="1:26" s="24" customFormat="1" hidden="1" outlineLevel="2" x14ac:dyDescent="0.25">
      <c r="A54" s="29"/>
      <c r="B54" s="11" t="str">
        <f>CONCATENATE("          ", "6375", " - ", "OUTSIDE REPAIRS &amp; MAINTENANCE")</f>
        <v xml:space="preserve">          6375 - OUTSIDE REPAIRS &amp; MAINTENANCE</v>
      </c>
      <c r="C54" s="11"/>
      <c r="D54" s="7"/>
      <c r="E54" s="2"/>
      <c r="F54" s="6">
        <f t="shared" si="28"/>
        <v>0</v>
      </c>
      <c r="G54" s="2"/>
      <c r="H54" s="7">
        <v>0</v>
      </c>
      <c r="I54" s="2"/>
      <c r="J54" s="6">
        <f t="shared" si="29"/>
        <v>0</v>
      </c>
      <c r="K54" s="2"/>
      <c r="L54" s="7">
        <f t="shared" si="30"/>
        <v>0</v>
      </c>
      <c r="M54" s="2"/>
      <c r="N54" s="6">
        <f t="shared" si="31"/>
        <v>0</v>
      </c>
      <c r="O54" s="11"/>
      <c r="P54" s="7"/>
      <c r="Q54" s="2"/>
      <c r="R54" s="6">
        <f t="shared" si="32"/>
        <v>0</v>
      </c>
      <c r="S54" s="2"/>
      <c r="T54" s="7">
        <v>0</v>
      </c>
      <c r="U54" s="2"/>
      <c r="V54" s="6">
        <f t="shared" si="33"/>
        <v>0</v>
      </c>
      <c r="W54" s="2"/>
      <c r="X54" s="7">
        <f t="shared" si="34"/>
        <v>0</v>
      </c>
      <c r="Y54" s="2"/>
      <c r="Z54" s="6">
        <f t="shared" si="35"/>
        <v>0</v>
      </c>
    </row>
    <row r="55" spans="1:26" s="28" customFormat="1" outlineLevel="1" collapsed="1" x14ac:dyDescent="0.25">
      <c r="A55" s="27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SUM(OSRRefD22_8x_0)</f>
        <v>0</v>
      </c>
      <c r="E55" s="1"/>
      <c r="F55" s="5">
        <f t="shared" ref="F55:F57" si="36">IF(D$12=0,0,D55/D$12)</f>
        <v>0</v>
      </c>
      <c r="G55" s="1"/>
      <c r="H55" s="1">
        <f>SUM(OSRRefH22_8x_0)</f>
        <v>0</v>
      </c>
      <c r="I55" s="1"/>
      <c r="J55" s="5">
        <f t="shared" ref="J55:J57" si="37">IF(H$12=0,0,H55/H$12)</f>
        <v>0</v>
      </c>
      <c r="K55" s="1"/>
      <c r="L55" s="1">
        <f t="shared" ref="L55:L57" si="38">+D55-H55</f>
        <v>0</v>
      </c>
      <c r="M55" s="1"/>
      <c r="N55" s="5">
        <f t="shared" ref="N55:N57" si="39">IF(H55=0,0,L55/H55)</f>
        <v>0</v>
      </c>
      <c r="O55" s="14"/>
      <c r="P55" s="1">
        <f>SUM(OSRRefP22_8x_0)</f>
        <v>-1053.52</v>
      </c>
      <c r="Q55" s="1"/>
      <c r="R55" s="5">
        <f t="shared" ref="R55:R57" si="40">IF(P$12=0,0,P55/P$12)</f>
        <v>0</v>
      </c>
      <c r="S55" s="1"/>
      <c r="T55" s="1">
        <f>SUM(OSRRefT22_8x_0)</f>
        <v>0</v>
      </c>
      <c r="U55" s="1"/>
      <c r="V55" s="5">
        <f t="shared" ref="V55:V57" si="41">IF(T$12=0,0,T55/T$12)</f>
        <v>0</v>
      </c>
      <c r="W55" s="1"/>
      <c r="X55" s="1">
        <f t="shared" ref="X55:X57" si="42">+P55-T55</f>
        <v>-1053.52</v>
      </c>
      <c r="Y55" s="1"/>
      <c r="Z55" s="5">
        <f t="shared" ref="Z55:Z57" si="43">IF(T55=0,0,X55/T55)</f>
        <v>0</v>
      </c>
    </row>
    <row r="56" spans="1:26" s="24" customFormat="1" hidden="1" outlineLevel="2" x14ac:dyDescent="0.25">
      <c r="A56" s="29"/>
      <c r="B56" s="11" t="str">
        <f>CONCATENATE("          ", "6282", " - ", "JANITORIAL/EXTERMINATOR EXPENS")</f>
        <v xml:space="preserve">          6282 - JANITORIAL/EXTERMINATOR EXPENS</v>
      </c>
      <c r="C56" s="11"/>
      <c r="D56" s="7"/>
      <c r="E56" s="2"/>
      <c r="F56" s="6">
        <f t="shared" si="36"/>
        <v>0</v>
      </c>
      <c r="G56" s="2"/>
      <c r="H56" s="7"/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-567.28</v>
      </c>
      <c r="Q56" s="2"/>
      <c r="R56" s="6">
        <f t="shared" si="40"/>
        <v>0</v>
      </c>
      <c r="S56" s="2"/>
      <c r="T56" s="7"/>
      <c r="U56" s="2"/>
      <c r="V56" s="6">
        <f t="shared" si="41"/>
        <v>0</v>
      </c>
      <c r="W56" s="2"/>
      <c r="X56" s="7">
        <f t="shared" si="42"/>
        <v>-567.28</v>
      </c>
      <c r="Y56" s="2"/>
      <c r="Z56" s="6">
        <f t="shared" si="43"/>
        <v>0</v>
      </c>
    </row>
    <row r="57" spans="1:26" s="24" customFormat="1" hidden="1" outlineLevel="2" x14ac:dyDescent="0.25">
      <c r="A57" s="29"/>
      <c r="B57" s="11" t="str">
        <f>CONCATENATE("          ", "6285", " - ", "JANITORIAL SERVICES")</f>
        <v xml:space="preserve">          6285 - JANITORIAL SERVICES</v>
      </c>
      <c r="C57" s="11"/>
      <c r="D57" s="7"/>
      <c r="E57" s="2"/>
      <c r="F57" s="6">
        <f t="shared" si="36"/>
        <v>0</v>
      </c>
      <c r="G57" s="2"/>
      <c r="H57" s="7">
        <v>0</v>
      </c>
      <c r="I57" s="2"/>
      <c r="J57" s="6">
        <f t="shared" si="37"/>
        <v>0</v>
      </c>
      <c r="K57" s="2"/>
      <c r="L57" s="7">
        <f t="shared" si="38"/>
        <v>0</v>
      </c>
      <c r="M57" s="2"/>
      <c r="N57" s="6">
        <f t="shared" si="39"/>
        <v>0</v>
      </c>
      <c r="O57" s="11"/>
      <c r="P57" s="7">
        <v>-486.24</v>
      </c>
      <c r="Q57" s="2"/>
      <c r="R57" s="6">
        <f t="shared" si="40"/>
        <v>0</v>
      </c>
      <c r="S57" s="2"/>
      <c r="T57" s="7">
        <v>0</v>
      </c>
      <c r="U57" s="2"/>
      <c r="V57" s="6">
        <f t="shared" si="41"/>
        <v>0</v>
      </c>
      <c r="W57" s="2"/>
      <c r="X57" s="7">
        <f t="shared" si="42"/>
        <v>-486.24</v>
      </c>
      <c r="Y57" s="2"/>
      <c r="Z57" s="6">
        <f t="shared" si="43"/>
        <v>0</v>
      </c>
    </row>
    <row r="58" spans="1:26" s="28" customFormat="1" outlineLevel="1" collapsed="1" x14ac:dyDescent="0.25">
      <c r="A58" s="27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SUM(OSRRefD22_9x_0)</f>
        <v>0</v>
      </c>
      <c r="E58" s="1"/>
      <c r="F58" s="5">
        <f t="shared" ref="F58:F62" si="44">IF(D$12=0,0,D58/D$12)</f>
        <v>0</v>
      </c>
      <c r="G58" s="1"/>
      <c r="H58" s="1">
        <f>SUM(OSRRefH22_9x_0)</f>
        <v>0</v>
      </c>
      <c r="I58" s="1"/>
      <c r="J58" s="5">
        <f t="shared" ref="J58:J62" si="45">IF(H$12=0,0,H58/H$12)</f>
        <v>0</v>
      </c>
      <c r="K58" s="1"/>
      <c r="L58" s="1">
        <f t="shared" ref="L58:L62" si="46">+D58-H58</f>
        <v>0</v>
      </c>
      <c r="M58" s="1"/>
      <c r="N58" s="5">
        <f t="shared" ref="N58:N62" si="47">IF(H58=0,0,L58/H58)</f>
        <v>0</v>
      </c>
      <c r="O58" s="14"/>
      <c r="P58" s="1">
        <f>SUM(OSRRefP22_9x_0)</f>
        <v>131.30000000000001</v>
      </c>
      <c r="Q58" s="1"/>
      <c r="R58" s="5">
        <f t="shared" ref="R58:R62" si="48">IF(P$12=0,0,P58/P$12)</f>
        <v>0</v>
      </c>
      <c r="S58" s="1"/>
      <c r="T58" s="1">
        <f>SUM(OSRRefT22_9x_0)</f>
        <v>0</v>
      </c>
      <c r="U58" s="1"/>
      <c r="V58" s="5">
        <f t="shared" ref="V58:V62" si="49">IF(T$12=0,0,T58/T$12)</f>
        <v>0</v>
      </c>
      <c r="W58" s="1"/>
      <c r="X58" s="1">
        <f t="shared" ref="X58:X62" si="50">+P58-T58</f>
        <v>131.30000000000001</v>
      </c>
      <c r="Y58" s="1"/>
      <c r="Z58" s="5">
        <f t="shared" ref="Z58:Z62" si="51">IF(T58=0,0,X58/T58)</f>
        <v>0</v>
      </c>
    </row>
    <row r="59" spans="1:26" s="24" customFormat="1" hidden="1" outlineLevel="2" x14ac:dyDescent="0.25">
      <c r="A59" s="29"/>
      <c r="B59" s="11" t="str">
        <f>CONCATENATE("          ", "6235", " - ", "COVID-19 EXPENSES")</f>
        <v xml:space="preserve">          6235 - COVID-19 EXPENSES</v>
      </c>
      <c r="C59" s="11"/>
      <c r="D59" s="7"/>
      <c r="E59" s="2"/>
      <c r="F59" s="6">
        <f t="shared" si="44"/>
        <v>0</v>
      </c>
      <c r="G59" s="2"/>
      <c r="H59" s="7">
        <v>0</v>
      </c>
      <c r="I59" s="2"/>
      <c r="J59" s="6">
        <f t="shared" si="45"/>
        <v>0</v>
      </c>
      <c r="K59" s="2"/>
      <c r="L59" s="7">
        <f t="shared" si="46"/>
        <v>0</v>
      </c>
      <c r="M59" s="2"/>
      <c r="N59" s="6">
        <f t="shared" si="47"/>
        <v>0</v>
      </c>
      <c r="O59" s="11"/>
      <c r="P59" s="7"/>
      <c r="Q59" s="2"/>
      <c r="R59" s="6">
        <f t="shared" si="48"/>
        <v>0</v>
      </c>
      <c r="S59" s="2"/>
      <c r="T59" s="7">
        <v>0</v>
      </c>
      <c r="U59" s="2"/>
      <c r="V59" s="6">
        <f t="shared" si="49"/>
        <v>0</v>
      </c>
      <c r="W59" s="2"/>
      <c r="X59" s="7">
        <f t="shared" si="50"/>
        <v>0</v>
      </c>
      <c r="Y59" s="2"/>
      <c r="Z59" s="6">
        <f t="shared" si="51"/>
        <v>0</v>
      </c>
    </row>
    <row r="60" spans="1:26" s="24" customFormat="1" hidden="1" outlineLevel="2" x14ac:dyDescent="0.25">
      <c r="A60" s="29"/>
      <c r="B60" s="11" t="str">
        <f>CONCATENATE("          ", "6241", " - ", "OFFICE EXPENSE")</f>
        <v xml:space="preserve">          6241 - OFFICE EXPENSE</v>
      </c>
      <c r="C60" s="11"/>
      <c r="D60" s="7"/>
      <c r="E60" s="2"/>
      <c r="F60" s="6">
        <f t="shared" si="44"/>
        <v>0</v>
      </c>
      <c r="G60" s="2"/>
      <c r="H60" s="7"/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>
        <v>131.30000000000001</v>
      </c>
      <c r="Q60" s="2"/>
      <c r="R60" s="6">
        <f t="shared" si="48"/>
        <v>0</v>
      </c>
      <c r="S60" s="2"/>
      <c r="T60" s="7"/>
      <c r="U60" s="2"/>
      <c r="V60" s="6">
        <f t="shared" si="49"/>
        <v>0</v>
      </c>
      <c r="W60" s="2"/>
      <c r="X60" s="7">
        <f t="shared" si="50"/>
        <v>131.30000000000001</v>
      </c>
      <c r="Y60" s="2"/>
      <c r="Z60" s="6">
        <f t="shared" si="51"/>
        <v>0</v>
      </c>
    </row>
    <row r="61" spans="1:26" s="24" customFormat="1" hidden="1" outlineLevel="2" x14ac:dyDescent="0.25">
      <c r="A61" s="29"/>
      <c r="B61" s="11" t="str">
        <f>CONCATENATE("          ", "6247", " - ", "STORE SUPPLIES")</f>
        <v xml:space="preserve">          6247 - STORE SUPPLIES</v>
      </c>
      <c r="C61" s="11"/>
      <c r="D61" s="7"/>
      <c r="E61" s="2"/>
      <c r="F61" s="6">
        <f t="shared" si="44"/>
        <v>0</v>
      </c>
      <c r="G61" s="2"/>
      <c r="H61" s="7">
        <v>0</v>
      </c>
      <c r="I61" s="2"/>
      <c r="J61" s="6">
        <f t="shared" si="45"/>
        <v>0</v>
      </c>
      <c r="K61" s="2"/>
      <c r="L61" s="7">
        <f t="shared" si="46"/>
        <v>0</v>
      </c>
      <c r="M61" s="2"/>
      <c r="N61" s="6">
        <f t="shared" si="47"/>
        <v>0</v>
      </c>
      <c r="O61" s="11"/>
      <c r="P61" s="7"/>
      <c r="Q61" s="2"/>
      <c r="R61" s="6">
        <f t="shared" si="48"/>
        <v>0</v>
      </c>
      <c r="S61" s="2"/>
      <c r="T61" s="7">
        <v>0</v>
      </c>
      <c r="U61" s="2"/>
      <c r="V61" s="6">
        <f t="shared" si="49"/>
        <v>0</v>
      </c>
      <c r="W61" s="2"/>
      <c r="X61" s="7">
        <f t="shared" si="50"/>
        <v>0</v>
      </c>
      <c r="Y61" s="2"/>
      <c r="Z61" s="6">
        <f t="shared" si="51"/>
        <v>0</v>
      </c>
    </row>
    <row r="62" spans="1:26" s="24" customFormat="1" hidden="1" outlineLevel="2" x14ac:dyDescent="0.25">
      <c r="A62" s="29"/>
      <c r="B62" s="11" t="str">
        <f>CONCATENATE("          ", "6248", " - ", "UNIFORMS")</f>
        <v xml:space="preserve">          6248 - UNIFORMS</v>
      </c>
      <c r="C62" s="11"/>
      <c r="D62" s="7"/>
      <c r="E62" s="2"/>
      <c r="F62" s="6">
        <f t="shared" si="44"/>
        <v>0</v>
      </c>
      <c r="G62" s="2"/>
      <c r="H62" s="7"/>
      <c r="I62" s="2"/>
      <c r="J62" s="6">
        <f t="shared" si="45"/>
        <v>0</v>
      </c>
      <c r="K62" s="2"/>
      <c r="L62" s="7">
        <f t="shared" si="46"/>
        <v>0</v>
      </c>
      <c r="M62" s="2"/>
      <c r="N62" s="6">
        <f t="shared" si="47"/>
        <v>0</v>
      </c>
      <c r="O62" s="11"/>
      <c r="P62" s="7"/>
      <c r="Q62" s="2"/>
      <c r="R62" s="6">
        <f t="shared" si="48"/>
        <v>0</v>
      </c>
      <c r="S62" s="2"/>
      <c r="T62" s="7">
        <v>0</v>
      </c>
      <c r="U62" s="2"/>
      <c r="V62" s="6">
        <f t="shared" si="49"/>
        <v>0</v>
      </c>
      <c r="W62" s="2"/>
      <c r="X62" s="7">
        <f t="shared" si="50"/>
        <v>0</v>
      </c>
      <c r="Y62" s="2"/>
      <c r="Z62" s="6">
        <f t="shared" si="51"/>
        <v>0</v>
      </c>
    </row>
    <row r="63" spans="1:26" s="28" customFormat="1" outlineLevel="1" collapsed="1" x14ac:dyDescent="0.25">
      <c r="A63" s="27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SUM(OSRRefD22_10x_0)</f>
        <v>0</v>
      </c>
      <c r="E63" s="1"/>
      <c r="F63" s="5">
        <f t="shared" ref="F63:F66" si="52">IF(D$12=0,0,D63/D$12)</f>
        <v>0</v>
      </c>
      <c r="G63" s="1"/>
      <c r="H63" s="1">
        <f>SUM(OSRRefH22_10x_0)</f>
        <v>0</v>
      </c>
      <c r="I63" s="1"/>
      <c r="J63" s="5">
        <f t="shared" ref="J63:J66" si="53">IF(H$12=0,0,H63/H$12)</f>
        <v>0</v>
      </c>
      <c r="K63" s="1"/>
      <c r="L63" s="1">
        <f t="shared" ref="L63:L66" si="54">+D63-H63</f>
        <v>0</v>
      </c>
      <c r="M63" s="1"/>
      <c r="N63" s="5">
        <f t="shared" ref="N63:N66" si="55">IF(H63=0,0,L63/H63)</f>
        <v>0</v>
      </c>
      <c r="O63" s="14"/>
      <c r="P63" s="1">
        <f>SUM(OSRRefP22_10x_0)</f>
        <v>85.2</v>
      </c>
      <c r="Q63" s="1"/>
      <c r="R63" s="5">
        <f t="shared" ref="R63:R66" si="56">IF(P$12=0,0,P63/P$12)</f>
        <v>0</v>
      </c>
      <c r="S63" s="1"/>
      <c r="T63" s="1">
        <f>SUM(OSRRefT22_10x_0)</f>
        <v>0</v>
      </c>
      <c r="U63" s="1"/>
      <c r="V63" s="5">
        <f t="shared" ref="V63:V66" si="57">IF(T$12=0,0,T63/T$12)</f>
        <v>0</v>
      </c>
      <c r="W63" s="1"/>
      <c r="X63" s="1">
        <f t="shared" ref="X63:X66" si="58">+P63-T63</f>
        <v>85.2</v>
      </c>
      <c r="Y63" s="1"/>
      <c r="Z63" s="5">
        <f t="shared" ref="Z63:Z66" si="59">IF(T63=0,0,X63/T63)</f>
        <v>0</v>
      </c>
    </row>
    <row r="64" spans="1:26" s="24" customFormat="1" hidden="1" outlineLevel="2" x14ac:dyDescent="0.25">
      <c r="A64" s="29"/>
      <c r="B64" s="11" t="str">
        <f>CONCATENATE("          ", "6309", " - ", "TELEPHONE")</f>
        <v xml:space="preserve">          6309 - TELEPHONE</v>
      </c>
      <c r="C64" s="11"/>
      <c r="D64" s="7"/>
      <c r="E64" s="2"/>
      <c r="F64" s="6">
        <f t="shared" si="52"/>
        <v>0</v>
      </c>
      <c r="G64" s="2"/>
      <c r="H64" s="7"/>
      <c r="I64" s="2"/>
      <c r="J64" s="6">
        <f t="shared" si="53"/>
        <v>0</v>
      </c>
      <c r="K64" s="2"/>
      <c r="L64" s="7">
        <f t="shared" si="54"/>
        <v>0</v>
      </c>
      <c r="M64" s="2"/>
      <c r="N64" s="6">
        <f t="shared" si="55"/>
        <v>0</v>
      </c>
      <c r="O64" s="11"/>
      <c r="P64" s="7">
        <v>85.2</v>
      </c>
      <c r="Q64" s="2"/>
      <c r="R64" s="6">
        <f t="shared" si="56"/>
        <v>0</v>
      </c>
      <c r="S64" s="2"/>
      <c r="T64" s="7"/>
      <c r="U64" s="2"/>
      <c r="V64" s="6">
        <f t="shared" si="57"/>
        <v>0</v>
      </c>
      <c r="W64" s="2"/>
      <c r="X64" s="7">
        <f t="shared" si="58"/>
        <v>85.2</v>
      </c>
      <c r="Y64" s="2"/>
      <c r="Z64" s="6">
        <f t="shared" si="59"/>
        <v>0</v>
      </c>
    </row>
    <row r="65" spans="1:26" s="28" customFormat="1" outlineLevel="1" collapsed="1" x14ac:dyDescent="0.25">
      <c r="A65" s="27"/>
      <c r="B65" s="14" t="str">
        <f>CONCATENATE("     ","Utilities                                         ")</f>
        <v xml:space="preserve">     Utilities                                         </v>
      </c>
      <c r="C65" s="14"/>
      <c r="D65" s="1">
        <f>SUM(OSRRefD22_11x_0)</f>
        <v>208</v>
      </c>
      <c r="E65" s="1"/>
      <c r="F65" s="5">
        <f t="shared" si="52"/>
        <v>0</v>
      </c>
      <c r="G65" s="1"/>
      <c r="H65" s="1">
        <f>SUM(OSRRefH22_11x_0)</f>
        <v>0</v>
      </c>
      <c r="I65" s="1"/>
      <c r="J65" s="5">
        <f t="shared" si="53"/>
        <v>0</v>
      </c>
      <c r="K65" s="1"/>
      <c r="L65" s="1">
        <f t="shared" si="54"/>
        <v>208</v>
      </c>
      <c r="M65" s="1"/>
      <c r="N65" s="5">
        <f t="shared" si="55"/>
        <v>0</v>
      </c>
      <c r="O65" s="14"/>
      <c r="P65" s="1">
        <f>SUM(OSRRefP22_11x_0)</f>
        <v>624</v>
      </c>
      <c r="Q65" s="1"/>
      <c r="R65" s="5">
        <f t="shared" si="56"/>
        <v>0</v>
      </c>
      <c r="S65" s="1"/>
      <c r="T65" s="1">
        <f>SUM(OSRRefT22_11x_0)</f>
        <v>0</v>
      </c>
      <c r="U65" s="1"/>
      <c r="V65" s="5">
        <f t="shared" si="57"/>
        <v>0</v>
      </c>
      <c r="W65" s="1"/>
      <c r="X65" s="1">
        <f t="shared" si="58"/>
        <v>624</v>
      </c>
      <c r="Y65" s="1"/>
      <c r="Z65" s="5">
        <f t="shared" si="59"/>
        <v>0</v>
      </c>
    </row>
    <row r="66" spans="1:26" s="24" customFormat="1" hidden="1" outlineLevel="2" x14ac:dyDescent="0.25">
      <c r="A66" s="29"/>
      <c r="B66" s="11" t="str">
        <f>CONCATENATE("          ", "6274", " - ", "UTILITIES")</f>
        <v xml:space="preserve">          6274 - UTILITIES</v>
      </c>
      <c r="C66" s="11"/>
      <c r="D66" s="7">
        <v>208</v>
      </c>
      <c r="E66" s="2"/>
      <c r="F66" s="6">
        <f t="shared" si="52"/>
        <v>0</v>
      </c>
      <c r="G66" s="2"/>
      <c r="H66" s="7">
        <v>0</v>
      </c>
      <c r="I66" s="2"/>
      <c r="J66" s="6">
        <f t="shared" si="53"/>
        <v>0</v>
      </c>
      <c r="K66" s="2"/>
      <c r="L66" s="7">
        <f t="shared" si="54"/>
        <v>208</v>
      </c>
      <c r="M66" s="2"/>
      <c r="N66" s="6">
        <f t="shared" si="55"/>
        <v>0</v>
      </c>
      <c r="O66" s="11"/>
      <c r="P66" s="7">
        <v>624</v>
      </c>
      <c r="Q66" s="2"/>
      <c r="R66" s="6">
        <f t="shared" si="56"/>
        <v>0</v>
      </c>
      <c r="S66" s="2"/>
      <c r="T66" s="7">
        <v>0</v>
      </c>
      <c r="U66" s="2"/>
      <c r="V66" s="6">
        <f t="shared" si="57"/>
        <v>0</v>
      </c>
      <c r="W66" s="2"/>
      <c r="X66" s="7">
        <f t="shared" si="58"/>
        <v>624</v>
      </c>
      <c r="Y66" s="2"/>
      <c r="Z66" s="6">
        <f t="shared" si="59"/>
        <v>0</v>
      </c>
    </row>
    <row r="67" spans="1:26" s="53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6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5" t="s">
        <v>3</v>
      </c>
      <c r="C70" s="25"/>
      <c r="D70" s="21">
        <f>+D19-D21+D68</f>
        <v>-2297.69</v>
      </c>
      <c r="E70" s="13"/>
      <c r="F70" s="19">
        <f>IF(D$12=0,0,D70/D$12)</f>
        <v>0</v>
      </c>
      <c r="G70" s="13"/>
      <c r="H70" s="21">
        <f>+H19-H21+H68</f>
        <v>-2017</v>
      </c>
      <c r="I70" s="13"/>
      <c r="J70" s="19">
        <f>IF(H$12=0,0,H70/H$12)</f>
        <v>0</v>
      </c>
      <c r="K70" s="16"/>
      <c r="L70" s="21">
        <f>+D70-H70</f>
        <v>-280.69000000000005</v>
      </c>
      <c r="M70" s="16"/>
      <c r="N70" s="19">
        <f>IF(H70=0,0,L70/H70)</f>
        <v>0.13916212196331187</v>
      </c>
      <c r="O70" s="26"/>
      <c r="P70" s="21">
        <f>+P19-P21+P68</f>
        <v>-14567.96</v>
      </c>
      <c r="Q70" s="13"/>
      <c r="R70" s="19">
        <f>IF(P$12=0,0,P70/P$12)</f>
        <v>0</v>
      </c>
      <c r="S70" s="13"/>
      <c r="T70" s="21">
        <f>+T19-T21+T68</f>
        <v>-12102</v>
      </c>
      <c r="U70" s="13"/>
      <c r="V70" s="19">
        <f>IF(T$12=0,0,T70/T$12)</f>
        <v>0</v>
      </c>
      <c r="W70" s="16"/>
      <c r="X70" s="21">
        <f>+P70-T70</f>
        <v>-2465.9599999999991</v>
      </c>
      <c r="Y70" s="16"/>
      <c r="Z70" s="19">
        <f>IF(T70=0,0,X70/T70)</f>
        <v>0.20376466699719048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14</v>
      </c>
      <c r="C72" s="10"/>
      <c r="D72" s="4"/>
      <c r="E72" s="4"/>
      <c r="F72" s="12">
        <f>IF(D$12=0,0,D72/D$12)</f>
        <v>0</v>
      </c>
      <c r="G72" s="4"/>
      <c r="H72" s="4"/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/>
      <c r="Q72" s="4"/>
      <c r="R72" s="12">
        <f>IF(P$12=0,0,P72/P$12)</f>
        <v>0</v>
      </c>
      <c r="S72" s="4"/>
      <c r="T72" s="4"/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5" t="s">
        <v>4</v>
      </c>
      <c r="C74" s="25"/>
      <c r="D74" s="34">
        <f>+D70-D72</f>
        <v>-2297.69</v>
      </c>
      <c r="E74" s="13"/>
      <c r="F74" s="31">
        <f>IF(D$12=0,0,D74/D$12)</f>
        <v>0</v>
      </c>
      <c r="G74" s="13"/>
      <c r="H74" s="34">
        <f>+H70-H72</f>
        <v>-2017</v>
      </c>
      <c r="I74" s="13"/>
      <c r="J74" s="31">
        <f>IF(H$12=0,0,H74/H$12)</f>
        <v>0</v>
      </c>
      <c r="K74" s="16"/>
      <c r="L74" s="34">
        <f>D74-H74</f>
        <v>-280.69000000000005</v>
      </c>
      <c r="M74" s="16"/>
      <c r="N74" s="31">
        <f>IF(H74=0,0,L74/H74)</f>
        <v>0.13916212196331187</v>
      </c>
      <c r="O74" s="26"/>
      <c r="P74" s="34">
        <f>+P70-P72</f>
        <v>-14567.96</v>
      </c>
      <c r="Q74" s="13"/>
      <c r="R74" s="31">
        <f>IF(P$12=0,0,P74/P$12)</f>
        <v>0</v>
      </c>
      <c r="S74" s="13"/>
      <c r="T74" s="34">
        <f>+T70-T72</f>
        <v>-12102</v>
      </c>
      <c r="U74" s="13"/>
      <c r="V74" s="31">
        <f>IF(T$12=0,0,T74/T$12)</f>
        <v>0</v>
      </c>
      <c r="W74" s="16"/>
      <c r="X74" s="34">
        <f>P74-T74</f>
        <v>-2465.9599999999991</v>
      </c>
      <c r="Y74" s="16"/>
      <c r="Z74" s="31">
        <f>IF(T74=0,0,X74/T74)</f>
        <v>0.20376466699719048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5" t="s">
        <v>5</v>
      </c>
      <c r="C77" s="25"/>
      <c r="D77" s="33">
        <f>SUM(D74:D76)</f>
        <v>-2297.69</v>
      </c>
      <c r="E77" s="13"/>
      <c r="F77" s="32">
        <f>IF(D$12=0,0,D77/D$12)</f>
        <v>0</v>
      </c>
      <c r="G77" s="13"/>
      <c r="H77" s="33">
        <f>SUM(H74:H76)</f>
        <v>-2017</v>
      </c>
      <c r="I77" s="13"/>
      <c r="J77" s="32">
        <f>IF(H$12=0,0,H77/H$12)</f>
        <v>0</v>
      </c>
      <c r="K77" s="16"/>
      <c r="L77" s="33">
        <f>+D77-H77</f>
        <v>-280.69000000000005</v>
      </c>
      <c r="M77" s="16"/>
      <c r="N77" s="32">
        <f>IF(H77=0,0,L77/H77)</f>
        <v>0.13916212196331187</v>
      </c>
      <c r="O77" s="26"/>
      <c r="P77" s="33">
        <f>SUM(P74:P76)</f>
        <v>-14567.96</v>
      </c>
      <c r="Q77" s="13"/>
      <c r="R77" s="32">
        <f>IF(P$12=0,0,P77/P$12)</f>
        <v>0</v>
      </c>
      <c r="S77" s="13"/>
      <c r="T77" s="33">
        <f>SUM(T74:T76)</f>
        <v>-12102</v>
      </c>
      <c r="U77" s="13"/>
      <c r="V77" s="32">
        <f>IF(T$12=0,0,T77/T$12)</f>
        <v>0</v>
      </c>
      <c r="W77" s="16"/>
      <c r="X77" s="33">
        <f>+P77-T77</f>
        <v>-2465.9599999999991</v>
      </c>
      <c r="Y77" s="16"/>
      <c r="Z77" s="32">
        <f>IF(T77=0,0,X77/T77)</f>
        <v>0.20376466699719048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63">
        <v>44209.518598576389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0" t="s">
        <v>314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8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","325", " - ", "Outpost C-Store")</f>
        <v>Department 325 - Outpost C-Store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12832</v>
      </c>
      <c r="I12" s="4"/>
      <c r="J12" s="12"/>
      <c r="K12" s="4"/>
      <c r="L12" s="4">
        <f t="shared" ref="L12:L14" si="0">+D12-H12</f>
        <v>-12832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89719</v>
      </c>
      <c r="U12" s="4"/>
      <c r="V12" s="12"/>
      <c r="W12" s="4"/>
      <c r="X12" s="4">
        <f t="shared" ref="X12:X14" si="2">+P12-T12</f>
        <v>-89719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2719</v>
      </c>
      <c r="I13" s="2"/>
      <c r="J13" s="22"/>
      <c r="K13" s="2"/>
      <c r="L13" s="2">
        <f t="shared" si="0"/>
        <v>-2719</v>
      </c>
      <c r="M13" s="2"/>
      <c r="N13" s="22">
        <f t="shared" si="1"/>
        <v>-1</v>
      </c>
      <c r="O13" s="11"/>
      <c r="P13" s="2">
        <f t="shared" ref="P13:P14" si="5">0</f>
        <v>0</v>
      </c>
      <c r="Q13" s="2"/>
      <c r="R13" s="22"/>
      <c r="S13" s="2"/>
      <c r="T13" s="2">
        <v>16347</v>
      </c>
      <c r="U13" s="2"/>
      <c r="V13" s="22"/>
      <c r="W13" s="2"/>
      <c r="X13" s="2">
        <f t="shared" si="2"/>
        <v>-16347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10113</v>
      </c>
      <c r="I14" s="2"/>
      <c r="J14" s="22"/>
      <c r="K14" s="2"/>
      <c r="L14" s="2">
        <f t="shared" si="0"/>
        <v>-10113</v>
      </c>
      <c r="M14" s="2"/>
      <c r="N14" s="22">
        <f t="shared" si="1"/>
        <v>-1</v>
      </c>
      <c r="O14" s="11"/>
      <c r="P14" s="2">
        <f t="shared" si="5"/>
        <v>0</v>
      </c>
      <c r="Q14" s="2"/>
      <c r="R14" s="22"/>
      <c r="S14" s="2"/>
      <c r="T14" s="2">
        <v>73372</v>
      </c>
      <c r="U14" s="2"/>
      <c r="V14" s="22"/>
      <c r="W14" s="2"/>
      <c r="X14" s="2">
        <f t="shared" si="2"/>
        <v>-73372</v>
      </c>
      <c r="Y14" s="2"/>
      <c r="Z14" s="22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-206.63</v>
      </c>
      <c r="E16" s="4"/>
      <c r="F16" s="12">
        <f t="shared" ref="F16:F19" si="6">IF(D$12=0,0,D16/D$12)</f>
        <v>0</v>
      </c>
      <c r="G16" s="4"/>
      <c r="H16" s="4">
        <f>SUM(OSRRefH16x_0)</f>
        <v>4818</v>
      </c>
      <c r="I16" s="4"/>
      <c r="J16" s="12">
        <f t="shared" ref="J16:J19" si="7">IF(H$12=0,0,H16/H$12)</f>
        <v>0.37546758104738154</v>
      </c>
      <c r="K16" s="4"/>
      <c r="L16" s="4">
        <f t="shared" ref="L16:L19" si="8">+D16-H16</f>
        <v>-5024.63</v>
      </c>
      <c r="M16" s="4"/>
      <c r="N16" s="12">
        <f t="shared" ref="N16:N19" si="9">IF(H16=0,0,L16/H16)</f>
        <v>-1.0428870900788709</v>
      </c>
      <c r="O16" s="10"/>
      <c r="P16" s="4">
        <f>SUM(OSRRefP16x_0)</f>
        <v>10641.24</v>
      </c>
      <c r="Q16" s="4"/>
      <c r="R16" s="12">
        <f t="shared" ref="R16:R19" si="10">IF(P$12=0,0,P16/P$12)</f>
        <v>0</v>
      </c>
      <c r="S16" s="4"/>
      <c r="T16" s="4">
        <f>SUM(OSRRefT16x_0)</f>
        <v>32114</v>
      </c>
      <c r="U16" s="4"/>
      <c r="V16" s="12">
        <f t="shared" ref="V16:V19" si="11">IF(T$12=0,0,T16/T$12)</f>
        <v>0.35793978978811625</v>
      </c>
      <c r="W16" s="4"/>
      <c r="X16" s="4">
        <f t="shared" ref="X16:X19" si="12">+P16-T16</f>
        <v>-21472.760000000002</v>
      </c>
      <c r="Y16" s="4"/>
      <c r="Z16" s="12">
        <f t="shared" ref="Z16:Z19" si="13">IF(T16=0,0,X16/T16)</f>
        <v>-0.66864171389425175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4818</v>
      </c>
      <c r="I17" s="2"/>
      <c r="J17" s="22">
        <f t="shared" si="7"/>
        <v>0.37546758104738154</v>
      </c>
      <c r="K17" s="2"/>
      <c r="L17" s="2">
        <f t="shared" si="8"/>
        <v>-4818</v>
      </c>
      <c r="M17" s="2"/>
      <c r="N17" s="22">
        <f t="shared" si="9"/>
        <v>-1</v>
      </c>
      <c r="O17" s="11"/>
      <c r="P17" s="2"/>
      <c r="Q17" s="2"/>
      <c r="R17" s="22">
        <f t="shared" si="10"/>
        <v>0</v>
      </c>
      <c r="S17" s="2"/>
      <c r="T17" s="2">
        <v>32114</v>
      </c>
      <c r="U17" s="2"/>
      <c r="V17" s="22">
        <f t="shared" si="11"/>
        <v>0.35793978978811625</v>
      </c>
      <c r="W17" s="2"/>
      <c r="X17" s="2">
        <f t="shared" si="12"/>
        <v>-32114</v>
      </c>
      <c r="Y17" s="2"/>
      <c r="Z17" s="22">
        <f t="shared" si="13"/>
        <v>-1</v>
      </c>
    </row>
    <row r="18" spans="1:26" s="24" customFormat="1" hidden="1" outlineLevel="1" x14ac:dyDescent="0.25">
      <c r="A18" s="51"/>
      <c r="B18" s="11" t="str">
        <f>CONCATENATE("          ", "5053", " - ", "PURCHASES @ COST-FOOD")</f>
        <v xml:space="preserve">          5053 - PURCHASES @ COST-FOOD</v>
      </c>
      <c r="C18" s="11"/>
      <c r="D18" s="2">
        <v>-206.63</v>
      </c>
      <c r="E18" s="2"/>
      <c r="F18" s="22">
        <f t="shared" si="6"/>
        <v>0</v>
      </c>
      <c r="G18" s="2"/>
      <c r="H18" s="2"/>
      <c r="I18" s="2"/>
      <c r="J18" s="22">
        <f t="shared" si="7"/>
        <v>0</v>
      </c>
      <c r="K18" s="2"/>
      <c r="L18" s="2">
        <f t="shared" si="8"/>
        <v>-206.63</v>
      </c>
      <c r="M18" s="2"/>
      <c r="N18" s="22">
        <f t="shared" si="9"/>
        <v>0</v>
      </c>
      <c r="O18" s="11"/>
      <c r="P18" s="2">
        <v>-987.76</v>
      </c>
      <c r="Q18" s="2"/>
      <c r="R18" s="22">
        <f t="shared" si="10"/>
        <v>0</v>
      </c>
      <c r="S18" s="2"/>
      <c r="T18" s="2"/>
      <c r="U18" s="2"/>
      <c r="V18" s="22">
        <f t="shared" si="11"/>
        <v>0</v>
      </c>
      <c r="W18" s="2"/>
      <c r="X18" s="2">
        <f t="shared" si="12"/>
        <v>-987.76</v>
      </c>
      <c r="Y18" s="2"/>
      <c r="Z18" s="22">
        <f t="shared" si="13"/>
        <v>0</v>
      </c>
    </row>
    <row r="19" spans="1:26" s="24" customFormat="1" hidden="1" outlineLevel="1" x14ac:dyDescent="0.25">
      <c r="A19" s="51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22">
        <f t="shared" si="6"/>
        <v>0</v>
      </c>
      <c r="G19" s="2"/>
      <c r="H19" s="2"/>
      <c r="I19" s="2"/>
      <c r="J19" s="22">
        <f t="shared" si="7"/>
        <v>0</v>
      </c>
      <c r="K19" s="2"/>
      <c r="L19" s="2">
        <f t="shared" si="8"/>
        <v>0</v>
      </c>
      <c r="M19" s="2"/>
      <c r="N19" s="22">
        <f t="shared" si="9"/>
        <v>0</v>
      </c>
      <c r="O19" s="11"/>
      <c r="P19" s="2">
        <v>11629</v>
      </c>
      <c r="Q19" s="2"/>
      <c r="R19" s="22">
        <f t="shared" si="10"/>
        <v>0</v>
      </c>
      <c r="S19" s="2"/>
      <c r="T19" s="2"/>
      <c r="U19" s="2"/>
      <c r="V19" s="22">
        <f t="shared" si="11"/>
        <v>0</v>
      </c>
      <c r="W19" s="2"/>
      <c r="X19" s="2">
        <f t="shared" si="12"/>
        <v>11629</v>
      </c>
      <c r="Y19" s="2"/>
      <c r="Z19" s="22">
        <f t="shared" si="13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6</v>
      </c>
      <c r="C21" s="25"/>
      <c r="D21" s="21">
        <f>D12-D16</f>
        <v>206.63</v>
      </c>
      <c r="E21" s="13"/>
      <c r="F21" s="19">
        <f>IF(D$12=0,0,D21/D$12)</f>
        <v>0</v>
      </c>
      <c r="G21" s="13"/>
      <c r="H21" s="21">
        <f>H12-H16</f>
        <v>8014</v>
      </c>
      <c r="I21" s="13"/>
      <c r="J21" s="19">
        <f>IF(H$12=0,0,H21/H$12)</f>
        <v>0.62453241895261846</v>
      </c>
      <c r="K21" s="16"/>
      <c r="L21" s="21">
        <f>+D21-H21</f>
        <v>-7807.37</v>
      </c>
      <c r="M21" s="16"/>
      <c r="N21" s="19">
        <f>IF(H21=0,0,L21/H21)</f>
        <v>-0.97421637135013728</v>
      </c>
      <c r="O21" s="26"/>
      <c r="P21" s="21">
        <f>P12-P16</f>
        <v>-10641.24</v>
      </c>
      <c r="Q21" s="13"/>
      <c r="R21" s="19">
        <f>IF(P$12=0,0,P21/P$12)</f>
        <v>0</v>
      </c>
      <c r="S21" s="13"/>
      <c r="T21" s="21">
        <f>T12-T16</f>
        <v>57605</v>
      </c>
      <c r="U21" s="13"/>
      <c r="V21" s="19">
        <f>IF(T$12=0,0,T21/T$12)</f>
        <v>0.64206021021188375</v>
      </c>
      <c r="W21" s="16"/>
      <c r="X21" s="21">
        <f>+P21-T21</f>
        <v>-68246.240000000005</v>
      </c>
      <c r="Y21" s="16"/>
      <c r="Z21" s="19">
        <f>IF(T21=0,0,X21/T21)</f>
        <v>-1.184727714608107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9</v>
      </c>
      <c r="C23" s="10"/>
      <c r="D23" s="20">
        <f>SUM(OSRRefD22x_0)</f>
        <v>11292.42</v>
      </c>
      <c r="E23" s="20"/>
      <c r="F23" s="30">
        <f t="shared" ref="F23:F32" si="14">IF(D$12=0,0,D23/D$12)</f>
        <v>0</v>
      </c>
      <c r="G23" s="20"/>
      <c r="H23" s="20">
        <f>SUM(OSRRefH22x_0)</f>
        <v>27057.9964</v>
      </c>
      <c r="I23" s="20"/>
      <c r="J23" s="30">
        <f t="shared" ref="J23:J32" si="15">IF(H$12=0,0,H23/H$12)</f>
        <v>2.1086343827930176</v>
      </c>
      <c r="K23" s="4"/>
      <c r="L23" s="20">
        <f t="shared" ref="L23:L32" si="16">+D23-H23</f>
        <v>-15765.5764</v>
      </c>
      <c r="M23" s="4"/>
      <c r="N23" s="30">
        <f t="shared" ref="N23:N32" si="17">IF(H23=0,0,L23/H23)</f>
        <v>-0.5826586775656456</v>
      </c>
      <c r="O23" s="10"/>
      <c r="P23" s="20">
        <f>SUM(OSRRefP22x_0)</f>
        <v>68530.01999999999</v>
      </c>
      <c r="Q23" s="20"/>
      <c r="R23" s="30">
        <f t="shared" ref="R23:R32" si="18">IF(P$12=0,0,P23/P$12)</f>
        <v>0</v>
      </c>
      <c r="S23" s="20"/>
      <c r="T23" s="20">
        <f>SUM(OSRRefT22x_0)</f>
        <v>164059.12135999999</v>
      </c>
      <c r="U23" s="20"/>
      <c r="V23" s="30">
        <f t="shared" ref="V23:V32" si="19">IF(T$12=0,0,T23/T$12)</f>
        <v>1.8285883855147738</v>
      </c>
      <c r="W23" s="4"/>
      <c r="X23" s="20">
        <f t="shared" ref="X23:X32" si="20">+P23-T23</f>
        <v>-95529.101360000001</v>
      </c>
      <c r="Y23" s="4"/>
      <c r="Z23" s="30">
        <f t="shared" ref="Z23:Z32" si="21">IF(T23=0,0,X23/T23)</f>
        <v>-0.58228460915853342</v>
      </c>
    </row>
    <row r="24" spans="1:26" s="28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0</v>
      </c>
      <c r="E24" s="1"/>
      <c r="F24" s="5">
        <f t="shared" si="14"/>
        <v>0</v>
      </c>
      <c r="G24" s="1"/>
      <c r="H24" s="1">
        <f>SUM(OSRRefH22_0x_0)</f>
        <v>3353.8764000000001</v>
      </c>
      <c r="I24" s="1"/>
      <c r="J24" s="5">
        <f t="shared" si="15"/>
        <v>0.26136817331670825</v>
      </c>
      <c r="K24" s="1"/>
      <c r="L24" s="1">
        <f t="shared" si="16"/>
        <v>-3353.8764000000001</v>
      </c>
      <c r="M24" s="1"/>
      <c r="N24" s="5">
        <f t="shared" si="17"/>
        <v>-1</v>
      </c>
      <c r="O24" s="14"/>
      <c r="P24" s="1">
        <f>SUM(OSRRefP22_0x_0)</f>
        <v>2889.72</v>
      </c>
      <c r="Q24" s="1"/>
      <c r="R24" s="5">
        <f t="shared" si="18"/>
        <v>0</v>
      </c>
      <c r="S24" s="1"/>
      <c r="T24" s="1">
        <f>SUM(OSRRefT22_0x_0)</f>
        <v>20707.269359999998</v>
      </c>
      <c r="U24" s="1"/>
      <c r="V24" s="5">
        <f t="shared" si="19"/>
        <v>0.23080138387632496</v>
      </c>
      <c r="W24" s="1"/>
      <c r="X24" s="1">
        <f t="shared" si="20"/>
        <v>-17817.549359999997</v>
      </c>
      <c r="Y24" s="1"/>
      <c r="Z24" s="5">
        <f t="shared" si="21"/>
        <v>-0.86044900707275096</v>
      </c>
    </row>
    <row r="25" spans="1:26" s="24" customFormat="1" hidden="1" outlineLevel="2" x14ac:dyDescent="0.25">
      <c r="A25" s="29"/>
      <c r="B25" s="11" t="str">
        <f>CONCATENATE("          ", "6111", " - ", "F.I.C.A.")</f>
        <v xml:space="preserve">          6111 - F.I.C.A.</v>
      </c>
      <c r="C25" s="11"/>
      <c r="D25" s="7"/>
      <c r="E25" s="2"/>
      <c r="F25" s="6">
        <f t="shared" si="14"/>
        <v>0</v>
      </c>
      <c r="G25" s="2"/>
      <c r="H25" s="7">
        <v>318.3648</v>
      </c>
      <c r="I25" s="2"/>
      <c r="J25" s="6">
        <f t="shared" si="15"/>
        <v>2.4810224438902743E-2</v>
      </c>
      <c r="K25" s="2"/>
      <c r="L25" s="7">
        <f t="shared" si="16"/>
        <v>-318.3648</v>
      </c>
      <c r="M25" s="2"/>
      <c r="N25" s="6">
        <f t="shared" si="17"/>
        <v>-1</v>
      </c>
      <c r="O25" s="11"/>
      <c r="P25" s="7">
        <v>159.12</v>
      </c>
      <c r="Q25" s="2"/>
      <c r="R25" s="6">
        <f t="shared" si="18"/>
        <v>0</v>
      </c>
      <c r="S25" s="2"/>
      <c r="T25" s="7">
        <v>2129.0646000000002</v>
      </c>
      <c r="U25" s="2"/>
      <c r="V25" s="6">
        <f t="shared" si="19"/>
        <v>2.3730364805671041E-2</v>
      </c>
      <c r="W25" s="2"/>
      <c r="X25" s="7">
        <f t="shared" si="20"/>
        <v>-1969.9446000000003</v>
      </c>
      <c r="Y25" s="2"/>
      <c r="Z25" s="6">
        <f t="shared" si="21"/>
        <v>-0.92526295350549725</v>
      </c>
    </row>
    <row r="26" spans="1:26" s="24" customFormat="1" hidden="1" outlineLevel="2" x14ac:dyDescent="0.25">
      <c r="A26" s="29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6">
        <f t="shared" si="14"/>
        <v>0</v>
      </c>
      <c r="G26" s="2"/>
      <c r="H26" s="7">
        <v>147.18600000000001</v>
      </c>
      <c r="I26" s="2"/>
      <c r="J26" s="6">
        <f t="shared" si="15"/>
        <v>1.1470230673316709E-2</v>
      </c>
      <c r="K26" s="2"/>
      <c r="L26" s="7">
        <f t="shared" si="16"/>
        <v>-147.18600000000001</v>
      </c>
      <c r="M26" s="2"/>
      <c r="N26" s="6">
        <f t="shared" si="17"/>
        <v>-1</v>
      </c>
      <c r="O26" s="11"/>
      <c r="P26" s="7"/>
      <c r="Q26" s="2"/>
      <c r="R26" s="6">
        <f t="shared" si="18"/>
        <v>0</v>
      </c>
      <c r="S26" s="2"/>
      <c r="T26" s="7">
        <v>897.83460000000002</v>
      </c>
      <c r="U26" s="2"/>
      <c r="V26" s="6">
        <f t="shared" si="19"/>
        <v>1.0007184654309567E-2</v>
      </c>
      <c r="W26" s="2"/>
      <c r="X26" s="7">
        <f t="shared" si="20"/>
        <v>-897.83460000000002</v>
      </c>
      <c r="Y26" s="2"/>
      <c r="Z26" s="6">
        <f t="shared" si="21"/>
        <v>-1</v>
      </c>
    </row>
    <row r="27" spans="1:26" s="24" customFormat="1" hidden="1" outlineLevel="2" x14ac:dyDescent="0.25">
      <c r="A27" s="29"/>
      <c r="B27" s="11" t="str">
        <f>CONCATENATE("          ", "6113", " - ", "GROUP INSURANCE")</f>
        <v xml:space="preserve">          6113 - GROUP INSURANCE</v>
      </c>
      <c r="C27" s="11"/>
      <c r="D27" s="7"/>
      <c r="E27" s="2"/>
      <c r="F27" s="6">
        <f t="shared" si="14"/>
        <v>0</v>
      </c>
      <c r="G27" s="2"/>
      <c r="H27" s="7">
        <v>1980</v>
      </c>
      <c r="I27" s="2"/>
      <c r="J27" s="6">
        <f t="shared" si="15"/>
        <v>0.15430174563591023</v>
      </c>
      <c r="K27" s="2"/>
      <c r="L27" s="7">
        <f t="shared" si="16"/>
        <v>-1980</v>
      </c>
      <c r="M27" s="2"/>
      <c r="N27" s="6">
        <f t="shared" si="17"/>
        <v>-1</v>
      </c>
      <c r="O27" s="11"/>
      <c r="P27" s="7">
        <v>1915.63</v>
      </c>
      <c r="Q27" s="2"/>
      <c r="R27" s="6">
        <f t="shared" si="18"/>
        <v>0</v>
      </c>
      <c r="S27" s="2"/>
      <c r="T27" s="7">
        <v>11880</v>
      </c>
      <c r="U27" s="2"/>
      <c r="V27" s="6">
        <f t="shared" si="19"/>
        <v>0.13241342413535595</v>
      </c>
      <c r="W27" s="2"/>
      <c r="X27" s="7">
        <f t="shared" si="20"/>
        <v>-9964.369999999999</v>
      </c>
      <c r="Y27" s="2"/>
      <c r="Z27" s="6">
        <f t="shared" si="21"/>
        <v>-0.83875168350168339</v>
      </c>
    </row>
    <row r="28" spans="1:26" s="24" customFormat="1" hidden="1" outlineLevel="2" x14ac:dyDescent="0.25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7"/>
      <c r="E28" s="2"/>
      <c r="F28" s="6">
        <f t="shared" si="14"/>
        <v>0</v>
      </c>
      <c r="G28" s="2"/>
      <c r="H28" s="7">
        <v>20.685600000000001</v>
      </c>
      <c r="I28" s="2"/>
      <c r="J28" s="6">
        <f t="shared" si="15"/>
        <v>1.6120324189526185E-3</v>
      </c>
      <c r="K28" s="2"/>
      <c r="L28" s="7">
        <f t="shared" si="16"/>
        <v>-20.685600000000001</v>
      </c>
      <c r="M28" s="2"/>
      <c r="N28" s="6">
        <f t="shared" si="17"/>
        <v>-1</v>
      </c>
      <c r="O28" s="11"/>
      <c r="P28" s="7"/>
      <c r="Q28" s="2"/>
      <c r="R28" s="6">
        <f t="shared" si="18"/>
        <v>0</v>
      </c>
      <c r="S28" s="2"/>
      <c r="T28" s="7">
        <v>126.18216</v>
      </c>
      <c r="U28" s="2"/>
      <c r="V28" s="6">
        <f t="shared" si="19"/>
        <v>1.4064151406056689E-3</v>
      </c>
      <c r="W28" s="2"/>
      <c r="X28" s="7">
        <f t="shared" si="20"/>
        <v>-126.18216</v>
      </c>
      <c r="Y28" s="2"/>
      <c r="Z28" s="6">
        <f t="shared" si="21"/>
        <v>-1</v>
      </c>
    </row>
    <row r="29" spans="1:26" s="24" customFormat="1" hidden="1" outlineLevel="2" x14ac:dyDescent="0.25">
      <c r="A29" s="29"/>
      <c r="B29" s="11" t="str">
        <f>CONCATENATE("          ", "6115", " - ", "P.E.R.S.")</f>
        <v xml:space="preserve">          6115 - P.E.R.S.</v>
      </c>
      <c r="C29" s="11"/>
      <c r="D29" s="7"/>
      <c r="E29" s="2"/>
      <c r="F29" s="6">
        <f t="shared" si="14"/>
        <v>0</v>
      </c>
      <c r="G29" s="2"/>
      <c r="H29" s="7">
        <v>357.76</v>
      </c>
      <c r="I29" s="2"/>
      <c r="J29" s="6">
        <f t="shared" si="15"/>
        <v>2.7880299251870324E-2</v>
      </c>
      <c r="K29" s="2"/>
      <c r="L29" s="7">
        <f t="shared" si="16"/>
        <v>-357.76</v>
      </c>
      <c r="M29" s="2"/>
      <c r="N29" s="6">
        <f t="shared" si="17"/>
        <v>-1</v>
      </c>
      <c r="O29" s="11"/>
      <c r="P29" s="7">
        <v>458.89</v>
      </c>
      <c r="Q29" s="2"/>
      <c r="R29" s="6">
        <f t="shared" si="18"/>
        <v>0</v>
      </c>
      <c r="S29" s="2"/>
      <c r="T29" s="7">
        <v>2325.44</v>
      </c>
      <c r="U29" s="2"/>
      <c r="V29" s="6">
        <f t="shared" si="19"/>
        <v>2.5919147560717351E-2</v>
      </c>
      <c r="W29" s="2"/>
      <c r="X29" s="7">
        <f t="shared" si="20"/>
        <v>-1866.5500000000002</v>
      </c>
      <c r="Y29" s="2"/>
      <c r="Z29" s="6">
        <f t="shared" si="21"/>
        <v>-0.80266530205036468</v>
      </c>
    </row>
    <row r="30" spans="1:26" s="24" customFormat="1" hidden="1" outlineLevel="2" x14ac:dyDescent="0.25">
      <c r="A30" s="29"/>
      <c r="B30" s="11" t="str">
        <f>CONCATENATE("          ", "6116", " - ", "EDUCATIONAL BENEFITS")</f>
        <v xml:space="preserve">          6116 - EDUCATIONAL BENEFITS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/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0</v>
      </c>
      <c r="Y30" s="2"/>
      <c r="Z30" s="6">
        <f t="shared" si="21"/>
        <v>0</v>
      </c>
    </row>
    <row r="31" spans="1:26" s="24" customFormat="1" hidden="1" outlineLevel="2" x14ac:dyDescent="0.25">
      <c r="A31" s="29"/>
      <c r="B31" s="11" t="str">
        <f>CONCATENATE("          ", "6118", " - ", "VACATION")</f>
        <v xml:space="preserve">          6118 - VACATION</v>
      </c>
      <c r="C31" s="11"/>
      <c r="D31" s="7"/>
      <c r="E31" s="2"/>
      <c r="F31" s="6">
        <f t="shared" si="14"/>
        <v>0</v>
      </c>
      <c r="G31" s="2"/>
      <c r="H31" s="7">
        <v>208</v>
      </c>
      <c r="I31" s="2"/>
      <c r="J31" s="6">
        <f t="shared" si="15"/>
        <v>1.6209476309226933E-2</v>
      </c>
      <c r="K31" s="2"/>
      <c r="L31" s="7">
        <f t="shared" si="16"/>
        <v>-208</v>
      </c>
      <c r="M31" s="2"/>
      <c r="N31" s="6">
        <f t="shared" si="17"/>
        <v>-1</v>
      </c>
      <c r="O31" s="11"/>
      <c r="P31" s="7">
        <v>152.1</v>
      </c>
      <c r="Q31" s="2"/>
      <c r="R31" s="6">
        <f t="shared" si="18"/>
        <v>0</v>
      </c>
      <c r="S31" s="2"/>
      <c r="T31" s="7">
        <v>1352</v>
      </c>
      <c r="U31" s="2"/>
      <c r="V31" s="6">
        <f t="shared" si="19"/>
        <v>1.5069271837626366E-2</v>
      </c>
      <c r="W31" s="2"/>
      <c r="X31" s="7">
        <f t="shared" si="20"/>
        <v>-1199.9000000000001</v>
      </c>
      <c r="Y31" s="2"/>
      <c r="Z31" s="6">
        <f t="shared" si="21"/>
        <v>-0.88750000000000007</v>
      </c>
    </row>
    <row r="32" spans="1:26" s="24" customFormat="1" hidden="1" outlineLevel="2" x14ac:dyDescent="0.25">
      <c r="A32" s="29"/>
      <c r="B32" s="11" t="str">
        <f>CONCATENATE("          ", "6119", " - ", "SICK LEAVE")</f>
        <v xml:space="preserve">          6119 - SICK LEAVE</v>
      </c>
      <c r="C32" s="11"/>
      <c r="D32" s="7"/>
      <c r="E32" s="2"/>
      <c r="F32" s="6">
        <f t="shared" si="14"/>
        <v>0</v>
      </c>
      <c r="G32" s="2"/>
      <c r="H32" s="7">
        <v>321.88</v>
      </c>
      <c r="I32" s="2"/>
      <c r="J32" s="6">
        <f t="shared" si="15"/>
        <v>2.5084164588528676E-2</v>
      </c>
      <c r="K32" s="2"/>
      <c r="L32" s="7">
        <f t="shared" si="16"/>
        <v>-321.88</v>
      </c>
      <c r="M32" s="2"/>
      <c r="N32" s="6">
        <f t="shared" si="17"/>
        <v>-1</v>
      </c>
      <c r="O32" s="11"/>
      <c r="P32" s="7">
        <v>203.98</v>
      </c>
      <c r="Q32" s="2"/>
      <c r="R32" s="6">
        <f t="shared" si="18"/>
        <v>0</v>
      </c>
      <c r="S32" s="2"/>
      <c r="T32" s="7">
        <v>1996.748</v>
      </c>
      <c r="U32" s="2"/>
      <c r="V32" s="6">
        <f t="shared" si="19"/>
        <v>2.2255575742039034E-2</v>
      </c>
      <c r="W32" s="2"/>
      <c r="X32" s="7">
        <f t="shared" si="20"/>
        <v>-1792.768</v>
      </c>
      <c r="Y32" s="2"/>
      <c r="Z32" s="6">
        <f t="shared" si="21"/>
        <v>-0.89784389417192356</v>
      </c>
    </row>
    <row r="33" spans="1:26" s="28" customFormat="1" outlineLevel="1" collapsed="1" x14ac:dyDescent="0.25">
      <c r="A33" s="27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0</v>
      </c>
      <c r="E33" s="1"/>
      <c r="F33" s="5">
        <f t="shared" ref="F33:F43" si="22">IF(D$12=0,0,D33/D$12)</f>
        <v>0</v>
      </c>
      <c r="G33" s="1"/>
      <c r="H33" s="1">
        <f>SUM(OSRRefH22_1x_0)</f>
        <v>7426.1200000000008</v>
      </c>
      <c r="I33" s="1"/>
      <c r="J33" s="5">
        <f t="shared" ref="J33:J43" si="23">IF(H$12=0,0,H33/H$12)</f>
        <v>0.5787188279301746</v>
      </c>
      <c r="K33" s="1"/>
      <c r="L33" s="1">
        <f t="shared" ref="L33:L43" si="24">+D33-H33</f>
        <v>-7426.1200000000008</v>
      </c>
      <c r="M33" s="1"/>
      <c r="N33" s="5">
        <f t="shared" ref="N33:N43" si="25">IF(H33=0,0,L33/H33)</f>
        <v>-1</v>
      </c>
      <c r="O33" s="14"/>
      <c r="P33" s="1">
        <f>SUM(OSRRefP22_1x_0)</f>
        <v>884</v>
      </c>
      <c r="Q33" s="1"/>
      <c r="R33" s="5">
        <f t="shared" ref="R33:R43" si="26">IF(P$12=0,0,P33/P$12)</f>
        <v>0</v>
      </c>
      <c r="S33" s="1"/>
      <c r="T33" s="1">
        <f>SUM(OSRRefT22_1x_0)</f>
        <v>45182.851999999999</v>
      </c>
      <c r="U33" s="1"/>
      <c r="V33" s="5">
        <f t="shared" ref="V33:V43" si="27">IF(T$12=0,0,T33/T$12)</f>
        <v>0.50360405265328412</v>
      </c>
      <c r="W33" s="1"/>
      <c r="X33" s="1">
        <f t="shared" ref="X33:X43" si="28">+P33-T33</f>
        <v>-44298.851999999999</v>
      </c>
      <c r="Y33" s="1"/>
      <c r="Z33" s="5">
        <f t="shared" ref="Z33:Z43" si="29">IF(T33=0,0,X33/T33)</f>
        <v>-0.98043505531700392</v>
      </c>
    </row>
    <row r="34" spans="1:26" s="24" customFormat="1" hidden="1" outlineLevel="2" x14ac:dyDescent="0.25">
      <c r="A34" s="29"/>
      <c r="B34" s="11" t="str">
        <f>CONCATENATE("          ", "6001", " - ", "ADMINISTRATIVE SALARIES")</f>
        <v xml:space="preserve">          6001 - ADMINISTRATIVE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9"/>
      <c r="B35" s="11" t="str">
        <f>CONCATENATE("          ", "6002", " - ", "STAFF SALARIES")</f>
        <v xml:space="preserve">          6002 - STAFF SALARIES</v>
      </c>
      <c r="C35" s="11"/>
      <c r="D35" s="7"/>
      <c r="E35" s="2"/>
      <c r="F35" s="6">
        <f t="shared" si="22"/>
        <v>0</v>
      </c>
      <c r="G35" s="2"/>
      <c r="H35" s="7">
        <v>3744</v>
      </c>
      <c r="I35" s="2"/>
      <c r="J35" s="6">
        <f t="shared" si="23"/>
        <v>0.29177057356608477</v>
      </c>
      <c r="K35" s="2"/>
      <c r="L35" s="7">
        <f t="shared" si="24"/>
        <v>-3744</v>
      </c>
      <c r="M35" s="2"/>
      <c r="N35" s="6">
        <f t="shared" si="25"/>
        <v>-1</v>
      </c>
      <c r="O35" s="11"/>
      <c r="P35" s="7">
        <v>884</v>
      </c>
      <c r="Q35" s="2"/>
      <c r="R35" s="6">
        <f t="shared" si="26"/>
        <v>0</v>
      </c>
      <c r="S35" s="2"/>
      <c r="T35" s="7">
        <v>24336</v>
      </c>
      <c r="U35" s="2"/>
      <c r="V35" s="6">
        <f t="shared" si="27"/>
        <v>0.27124689307727462</v>
      </c>
      <c r="W35" s="2"/>
      <c r="X35" s="7">
        <f t="shared" si="28"/>
        <v>-23452</v>
      </c>
      <c r="Y35" s="2"/>
      <c r="Z35" s="6">
        <f t="shared" si="29"/>
        <v>-0.96367521367521369</v>
      </c>
    </row>
    <row r="36" spans="1:26" s="24" customFormat="1" hidden="1" outlineLevel="2" x14ac:dyDescent="0.25">
      <c r="A36" s="29"/>
      <c r="B36" s="11" t="str">
        <f>CONCATENATE("          ", "6003", " - ", "STAFF HOURLY-9 MONTH")</f>
        <v xml:space="preserve">          6003 - STAFF HOURLY-9 MONTH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9"/>
      <c r="B37" s="11" t="str">
        <f>CONCATENATE("          ", "6004", " - ", "STAFF HOURLY")</f>
        <v xml:space="preserve">          6004 - STAFF 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9"/>
      <c r="B38" s="11" t="str">
        <f>CONCATENATE("          ", "6005", " - ", "TEMPORARY WAGES-HOURLY")</f>
        <v xml:space="preserve">          6005 - TEMPORARY WAGES-HOURLY</v>
      </c>
      <c r="C38" s="11"/>
      <c r="D38" s="7"/>
      <c r="E38" s="2"/>
      <c r="F38" s="6">
        <f t="shared" si="22"/>
        <v>0</v>
      </c>
      <c r="G38" s="2"/>
      <c r="H38" s="7">
        <v>1286.22</v>
      </c>
      <c r="I38" s="2"/>
      <c r="J38" s="6">
        <f t="shared" si="23"/>
        <v>0.10023534912718204</v>
      </c>
      <c r="K38" s="2"/>
      <c r="L38" s="7">
        <f t="shared" si="24"/>
        <v>-1286.22</v>
      </c>
      <c r="M38" s="2"/>
      <c r="N38" s="6">
        <f t="shared" si="25"/>
        <v>-1</v>
      </c>
      <c r="O38" s="11"/>
      <c r="P38" s="7"/>
      <c r="Q38" s="2"/>
      <c r="R38" s="6">
        <f t="shared" si="26"/>
        <v>0</v>
      </c>
      <c r="S38" s="2"/>
      <c r="T38" s="7">
        <v>7316.3220000000001</v>
      </c>
      <c r="U38" s="2"/>
      <c r="V38" s="6">
        <f t="shared" si="27"/>
        <v>8.1547074755625906E-2</v>
      </c>
      <c r="W38" s="2"/>
      <c r="X38" s="7">
        <f t="shared" si="28"/>
        <v>-7316.3220000000001</v>
      </c>
      <c r="Y38" s="2"/>
      <c r="Z38" s="6">
        <f t="shared" si="29"/>
        <v>-1</v>
      </c>
    </row>
    <row r="39" spans="1:26" s="24" customFormat="1" hidden="1" outlineLevel="2" x14ac:dyDescent="0.25">
      <c r="A39" s="29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9"/>
      <c r="B40" s="11" t="str">
        <f>CONCATENATE("          ", "6007", " - ", "STUDENT HOURLY")</f>
        <v xml:space="preserve">          6007 - STUDENT HOURLY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756.6</v>
      </c>
      <c r="U40" s="2"/>
      <c r="V40" s="6">
        <f t="shared" si="27"/>
        <v>8.4329963552870636E-3</v>
      </c>
      <c r="W40" s="2"/>
      <c r="X40" s="7">
        <f t="shared" si="28"/>
        <v>-756.6</v>
      </c>
      <c r="Y40" s="2"/>
      <c r="Z40" s="6">
        <f t="shared" si="29"/>
        <v>-1</v>
      </c>
    </row>
    <row r="41" spans="1:26" s="24" customFormat="1" hidden="1" outlineLevel="2" x14ac:dyDescent="0.25">
      <c r="A41" s="29"/>
      <c r="B41" s="11" t="str">
        <f>CONCATENATE("          ", "6008", " - ", "STUDENT HOURLY-FICA EXEMPT")</f>
        <v xml:space="preserve">          6008 - STUDENT HOURLY-FICA EXEMPT</v>
      </c>
      <c r="C41" s="11"/>
      <c r="D41" s="7"/>
      <c r="E41" s="2"/>
      <c r="F41" s="6">
        <f t="shared" si="22"/>
        <v>0</v>
      </c>
      <c r="G41" s="2"/>
      <c r="H41" s="7">
        <v>2395.9</v>
      </c>
      <c r="I41" s="2"/>
      <c r="J41" s="6">
        <f t="shared" si="23"/>
        <v>0.18671290523690773</v>
      </c>
      <c r="K41" s="2"/>
      <c r="L41" s="7">
        <f t="shared" si="24"/>
        <v>-2395.9</v>
      </c>
      <c r="M41" s="2"/>
      <c r="N41" s="6">
        <f t="shared" si="25"/>
        <v>-1</v>
      </c>
      <c r="O41" s="11"/>
      <c r="P41" s="7"/>
      <c r="Q41" s="2"/>
      <c r="R41" s="6">
        <f t="shared" si="26"/>
        <v>0</v>
      </c>
      <c r="S41" s="2"/>
      <c r="T41" s="7">
        <v>12773.93</v>
      </c>
      <c r="U41" s="2"/>
      <c r="V41" s="6">
        <f t="shared" si="27"/>
        <v>0.14237708846509659</v>
      </c>
      <c r="W41" s="2"/>
      <c r="X41" s="7">
        <f t="shared" si="28"/>
        <v>-12773.93</v>
      </c>
      <c r="Y41" s="2"/>
      <c r="Z41" s="6">
        <f t="shared" si="29"/>
        <v>-1</v>
      </c>
    </row>
    <row r="42" spans="1:26" s="24" customFormat="1" hidden="1" outlineLevel="2" x14ac:dyDescent="0.25">
      <c r="A42" s="29"/>
      <c r="B42" s="11" t="str">
        <f>CONCATENATE("          ", "6009", " - ", "TEMPORARY-SEASONAL")</f>
        <v xml:space="preserve">          6009 - TEMPORARY-SEASONAL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4" customFormat="1" hidden="1" outlineLevel="2" x14ac:dyDescent="0.25">
      <c r="A43" s="29"/>
      <c r="B43" s="11" t="str">
        <f>CONCATENATE("          ", "6010", " - ", "GRATUITY")</f>
        <v xml:space="preserve">          6010 - GRATUITY</v>
      </c>
      <c r="C43" s="11"/>
      <c r="D43" s="7"/>
      <c r="E43" s="2"/>
      <c r="F43" s="6">
        <f t="shared" si="22"/>
        <v>0</v>
      </c>
      <c r="G43" s="2"/>
      <c r="H43" s="7">
        <v>0</v>
      </c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/>
      <c r="Q43" s="2"/>
      <c r="R43" s="6">
        <f t="shared" si="26"/>
        <v>0</v>
      </c>
      <c r="S43" s="2"/>
      <c r="T43" s="7">
        <v>0</v>
      </c>
      <c r="U43" s="2"/>
      <c r="V43" s="6">
        <f t="shared" si="27"/>
        <v>0</v>
      </c>
      <c r="W43" s="2"/>
      <c r="X43" s="7">
        <f t="shared" si="28"/>
        <v>0</v>
      </c>
      <c r="Y43" s="2"/>
      <c r="Z43" s="6">
        <f t="shared" si="29"/>
        <v>0</v>
      </c>
    </row>
    <row r="44" spans="1:26" s="28" customFormat="1" outlineLevel="1" collapsed="1" x14ac:dyDescent="0.25">
      <c r="A44" s="27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2" si="30">IF(D$12=0,0,D44/D$12)</f>
        <v>0</v>
      </c>
      <c r="G44" s="1"/>
      <c r="H44" s="1">
        <f>SUM(OSRRefH22_2x_0)</f>
        <v>77</v>
      </c>
      <c r="I44" s="1"/>
      <c r="J44" s="5">
        <f t="shared" ref="J44:J52" si="31">IF(H$12=0,0,H44/H$12)</f>
        <v>6.0006234413965088E-3</v>
      </c>
      <c r="K44" s="1"/>
      <c r="L44" s="1">
        <f t="shared" ref="L44:L52" si="32">+D44-H44</f>
        <v>-77</v>
      </c>
      <c r="M44" s="1"/>
      <c r="N44" s="5">
        <f t="shared" ref="N44:N52" si="33">IF(H44=0,0,L44/H44)</f>
        <v>-1</v>
      </c>
      <c r="O44" s="14"/>
      <c r="P44" s="1">
        <f>SUM(OSRRefP22_2x_0)</f>
        <v>0</v>
      </c>
      <c r="Q44" s="1"/>
      <c r="R44" s="5">
        <f t="shared" ref="R44:R52" si="34">IF(P$12=0,0,P44/P$12)</f>
        <v>0</v>
      </c>
      <c r="S44" s="1"/>
      <c r="T44" s="1">
        <f>SUM(OSRRefT22_2x_0)</f>
        <v>718</v>
      </c>
      <c r="U44" s="1"/>
      <c r="V44" s="5">
        <f t="shared" ref="V44:V52" si="35">IF(T$12=0,0,T44/T$12)</f>
        <v>8.0027641859583814E-3</v>
      </c>
      <c r="W44" s="1"/>
      <c r="X44" s="1">
        <f t="shared" ref="X44:X52" si="36">+P44-T44</f>
        <v>-718</v>
      </c>
      <c r="Y44" s="1"/>
      <c r="Z44" s="5">
        <f t="shared" ref="Z44:Z52" si="37">IF(T44=0,0,X44/T44)</f>
        <v>-1</v>
      </c>
    </row>
    <row r="45" spans="1:26" s="24" customFormat="1" hidden="1" outlineLevel="2" x14ac:dyDescent="0.25">
      <c r="A45" s="29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30"/>
        <v>0</v>
      </c>
      <c r="G45" s="2"/>
      <c r="H45" s="7">
        <v>77</v>
      </c>
      <c r="I45" s="2"/>
      <c r="J45" s="6">
        <f t="shared" si="31"/>
        <v>6.0006234413965088E-3</v>
      </c>
      <c r="K45" s="2"/>
      <c r="L45" s="7">
        <f t="shared" si="32"/>
        <v>-77</v>
      </c>
      <c r="M45" s="2"/>
      <c r="N45" s="6">
        <f t="shared" si="33"/>
        <v>-1</v>
      </c>
      <c r="O45" s="11"/>
      <c r="P45" s="7"/>
      <c r="Q45" s="2"/>
      <c r="R45" s="6">
        <f t="shared" si="34"/>
        <v>0</v>
      </c>
      <c r="S45" s="2"/>
      <c r="T45" s="7">
        <v>718</v>
      </c>
      <c r="U45" s="2"/>
      <c r="V45" s="6">
        <f t="shared" si="35"/>
        <v>8.0027641859583814E-3</v>
      </c>
      <c r="W45" s="2"/>
      <c r="X45" s="7">
        <f t="shared" si="36"/>
        <v>-718</v>
      </c>
      <c r="Y45" s="2"/>
      <c r="Z45" s="6">
        <f t="shared" si="37"/>
        <v>-1</v>
      </c>
    </row>
    <row r="46" spans="1:26" s="28" customFormat="1" outlineLevel="1" collapsed="1" x14ac:dyDescent="0.25">
      <c r="A46" s="27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0</v>
      </c>
      <c r="E46" s="1"/>
      <c r="F46" s="5">
        <f t="shared" si="30"/>
        <v>0</v>
      </c>
      <c r="G46" s="1"/>
      <c r="H46" s="1">
        <f>SUM(OSRRefH22_3x_0)</f>
        <v>8</v>
      </c>
      <c r="I46" s="1"/>
      <c r="J46" s="5">
        <f t="shared" si="31"/>
        <v>6.2344139650872816E-4</v>
      </c>
      <c r="K46" s="1"/>
      <c r="L46" s="1">
        <f t="shared" si="32"/>
        <v>-8</v>
      </c>
      <c r="M46" s="1"/>
      <c r="N46" s="5">
        <f t="shared" si="33"/>
        <v>-1</v>
      </c>
      <c r="O46" s="14"/>
      <c r="P46" s="1">
        <f>SUM(OSRRefP22_3x_0)</f>
        <v>0</v>
      </c>
      <c r="Q46" s="1"/>
      <c r="R46" s="5">
        <f t="shared" si="34"/>
        <v>0</v>
      </c>
      <c r="S46" s="1"/>
      <c r="T46" s="1">
        <f>SUM(OSRRefT22_3x_0)</f>
        <v>54</v>
      </c>
      <c r="U46" s="1"/>
      <c r="V46" s="5">
        <f t="shared" si="35"/>
        <v>6.0187920061525427E-4</v>
      </c>
      <c r="W46" s="1"/>
      <c r="X46" s="1">
        <f t="shared" si="36"/>
        <v>-54</v>
      </c>
      <c r="Y46" s="1"/>
      <c r="Z46" s="5">
        <f t="shared" si="37"/>
        <v>-1</v>
      </c>
    </row>
    <row r="47" spans="1:26" s="24" customFormat="1" hidden="1" outlineLevel="2" x14ac:dyDescent="0.25">
      <c r="A47" s="29"/>
      <c r="B47" s="11" t="str">
        <f>CONCATENATE("          ", "6272", " - ", "CASH (OVER/SHORT)")</f>
        <v xml:space="preserve">          6272 - CASH (OVER/SHORT)</v>
      </c>
      <c r="C47" s="11"/>
      <c r="D47" s="7"/>
      <c r="E47" s="2"/>
      <c r="F47" s="6">
        <f t="shared" si="30"/>
        <v>0</v>
      </c>
      <c r="G47" s="2"/>
      <c r="H47" s="7">
        <v>8</v>
      </c>
      <c r="I47" s="2"/>
      <c r="J47" s="6">
        <f t="shared" si="31"/>
        <v>6.2344139650872816E-4</v>
      </c>
      <c r="K47" s="2"/>
      <c r="L47" s="7">
        <f t="shared" si="32"/>
        <v>-8</v>
      </c>
      <c r="M47" s="2"/>
      <c r="N47" s="6">
        <f t="shared" si="33"/>
        <v>-1</v>
      </c>
      <c r="O47" s="11"/>
      <c r="P47" s="7"/>
      <c r="Q47" s="2"/>
      <c r="R47" s="6">
        <f t="shared" si="34"/>
        <v>0</v>
      </c>
      <c r="S47" s="2"/>
      <c r="T47" s="7">
        <v>54</v>
      </c>
      <c r="U47" s="2"/>
      <c r="V47" s="6">
        <f t="shared" si="35"/>
        <v>6.0187920061525427E-4</v>
      </c>
      <c r="W47" s="2"/>
      <c r="X47" s="7">
        <f t="shared" si="36"/>
        <v>-54</v>
      </c>
      <c r="Y47" s="2"/>
      <c r="Z47" s="6">
        <f t="shared" si="37"/>
        <v>-1</v>
      </c>
    </row>
    <row r="48" spans="1:26" s="28" customFormat="1" outlineLevel="1" collapsed="1" x14ac:dyDescent="0.25">
      <c r="A48" s="27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0</v>
      </c>
      <c r="E48" s="1"/>
      <c r="F48" s="5">
        <f t="shared" si="30"/>
        <v>0</v>
      </c>
      <c r="G48" s="1"/>
      <c r="H48" s="1">
        <f>SUM(OSRRefH22_4x_0)</f>
        <v>1749</v>
      </c>
      <c r="I48" s="1"/>
      <c r="J48" s="5">
        <f t="shared" si="31"/>
        <v>0.13629987531172069</v>
      </c>
      <c r="K48" s="1"/>
      <c r="L48" s="1">
        <f t="shared" si="32"/>
        <v>-1749</v>
      </c>
      <c r="M48" s="1"/>
      <c r="N48" s="5">
        <f t="shared" si="33"/>
        <v>-1</v>
      </c>
      <c r="O48" s="14"/>
      <c r="P48" s="1">
        <f>SUM(OSRRefP22_4x_0)</f>
        <v>0</v>
      </c>
      <c r="Q48" s="1"/>
      <c r="R48" s="5">
        <f t="shared" si="34"/>
        <v>0</v>
      </c>
      <c r="S48" s="1"/>
      <c r="T48" s="1">
        <f>SUM(OSRRefT22_4x_0)</f>
        <v>14336</v>
      </c>
      <c r="U48" s="1"/>
      <c r="V48" s="5">
        <f t="shared" si="35"/>
        <v>0.1597877818522275</v>
      </c>
      <c r="W48" s="1"/>
      <c r="X48" s="1">
        <f t="shared" si="36"/>
        <v>-14336</v>
      </c>
      <c r="Y48" s="1"/>
      <c r="Z48" s="5">
        <f t="shared" si="37"/>
        <v>-1</v>
      </c>
    </row>
    <row r="49" spans="1:26" s="24" customFormat="1" hidden="1" outlineLevel="2" x14ac:dyDescent="0.25">
      <c r="A49" s="29"/>
      <c r="B49" s="11" t="str">
        <f>CONCATENATE("          ", "6381", " - ", "BANK/CREDIT CARD FEES")</f>
        <v xml:space="preserve">          6381 - BANK/CREDIT CARD FEES</v>
      </c>
      <c r="C49" s="11"/>
      <c r="D49" s="7"/>
      <c r="E49" s="2"/>
      <c r="F49" s="6">
        <f t="shared" si="30"/>
        <v>0</v>
      </c>
      <c r="G49" s="2"/>
      <c r="H49" s="7">
        <v>1749</v>
      </c>
      <c r="I49" s="2"/>
      <c r="J49" s="6">
        <f t="shared" si="31"/>
        <v>0.13629987531172069</v>
      </c>
      <c r="K49" s="2"/>
      <c r="L49" s="7">
        <f t="shared" si="32"/>
        <v>-1749</v>
      </c>
      <c r="M49" s="2"/>
      <c r="N49" s="6">
        <f t="shared" si="33"/>
        <v>-1</v>
      </c>
      <c r="O49" s="11"/>
      <c r="P49" s="7"/>
      <c r="Q49" s="2"/>
      <c r="R49" s="6">
        <f t="shared" si="34"/>
        <v>0</v>
      </c>
      <c r="S49" s="2"/>
      <c r="T49" s="7">
        <v>14336</v>
      </c>
      <c r="U49" s="2"/>
      <c r="V49" s="6">
        <f t="shared" si="35"/>
        <v>0.1597877818522275</v>
      </c>
      <c r="W49" s="2"/>
      <c r="X49" s="7">
        <f t="shared" si="36"/>
        <v>-14336</v>
      </c>
      <c r="Y49" s="2"/>
      <c r="Z49" s="6">
        <f t="shared" si="37"/>
        <v>-1</v>
      </c>
    </row>
    <row r="50" spans="1:26" s="28" customFormat="1" outlineLevel="1" collapsed="1" x14ac:dyDescent="0.25">
      <c r="A50" s="27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5471.21</v>
      </c>
      <c r="E50" s="1"/>
      <c r="F50" s="5">
        <f t="shared" si="30"/>
        <v>0</v>
      </c>
      <c r="G50" s="1"/>
      <c r="H50" s="1">
        <f>SUM(OSRRefH22_5x_0)</f>
        <v>5471</v>
      </c>
      <c r="I50" s="1"/>
      <c r="J50" s="5">
        <f t="shared" si="31"/>
        <v>0.42635598503740646</v>
      </c>
      <c r="K50" s="1"/>
      <c r="L50" s="1">
        <f t="shared" si="32"/>
        <v>0.21000000000003638</v>
      </c>
      <c r="M50" s="1"/>
      <c r="N50" s="5">
        <f t="shared" si="33"/>
        <v>3.8384207640291792E-5</v>
      </c>
      <c r="O50" s="14"/>
      <c r="P50" s="1">
        <f>SUM(OSRRefP22_5x_0)</f>
        <v>33272.759999999995</v>
      </c>
      <c r="Q50" s="1"/>
      <c r="R50" s="5">
        <f t="shared" si="34"/>
        <v>0</v>
      </c>
      <c r="S50" s="1"/>
      <c r="T50" s="1">
        <f>SUM(OSRRefT22_5x_0)</f>
        <v>33274</v>
      </c>
      <c r="U50" s="1"/>
      <c r="V50" s="5">
        <f t="shared" si="35"/>
        <v>0.37086904669022169</v>
      </c>
      <c r="W50" s="1"/>
      <c r="X50" s="1">
        <f t="shared" si="36"/>
        <v>-1.2400000000052387</v>
      </c>
      <c r="Y50" s="1"/>
      <c r="Z50" s="5">
        <f t="shared" si="37"/>
        <v>-3.7266334074810322E-5</v>
      </c>
    </row>
    <row r="51" spans="1:26" s="24" customFormat="1" hidden="1" outlineLevel="2" x14ac:dyDescent="0.25">
      <c r="A51" s="29"/>
      <c r="B51" s="11" t="str">
        <f>CONCATENATE("          ", "6321", " - ", "BUILDING DEPRECIATION")</f>
        <v xml:space="preserve">          6321 - BUILDING DEPRECIATION</v>
      </c>
      <c r="C51" s="11"/>
      <c r="D51" s="7">
        <v>5080.51</v>
      </c>
      <c r="E51" s="2"/>
      <c r="F51" s="6">
        <f t="shared" si="30"/>
        <v>0</v>
      </c>
      <c r="G51" s="2"/>
      <c r="H51" s="7"/>
      <c r="I51" s="2"/>
      <c r="J51" s="6">
        <f t="shared" si="31"/>
        <v>0</v>
      </c>
      <c r="K51" s="2"/>
      <c r="L51" s="7">
        <f t="shared" si="32"/>
        <v>5080.51</v>
      </c>
      <c r="M51" s="2"/>
      <c r="N51" s="6">
        <f t="shared" si="33"/>
        <v>0</v>
      </c>
      <c r="O51" s="11"/>
      <c r="P51" s="7">
        <v>30483.059999999998</v>
      </c>
      <c r="Q51" s="2"/>
      <c r="R51" s="6">
        <f t="shared" si="34"/>
        <v>0</v>
      </c>
      <c r="S51" s="2"/>
      <c r="T51" s="7"/>
      <c r="U51" s="2"/>
      <c r="V51" s="6">
        <f t="shared" si="35"/>
        <v>0</v>
      </c>
      <c r="W51" s="2"/>
      <c r="X51" s="7">
        <f t="shared" si="36"/>
        <v>30483.059999999998</v>
      </c>
      <c r="Y51" s="2"/>
      <c r="Z51" s="6">
        <f t="shared" si="37"/>
        <v>0</v>
      </c>
    </row>
    <row r="52" spans="1:26" s="24" customFormat="1" hidden="1" outlineLevel="2" x14ac:dyDescent="0.25">
      <c r="A52" s="29"/>
      <c r="B52" s="11" t="str">
        <f>CONCATENATE("          ", "6322", " - ", "EQUIPMENT DEPRECIATION EXPENSE")</f>
        <v xml:space="preserve">          6322 - EQUIPMENT DEPRECIATION EXPENSE</v>
      </c>
      <c r="C52" s="11"/>
      <c r="D52" s="7">
        <v>390.7</v>
      </c>
      <c r="E52" s="2"/>
      <c r="F52" s="6">
        <f t="shared" si="30"/>
        <v>0</v>
      </c>
      <c r="G52" s="2"/>
      <c r="H52" s="7">
        <v>5471</v>
      </c>
      <c r="I52" s="2"/>
      <c r="J52" s="6">
        <f t="shared" si="31"/>
        <v>0.42635598503740646</v>
      </c>
      <c r="K52" s="2"/>
      <c r="L52" s="7">
        <f t="shared" si="32"/>
        <v>-5080.3</v>
      </c>
      <c r="M52" s="2"/>
      <c r="N52" s="6">
        <f t="shared" si="33"/>
        <v>-0.92858709559495523</v>
      </c>
      <c r="O52" s="11"/>
      <c r="P52" s="7">
        <v>2789.7</v>
      </c>
      <c r="Q52" s="2"/>
      <c r="R52" s="6">
        <f t="shared" si="34"/>
        <v>0</v>
      </c>
      <c r="S52" s="2"/>
      <c r="T52" s="7">
        <v>33274</v>
      </c>
      <c r="U52" s="2"/>
      <c r="V52" s="6">
        <f t="shared" si="35"/>
        <v>0.37086904669022169</v>
      </c>
      <c r="W52" s="2"/>
      <c r="X52" s="7">
        <f t="shared" si="36"/>
        <v>-30484.3</v>
      </c>
      <c r="Y52" s="2"/>
      <c r="Z52" s="6">
        <f t="shared" si="37"/>
        <v>-0.91615976438059743</v>
      </c>
    </row>
    <row r="53" spans="1:26" s="28" customFormat="1" outlineLevel="1" collapsed="1" x14ac:dyDescent="0.25">
      <c r="A53" s="27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SUM(OSRRefD22_6x_0)</f>
        <v>0</v>
      </c>
      <c r="E53" s="1"/>
      <c r="F53" s="5">
        <f t="shared" ref="F53:F67" si="38">IF(D$12=0,0,D53/D$12)</f>
        <v>0</v>
      </c>
      <c r="G53" s="1"/>
      <c r="H53" s="1">
        <f>SUM(OSRRefH22_6x_0)</f>
        <v>50</v>
      </c>
      <c r="I53" s="1"/>
      <c r="J53" s="5">
        <f t="shared" ref="J53:J67" si="39">IF(H$12=0,0,H53/H$12)</f>
        <v>3.8965087281795513E-3</v>
      </c>
      <c r="K53" s="1"/>
      <c r="L53" s="1">
        <f t="shared" ref="L53:L67" si="40">+D53-H53</f>
        <v>-50</v>
      </c>
      <c r="M53" s="1"/>
      <c r="N53" s="5">
        <f t="shared" ref="N53:N67" si="41">IF(H53=0,0,L53/H53)</f>
        <v>-1</v>
      </c>
      <c r="O53" s="14"/>
      <c r="P53" s="1">
        <f>SUM(OSRRefP22_6x_0)</f>
        <v>0</v>
      </c>
      <c r="Q53" s="1"/>
      <c r="R53" s="5">
        <f t="shared" ref="R53:R67" si="42">IF(P$12=0,0,P53/P$12)</f>
        <v>0</v>
      </c>
      <c r="S53" s="1"/>
      <c r="T53" s="1">
        <f>SUM(OSRRefT22_6x_0)</f>
        <v>50</v>
      </c>
      <c r="U53" s="1"/>
      <c r="V53" s="5">
        <f t="shared" ref="V53:V67" si="43">IF(T$12=0,0,T53/T$12)</f>
        <v>5.5729555612523546E-4</v>
      </c>
      <c r="W53" s="1"/>
      <c r="X53" s="1">
        <f t="shared" ref="X53:X67" si="44">+P53-T53</f>
        <v>-50</v>
      </c>
      <c r="Y53" s="1"/>
      <c r="Z53" s="5">
        <f t="shared" ref="Z53:Z67" si="45">IF(T53=0,0,X53/T53)</f>
        <v>-1</v>
      </c>
    </row>
    <row r="54" spans="1:26" s="24" customFormat="1" hidden="1" outlineLevel="2" x14ac:dyDescent="0.25">
      <c r="A54" s="29"/>
      <c r="B54" s="11" t="str">
        <f>CONCATENATE("          ", "6277", " - ", "EMPLOYEE APPRECIATION")</f>
        <v xml:space="preserve">          6277 - EMPLOYEE APPRECIATION</v>
      </c>
      <c r="C54" s="11"/>
      <c r="D54" s="7"/>
      <c r="E54" s="2"/>
      <c r="F54" s="6">
        <f t="shared" si="38"/>
        <v>0</v>
      </c>
      <c r="G54" s="2"/>
      <c r="H54" s="7">
        <v>50</v>
      </c>
      <c r="I54" s="2"/>
      <c r="J54" s="6">
        <f t="shared" si="39"/>
        <v>3.8965087281795513E-3</v>
      </c>
      <c r="K54" s="2"/>
      <c r="L54" s="7">
        <f t="shared" si="40"/>
        <v>-50</v>
      </c>
      <c r="M54" s="2"/>
      <c r="N54" s="6">
        <f t="shared" si="41"/>
        <v>-1</v>
      </c>
      <c r="O54" s="11"/>
      <c r="P54" s="7"/>
      <c r="Q54" s="2"/>
      <c r="R54" s="6">
        <f t="shared" si="42"/>
        <v>0</v>
      </c>
      <c r="S54" s="2"/>
      <c r="T54" s="7">
        <v>50</v>
      </c>
      <c r="U54" s="2"/>
      <c r="V54" s="6">
        <f t="shared" si="43"/>
        <v>5.5729555612523546E-4</v>
      </c>
      <c r="W54" s="2"/>
      <c r="X54" s="7">
        <f t="shared" si="44"/>
        <v>-50</v>
      </c>
      <c r="Y54" s="2"/>
      <c r="Z54" s="6">
        <f t="shared" si="45"/>
        <v>-1</v>
      </c>
    </row>
    <row r="55" spans="1:26" s="28" customFormat="1" outlineLevel="1" collapsed="1" x14ac:dyDescent="0.25">
      <c r="A55" s="27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SUM(OSRRefD22_7x_0)</f>
        <v>76.150000000000006</v>
      </c>
      <c r="E55" s="1"/>
      <c r="F55" s="5">
        <f t="shared" si="38"/>
        <v>0</v>
      </c>
      <c r="G55" s="1"/>
      <c r="H55" s="1">
        <f>SUM(OSRRefH22_7x_0)</f>
        <v>146</v>
      </c>
      <c r="I55" s="1"/>
      <c r="J55" s="5">
        <f t="shared" si="39"/>
        <v>1.137780548628429E-2</v>
      </c>
      <c r="K55" s="1"/>
      <c r="L55" s="1">
        <f t="shared" si="40"/>
        <v>-69.849999999999994</v>
      </c>
      <c r="M55" s="1"/>
      <c r="N55" s="5">
        <f t="shared" si="41"/>
        <v>-0.47842465753424651</v>
      </c>
      <c r="O55" s="14"/>
      <c r="P55" s="1">
        <f>SUM(OSRRefP22_7x_0)</f>
        <v>76.150000000000006</v>
      </c>
      <c r="Q55" s="1"/>
      <c r="R55" s="5">
        <f t="shared" si="42"/>
        <v>0</v>
      </c>
      <c r="S55" s="1"/>
      <c r="T55" s="1">
        <f>SUM(OSRRefT22_7x_0)</f>
        <v>438</v>
      </c>
      <c r="U55" s="1"/>
      <c r="V55" s="5">
        <f t="shared" si="43"/>
        <v>4.8819090716570625E-3</v>
      </c>
      <c r="W55" s="1"/>
      <c r="X55" s="1">
        <f t="shared" si="44"/>
        <v>-361.85</v>
      </c>
      <c r="Y55" s="1"/>
      <c r="Z55" s="5">
        <f t="shared" si="45"/>
        <v>-0.82614155251141552</v>
      </c>
    </row>
    <row r="56" spans="1:26" s="24" customFormat="1" hidden="1" outlineLevel="2" x14ac:dyDescent="0.25">
      <c r="A56" s="29"/>
      <c r="B56" s="11" t="str">
        <f>CONCATENATE("          ", "6351", " - ", "EQUIPMENT RENTAL")</f>
        <v xml:space="preserve">          6351 - EQUIPMENT RENTAL</v>
      </c>
      <c r="C56" s="11"/>
      <c r="D56" s="7">
        <v>76.150000000000006</v>
      </c>
      <c r="E56" s="2"/>
      <c r="F56" s="6">
        <f t="shared" si="38"/>
        <v>0</v>
      </c>
      <c r="G56" s="2"/>
      <c r="H56" s="7">
        <v>146</v>
      </c>
      <c r="I56" s="2"/>
      <c r="J56" s="6">
        <f t="shared" si="39"/>
        <v>1.137780548628429E-2</v>
      </c>
      <c r="K56" s="2"/>
      <c r="L56" s="7">
        <f t="shared" si="40"/>
        <v>-69.849999999999994</v>
      </c>
      <c r="M56" s="2"/>
      <c r="N56" s="6">
        <f t="shared" si="41"/>
        <v>-0.47842465753424651</v>
      </c>
      <c r="O56" s="11"/>
      <c r="P56" s="7">
        <v>76.150000000000006</v>
      </c>
      <c r="Q56" s="2"/>
      <c r="R56" s="6">
        <f t="shared" si="42"/>
        <v>0</v>
      </c>
      <c r="S56" s="2"/>
      <c r="T56" s="7">
        <v>438</v>
      </c>
      <c r="U56" s="2"/>
      <c r="V56" s="6">
        <f t="shared" si="43"/>
        <v>4.8819090716570625E-3</v>
      </c>
      <c r="W56" s="2"/>
      <c r="X56" s="7">
        <f t="shared" si="44"/>
        <v>-361.85</v>
      </c>
      <c r="Y56" s="2"/>
      <c r="Z56" s="6">
        <f t="shared" si="45"/>
        <v>-0.82614155251141552</v>
      </c>
    </row>
    <row r="57" spans="1:26" s="28" customFormat="1" outlineLevel="1" collapsed="1" x14ac:dyDescent="0.25">
      <c r="A57" s="27"/>
      <c r="B57" s="14" t="str">
        <f>CONCATENATE("     ","General                                           ")</f>
        <v xml:space="preserve">     General                                           </v>
      </c>
      <c r="C57" s="14"/>
      <c r="D57" s="1">
        <f>SUM(OSRRefD22_8x_0)</f>
        <v>160</v>
      </c>
      <c r="E57" s="1"/>
      <c r="F57" s="5">
        <f t="shared" si="38"/>
        <v>0</v>
      </c>
      <c r="G57" s="1"/>
      <c r="H57" s="1">
        <f>SUM(OSRRefH22_8x_0)</f>
        <v>0</v>
      </c>
      <c r="I57" s="1"/>
      <c r="J57" s="5">
        <f t="shared" si="39"/>
        <v>0</v>
      </c>
      <c r="K57" s="1"/>
      <c r="L57" s="1">
        <f t="shared" si="40"/>
        <v>160</v>
      </c>
      <c r="M57" s="1"/>
      <c r="N57" s="5">
        <f t="shared" si="41"/>
        <v>0</v>
      </c>
      <c r="O57" s="14"/>
      <c r="P57" s="1">
        <f>SUM(OSRRefP22_8x_0)</f>
        <v>914.55</v>
      </c>
      <c r="Q57" s="1"/>
      <c r="R57" s="5">
        <f t="shared" si="42"/>
        <v>0</v>
      </c>
      <c r="S57" s="1"/>
      <c r="T57" s="1">
        <f>SUM(OSRRefT22_8x_0)</f>
        <v>800</v>
      </c>
      <c r="U57" s="1"/>
      <c r="V57" s="5">
        <f t="shared" si="43"/>
        <v>8.9167288980037673E-3</v>
      </c>
      <c r="W57" s="1"/>
      <c r="X57" s="1">
        <f t="shared" si="44"/>
        <v>114.54999999999995</v>
      </c>
      <c r="Y57" s="1"/>
      <c r="Z57" s="5">
        <f t="shared" si="45"/>
        <v>0.14318749999999994</v>
      </c>
    </row>
    <row r="58" spans="1:26" s="24" customFormat="1" hidden="1" outlineLevel="2" x14ac:dyDescent="0.25">
      <c r="A58" s="29"/>
      <c r="B58" s="11" t="str">
        <f>CONCATENATE("          ", "6279", " - ", "GENERAL EXPENSE")</f>
        <v xml:space="preserve">          6279 - GENERAL EXPENSE</v>
      </c>
      <c r="C58" s="11"/>
      <c r="D58" s="7">
        <v>160</v>
      </c>
      <c r="E58" s="2"/>
      <c r="F58" s="6">
        <f t="shared" si="38"/>
        <v>0</v>
      </c>
      <c r="G58" s="2"/>
      <c r="H58" s="7"/>
      <c r="I58" s="2"/>
      <c r="J58" s="6">
        <f t="shared" si="39"/>
        <v>0</v>
      </c>
      <c r="K58" s="2"/>
      <c r="L58" s="7">
        <f t="shared" si="40"/>
        <v>160</v>
      </c>
      <c r="M58" s="2"/>
      <c r="N58" s="6">
        <f t="shared" si="41"/>
        <v>0</v>
      </c>
      <c r="O58" s="11"/>
      <c r="P58" s="7">
        <v>914.55</v>
      </c>
      <c r="Q58" s="2"/>
      <c r="R58" s="6">
        <f t="shared" si="42"/>
        <v>0</v>
      </c>
      <c r="S58" s="2"/>
      <c r="T58" s="7">
        <v>800</v>
      </c>
      <c r="U58" s="2"/>
      <c r="V58" s="6">
        <f t="shared" si="43"/>
        <v>8.9167288980037673E-3</v>
      </c>
      <c r="W58" s="2"/>
      <c r="X58" s="7">
        <f t="shared" si="44"/>
        <v>114.54999999999995</v>
      </c>
      <c r="Y58" s="2"/>
      <c r="Z58" s="6">
        <f t="shared" si="45"/>
        <v>0.14318749999999994</v>
      </c>
    </row>
    <row r="59" spans="1:26" s="28" customFormat="1" outlineLevel="1" collapsed="1" x14ac:dyDescent="0.25">
      <c r="A59" s="27"/>
      <c r="B59" s="14" t="str">
        <f>CONCATENATE("     ","Insurance                                         ")</f>
        <v xml:space="preserve">     Insurance                                         </v>
      </c>
      <c r="C59" s="14"/>
      <c r="D59" s="1">
        <f>SUM(OSRRefD22_9x_0)</f>
        <v>243.54</v>
      </c>
      <c r="E59" s="1"/>
      <c r="F59" s="5">
        <f t="shared" si="38"/>
        <v>0</v>
      </c>
      <c r="G59" s="1"/>
      <c r="H59" s="1">
        <f>SUM(OSRRefH22_9x_0)</f>
        <v>270</v>
      </c>
      <c r="I59" s="1"/>
      <c r="J59" s="5">
        <f t="shared" si="39"/>
        <v>2.1041147132169577E-2</v>
      </c>
      <c r="K59" s="1"/>
      <c r="L59" s="1">
        <f t="shared" si="40"/>
        <v>-26.460000000000008</v>
      </c>
      <c r="M59" s="1"/>
      <c r="N59" s="5">
        <f t="shared" si="41"/>
        <v>-9.8000000000000032E-2</v>
      </c>
      <c r="O59" s="14"/>
      <c r="P59" s="1">
        <f>SUM(OSRRefP22_9x_0)</f>
        <v>1461.24</v>
      </c>
      <c r="Q59" s="1"/>
      <c r="R59" s="5">
        <f t="shared" si="42"/>
        <v>0</v>
      </c>
      <c r="S59" s="1"/>
      <c r="T59" s="1">
        <f>SUM(OSRRefT22_9x_0)</f>
        <v>1620</v>
      </c>
      <c r="U59" s="1"/>
      <c r="V59" s="5">
        <f t="shared" si="43"/>
        <v>1.805637601845763E-2</v>
      </c>
      <c r="W59" s="1"/>
      <c r="X59" s="1">
        <f t="shared" si="44"/>
        <v>-158.76</v>
      </c>
      <c r="Y59" s="1"/>
      <c r="Z59" s="5">
        <f t="shared" si="45"/>
        <v>-9.799999999999999E-2</v>
      </c>
    </row>
    <row r="60" spans="1:26" s="24" customFormat="1" hidden="1" outlineLevel="2" x14ac:dyDescent="0.25">
      <c r="A60" s="29"/>
      <c r="B60" s="11" t="str">
        <f>CONCATENATE("          ", "6314", " - ", "LIABILITY INSURANCE")</f>
        <v xml:space="preserve">          6314 - LIABILITY INSURANCE</v>
      </c>
      <c r="C60" s="11"/>
      <c r="D60" s="7">
        <v>243.54</v>
      </c>
      <c r="E60" s="2"/>
      <c r="F60" s="6">
        <f t="shared" si="38"/>
        <v>0</v>
      </c>
      <c r="G60" s="2"/>
      <c r="H60" s="7">
        <v>270</v>
      </c>
      <c r="I60" s="2"/>
      <c r="J60" s="6">
        <f t="shared" si="39"/>
        <v>2.1041147132169577E-2</v>
      </c>
      <c r="K60" s="2"/>
      <c r="L60" s="7">
        <f t="shared" si="40"/>
        <v>-26.460000000000008</v>
      </c>
      <c r="M60" s="2"/>
      <c r="N60" s="6">
        <f t="shared" si="41"/>
        <v>-9.8000000000000032E-2</v>
      </c>
      <c r="O60" s="11"/>
      <c r="P60" s="7">
        <v>1461.24</v>
      </c>
      <c r="Q60" s="2"/>
      <c r="R60" s="6">
        <f t="shared" si="42"/>
        <v>0</v>
      </c>
      <c r="S60" s="2"/>
      <c r="T60" s="7">
        <v>1620</v>
      </c>
      <c r="U60" s="2"/>
      <c r="V60" s="6">
        <f t="shared" si="43"/>
        <v>1.805637601845763E-2</v>
      </c>
      <c r="W60" s="2"/>
      <c r="X60" s="7">
        <f t="shared" si="44"/>
        <v>-158.76</v>
      </c>
      <c r="Y60" s="2"/>
      <c r="Z60" s="6">
        <f t="shared" si="45"/>
        <v>-9.799999999999999E-2</v>
      </c>
    </row>
    <row r="61" spans="1:26" s="28" customFormat="1" outlineLevel="1" collapsed="1" x14ac:dyDescent="0.25">
      <c r="A61" s="27"/>
      <c r="B61" s="14" t="str">
        <f>CONCATENATE("     ","Interest                                          ")</f>
        <v xml:space="preserve">     Interest                                          </v>
      </c>
      <c r="C61" s="14"/>
      <c r="D61" s="1">
        <f>SUM(OSRRefD22_10x_0)</f>
        <v>4044</v>
      </c>
      <c r="E61" s="1"/>
      <c r="F61" s="5">
        <f t="shared" si="38"/>
        <v>0</v>
      </c>
      <c r="G61" s="1"/>
      <c r="H61" s="1">
        <f>SUM(OSRRefH22_10x_0)</f>
        <v>4044</v>
      </c>
      <c r="I61" s="1"/>
      <c r="J61" s="5">
        <f t="shared" si="39"/>
        <v>0.3151496259351621</v>
      </c>
      <c r="K61" s="1"/>
      <c r="L61" s="1">
        <f t="shared" si="40"/>
        <v>0</v>
      </c>
      <c r="M61" s="1"/>
      <c r="N61" s="5">
        <f t="shared" si="41"/>
        <v>0</v>
      </c>
      <c r="O61" s="14"/>
      <c r="P61" s="1">
        <f>SUM(OSRRefP22_10x_0)</f>
        <v>24001.85</v>
      </c>
      <c r="Q61" s="1"/>
      <c r="R61" s="5">
        <f t="shared" si="42"/>
        <v>0</v>
      </c>
      <c r="S61" s="1"/>
      <c r="T61" s="1">
        <f>SUM(OSRRefT22_10x_0)</f>
        <v>24264</v>
      </c>
      <c r="U61" s="1"/>
      <c r="V61" s="5">
        <f t="shared" si="43"/>
        <v>0.27044438747645427</v>
      </c>
      <c r="W61" s="1"/>
      <c r="X61" s="1">
        <f t="shared" si="44"/>
        <v>-262.15000000000146</v>
      </c>
      <c r="Y61" s="1"/>
      <c r="Z61" s="5">
        <f t="shared" si="45"/>
        <v>-1.0804071876030392E-2</v>
      </c>
    </row>
    <row r="62" spans="1:26" s="24" customFormat="1" hidden="1" outlineLevel="2" x14ac:dyDescent="0.25">
      <c r="A62" s="29"/>
      <c r="B62" s="11" t="str">
        <f>CONCATENATE("          ", "6401", " - ", "INTEREST EXPENSE")</f>
        <v xml:space="preserve">          6401 - INTEREST EXPENSE</v>
      </c>
      <c r="C62" s="11"/>
      <c r="D62" s="7">
        <v>4044</v>
      </c>
      <c r="E62" s="2"/>
      <c r="F62" s="6">
        <f t="shared" si="38"/>
        <v>0</v>
      </c>
      <c r="G62" s="2"/>
      <c r="H62" s="7">
        <v>4044</v>
      </c>
      <c r="I62" s="2"/>
      <c r="J62" s="6">
        <f t="shared" si="39"/>
        <v>0.3151496259351621</v>
      </c>
      <c r="K62" s="2"/>
      <c r="L62" s="7">
        <f t="shared" si="40"/>
        <v>0</v>
      </c>
      <c r="M62" s="2"/>
      <c r="N62" s="6">
        <f t="shared" si="41"/>
        <v>0</v>
      </c>
      <c r="O62" s="11"/>
      <c r="P62" s="7">
        <v>24001.85</v>
      </c>
      <c r="Q62" s="2"/>
      <c r="R62" s="6">
        <f t="shared" si="42"/>
        <v>0</v>
      </c>
      <c r="S62" s="2"/>
      <c r="T62" s="7">
        <v>24264</v>
      </c>
      <c r="U62" s="2"/>
      <c r="V62" s="6">
        <f t="shared" si="43"/>
        <v>0.27044438747645427</v>
      </c>
      <c r="W62" s="2"/>
      <c r="X62" s="7">
        <f t="shared" si="44"/>
        <v>-262.15000000000146</v>
      </c>
      <c r="Y62" s="2"/>
      <c r="Z62" s="6">
        <f t="shared" si="45"/>
        <v>-1.0804071876030392E-2</v>
      </c>
    </row>
    <row r="63" spans="1:26" s="28" customFormat="1" outlineLevel="1" collapsed="1" x14ac:dyDescent="0.25">
      <c r="A63" s="27"/>
      <c r="B63" s="14" t="str">
        <f>CONCATENATE("     ","Repair and Maintenance                            ")</f>
        <v xml:space="preserve">     Repair and Maintenance                            </v>
      </c>
      <c r="C63" s="14"/>
      <c r="D63" s="1">
        <f>SUM(OSRRefD22_11x_0)</f>
        <v>108.52</v>
      </c>
      <c r="E63" s="1"/>
      <c r="F63" s="5">
        <f t="shared" si="38"/>
        <v>0</v>
      </c>
      <c r="G63" s="1"/>
      <c r="H63" s="1">
        <f>SUM(OSRRefH22_11x_0)</f>
        <v>293</v>
      </c>
      <c r="I63" s="1"/>
      <c r="J63" s="5">
        <f t="shared" si="39"/>
        <v>2.283354114713217E-2</v>
      </c>
      <c r="K63" s="1"/>
      <c r="L63" s="1">
        <f t="shared" si="40"/>
        <v>-184.48000000000002</v>
      </c>
      <c r="M63" s="1"/>
      <c r="N63" s="5">
        <f t="shared" si="41"/>
        <v>-0.6296245733788397</v>
      </c>
      <c r="O63" s="14"/>
      <c r="P63" s="1">
        <f>SUM(OSRRefP22_11x_0)</f>
        <v>295.64</v>
      </c>
      <c r="Q63" s="1"/>
      <c r="R63" s="5">
        <f t="shared" si="42"/>
        <v>0</v>
      </c>
      <c r="S63" s="1"/>
      <c r="T63" s="1">
        <f>SUM(OSRRefT22_11x_0)</f>
        <v>1035</v>
      </c>
      <c r="U63" s="1"/>
      <c r="V63" s="5">
        <f t="shared" si="43"/>
        <v>1.1536018011792375E-2</v>
      </c>
      <c r="W63" s="1"/>
      <c r="X63" s="1">
        <f t="shared" si="44"/>
        <v>-739.36</v>
      </c>
      <c r="Y63" s="1"/>
      <c r="Z63" s="5">
        <f t="shared" si="45"/>
        <v>-0.71435748792270537</v>
      </c>
    </row>
    <row r="64" spans="1:26" s="24" customFormat="1" hidden="1" outlineLevel="2" x14ac:dyDescent="0.25">
      <c r="A64" s="29"/>
      <c r="B64" s="11" t="str">
        <f>CONCATENATE("          ", "6371", " - ", "COMPUTER SOFTWARE MAINTENANCE")</f>
        <v xml:space="preserve">          6371 - COMPUTER SOFTWARE MAINTENANCE</v>
      </c>
      <c r="C64" s="11"/>
      <c r="D64" s="7"/>
      <c r="E64" s="2"/>
      <c r="F64" s="6">
        <f t="shared" si="38"/>
        <v>0</v>
      </c>
      <c r="G64" s="2"/>
      <c r="H64" s="7"/>
      <c r="I64" s="2"/>
      <c r="J64" s="6">
        <f t="shared" si="39"/>
        <v>0</v>
      </c>
      <c r="K64" s="2"/>
      <c r="L64" s="7">
        <f t="shared" si="40"/>
        <v>0</v>
      </c>
      <c r="M64" s="2"/>
      <c r="N64" s="6">
        <f t="shared" si="41"/>
        <v>0</v>
      </c>
      <c r="O64" s="11"/>
      <c r="P64" s="7"/>
      <c r="Q64" s="2"/>
      <c r="R64" s="6">
        <f t="shared" si="42"/>
        <v>0</v>
      </c>
      <c r="S64" s="2"/>
      <c r="T64" s="7">
        <v>43</v>
      </c>
      <c r="U64" s="2"/>
      <c r="V64" s="6">
        <f t="shared" si="43"/>
        <v>4.7927417826770249E-4</v>
      </c>
      <c r="W64" s="2"/>
      <c r="X64" s="7">
        <f t="shared" si="44"/>
        <v>-43</v>
      </c>
      <c r="Y64" s="2"/>
      <c r="Z64" s="6">
        <f t="shared" si="45"/>
        <v>-1</v>
      </c>
    </row>
    <row r="65" spans="1:26" s="24" customFormat="1" hidden="1" outlineLevel="2" x14ac:dyDescent="0.25">
      <c r="A65" s="29"/>
      <c r="B65" s="11" t="str">
        <f>CONCATENATE("          ", "6372", " - ", "COMPUTER HARDWARE MAINTENANCE")</f>
        <v xml:space="preserve">          6372 - COMPUTER HARDWARE MAINTENANCE</v>
      </c>
      <c r="C65" s="11"/>
      <c r="D65" s="7"/>
      <c r="E65" s="2"/>
      <c r="F65" s="6">
        <f t="shared" si="38"/>
        <v>0</v>
      </c>
      <c r="G65" s="2"/>
      <c r="H65" s="7"/>
      <c r="I65" s="2"/>
      <c r="J65" s="6">
        <f t="shared" si="39"/>
        <v>0</v>
      </c>
      <c r="K65" s="2"/>
      <c r="L65" s="7">
        <f t="shared" si="40"/>
        <v>0</v>
      </c>
      <c r="M65" s="2"/>
      <c r="N65" s="6">
        <f t="shared" si="41"/>
        <v>0</v>
      </c>
      <c r="O65" s="11"/>
      <c r="P65" s="7"/>
      <c r="Q65" s="2"/>
      <c r="R65" s="6">
        <f t="shared" si="42"/>
        <v>0</v>
      </c>
      <c r="S65" s="2"/>
      <c r="T65" s="7">
        <v>437</v>
      </c>
      <c r="U65" s="2"/>
      <c r="V65" s="6">
        <f t="shared" si="43"/>
        <v>4.870763160534558E-3</v>
      </c>
      <c r="W65" s="2"/>
      <c r="X65" s="7">
        <f t="shared" si="44"/>
        <v>-437</v>
      </c>
      <c r="Y65" s="2"/>
      <c r="Z65" s="6">
        <f t="shared" si="45"/>
        <v>-1</v>
      </c>
    </row>
    <row r="66" spans="1:26" s="24" customFormat="1" hidden="1" outlineLevel="2" x14ac:dyDescent="0.25">
      <c r="A66" s="29"/>
      <c r="B66" s="11" t="str">
        <f>CONCATENATE("          ", "6373", " - ", "MAINTENANCE CONTRACTS")</f>
        <v xml:space="preserve">          6373 - MAINTENANCE CONTRACTS</v>
      </c>
      <c r="C66" s="11"/>
      <c r="D66" s="7">
        <v>108.52</v>
      </c>
      <c r="E66" s="2"/>
      <c r="F66" s="6">
        <f t="shared" si="38"/>
        <v>0</v>
      </c>
      <c r="G66" s="2"/>
      <c r="H66" s="7">
        <v>107</v>
      </c>
      <c r="I66" s="2"/>
      <c r="J66" s="6">
        <f t="shared" si="39"/>
        <v>8.3385286783042387E-3</v>
      </c>
      <c r="K66" s="2"/>
      <c r="L66" s="7">
        <f t="shared" si="40"/>
        <v>1.519999999999996</v>
      </c>
      <c r="M66" s="2"/>
      <c r="N66" s="6">
        <f t="shared" si="41"/>
        <v>1.4205607476635476E-2</v>
      </c>
      <c r="O66" s="11"/>
      <c r="P66" s="7">
        <v>295.64</v>
      </c>
      <c r="Q66" s="2"/>
      <c r="R66" s="6">
        <f t="shared" si="42"/>
        <v>0</v>
      </c>
      <c r="S66" s="2"/>
      <c r="T66" s="7">
        <v>210</v>
      </c>
      <c r="U66" s="2"/>
      <c r="V66" s="6">
        <f t="shared" si="43"/>
        <v>2.3406413357259888E-3</v>
      </c>
      <c r="W66" s="2"/>
      <c r="X66" s="7">
        <f t="shared" si="44"/>
        <v>85.639999999999986</v>
      </c>
      <c r="Y66" s="2"/>
      <c r="Z66" s="6">
        <f t="shared" si="45"/>
        <v>0.40780952380952373</v>
      </c>
    </row>
    <row r="67" spans="1:26" s="24" customFormat="1" hidden="1" outlineLevel="2" x14ac:dyDescent="0.25">
      <c r="A67" s="29"/>
      <c r="B67" s="11" t="str">
        <f>CONCATENATE("          ", "6375", " - ", "OUTSIDE REPAIRS &amp; MAINTENANCE")</f>
        <v xml:space="preserve">          6375 - OUTSIDE REPAIRS &amp; MAINTENANCE</v>
      </c>
      <c r="C67" s="11"/>
      <c r="D67" s="7"/>
      <c r="E67" s="2"/>
      <c r="F67" s="6">
        <f t="shared" si="38"/>
        <v>0</v>
      </c>
      <c r="G67" s="2"/>
      <c r="H67" s="7">
        <v>186</v>
      </c>
      <c r="I67" s="2"/>
      <c r="J67" s="6">
        <f t="shared" si="39"/>
        <v>1.4495012468827929E-2</v>
      </c>
      <c r="K67" s="2"/>
      <c r="L67" s="7">
        <f t="shared" si="40"/>
        <v>-186</v>
      </c>
      <c r="M67" s="2"/>
      <c r="N67" s="6">
        <f t="shared" si="41"/>
        <v>-1</v>
      </c>
      <c r="O67" s="11"/>
      <c r="P67" s="7"/>
      <c r="Q67" s="2"/>
      <c r="R67" s="6">
        <f t="shared" si="42"/>
        <v>0</v>
      </c>
      <c r="S67" s="2"/>
      <c r="T67" s="7">
        <v>345</v>
      </c>
      <c r="U67" s="2"/>
      <c r="V67" s="6">
        <f t="shared" si="43"/>
        <v>3.8453393372641247E-3</v>
      </c>
      <c r="W67" s="2"/>
      <c r="X67" s="7">
        <f t="shared" si="44"/>
        <v>-345</v>
      </c>
      <c r="Y67" s="2"/>
      <c r="Z67" s="6">
        <f t="shared" si="45"/>
        <v>-1</v>
      </c>
    </row>
    <row r="68" spans="1:26" s="28" customFormat="1" outlineLevel="1" collapsed="1" x14ac:dyDescent="0.25">
      <c r="A68" s="27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SUM(OSRRefD22_12x_0)</f>
        <v>289</v>
      </c>
      <c r="E68" s="1"/>
      <c r="F68" s="5">
        <f t="shared" ref="F68:F71" si="46">IF(D$12=0,0,D68/D$12)</f>
        <v>0</v>
      </c>
      <c r="G68" s="1"/>
      <c r="H68" s="1">
        <f>SUM(OSRRefH22_12x_0)</f>
        <v>1676</v>
      </c>
      <c r="I68" s="1"/>
      <c r="J68" s="5">
        <f t="shared" ref="J68:J71" si="47">IF(H$12=0,0,H68/H$12)</f>
        <v>0.13061097256857856</v>
      </c>
      <c r="K68" s="1"/>
      <c r="L68" s="1">
        <f t="shared" ref="L68:L71" si="48">+D68-H68</f>
        <v>-1387</v>
      </c>
      <c r="M68" s="1"/>
      <c r="N68" s="5">
        <f t="shared" ref="N68:N71" si="49">IF(H68=0,0,L68/H68)</f>
        <v>-0.82756563245823389</v>
      </c>
      <c r="O68" s="14"/>
      <c r="P68" s="1">
        <f>SUM(OSRRefP22_12x_0)</f>
        <v>578</v>
      </c>
      <c r="Q68" s="1"/>
      <c r="R68" s="5">
        <f t="shared" ref="R68:R71" si="50">IF(P$12=0,0,P68/P$12)</f>
        <v>0</v>
      </c>
      <c r="S68" s="1"/>
      <c r="T68" s="1">
        <f>SUM(OSRRefT22_12x_0)</f>
        <v>3419</v>
      </c>
      <c r="U68" s="1"/>
      <c r="V68" s="5">
        <f t="shared" ref="V68:V71" si="51">IF(T$12=0,0,T68/T$12)</f>
        <v>3.8107870127843599E-2</v>
      </c>
      <c r="W68" s="1"/>
      <c r="X68" s="1">
        <f t="shared" ref="X68:X71" si="52">+P68-T68</f>
        <v>-2841</v>
      </c>
      <c r="Y68" s="1"/>
      <c r="Z68" s="5">
        <f t="shared" ref="Z68:Z71" si="53">IF(T68=0,0,X68/T68)</f>
        <v>-0.83094472067856096</v>
      </c>
    </row>
    <row r="69" spans="1:26" s="24" customFormat="1" hidden="1" outlineLevel="2" x14ac:dyDescent="0.25">
      <c r="A69" s="29"/>
      <c r="B69" s="11" t="str">
        <f>CONCATENATE("          ", "6282", " - ", "JANITORIAL/EXTERMINATOR EXPENS")</f>
        <v xml:space="preserve">          6282 - JANITORIAL/EXTERMINATOR EXPENS</v>
      </c>
      <c r="C69" s="11"/>
      <c r="D69" s="7"/>
      <c r="E69" s="2"/>
      <c r="F69" s="6">
        <f t="shared" si="46"/>
        <v>0</v>
      </c>
      <c r="G69" s="2"/>
      <c r="H69" s="7">
        <v>787</v>
      </c>
      <c r="I69" s="2"/>
      <c r="J69" s="6">
        <f t="shared" si="47"/>
        <v>6.1331047381546135E-2</v>
      </c>
      <c r="K69" s="2"/>
      <c r="L69" s="7">
        <f t="shared" si="48"/>
        <v>-787</v>
      </c>
      <c r="M69" s="2"/>
      <c r="N69" s="6">
        <f t="shared" si="49"/>
        <v>-1</v>
      </c>
      <c r="O69" s="11"/>
      <c r="P69" s="7"/>
      <c r="Q69" s="2"/>
      <c r="R69" s="6">
        <f t="shared" si="50"/>
        <v>0</v>
      </c>
      <c r="S69" s="2"/>
      <c r="T69" s="7">
        <v>1101</v>
      </c>
      <c r="U69" s="2"/>
      <c r="V69" s="6">
        <f t="shared" si="51"/>
        <v>1.2271648145877685E-2</v>
      </c>
      <c r="W69" s="2"/>
      <c r="X69" s="7">
        <f t="shared" si="52"/>
        <v>-1101</v>
      </c>
      <c r="Y69" s="2"/>
      <c r="Z69" s="6">
        <f t="shared" si="53"/>
        <v>-1</v>
      </c>
    </row>
    <row r="70" spans="1:26" s="24" customFormat="1" hidden="1" outlineLevel="2" x14ac:dyDescent="0.25">
      <c r="A70" s="29"/>
      <c r="B70" s="11" t="str">
        <f>CONCATENATE("          ", "6284", " - ", "TRASH REMOVAL EXPENSE")</f>
        <v xml:space="preserve">          6284 - TRASH REMOVAL EXPENSE</v>
      </c>
      <c r="C70" s="11"/>
      <c r="D70" s="7">
        <v>289</v>
      </c>
      <c r="E70" s="2"/>
      <c r="F70" s="6">
        <f t="shared" si="46"/>
        <v>0</v>
      </c>
      <c r="G70" s="2"/>
      <c r="H70" s="7">
        <v>785</v>
      </c>
      <c r="I70" s="2"/>
      <c r="J70" s="6">
        <f t="shared" si="47"/>
        <v>6.1175187032418955E-2</v>
      </c>
      <c r="K70" s="2"/>
      <c r="L70" s="7">
        <f t="shared" si="48"/>
        <v>-496</v>
      </c>
      <c r="M70" s="2"/>
      <c r="N70" s="6">
        <f t="shared" si="49"/>
        <v>-0.63184713375796175</v>
      </c>
      <c r="O70" s="11"/>
      <c r="P70" s="7">
        <v>578</v>
      </c>
      <c r="Q70" s="2"/>
      <c r="R70" s="6">
        <f t="shared" si="50"/>
        <v>0</v>
      </c>
      <c r="S70" s="2"/>
      <c r="T70" s="7">
        <v>1733</v>
      </c>
      <c r="U70" s="2"/>
      <c r="V70" s="6">
        <f t="shared" si="51"/>
        <v>1.9315863975300662E-2</v>
      </c>
      <c r="W70" s="2"/>
      <c r="X70" s="7">
        <f t="shared" si="52"/>
        <v>-1155</v>
      </c>
      <c r="Y70" s="2"/>
      <c r="Z70" s="6">
        <f t="shared" si="53"/>
        <v>-0.66647432198499712</v>
      </c>
    </row>
    <row r="71" spans="1:26" s="24" customFormat="1" hidden="1" outlineLevel="2" x14ac:dyDescent="0.25">
      <c r="A71" s="29"/>
      <c r="B71" s="11" t="str">
        <f>CONCATENATE("          ", "6286", " - ", "LAUNDRY EXPENSE")</f>
        <v xml:space="preserve">          6286 - LAUNDRY EXPENSE</v>
      </c>
      <c r="C71" s="11"/>
      <c r="D71" s="7"/>
      <c r="E71" s="2"/>
      <c r="F71" s="6">
        <f t="shared" si="46"/>
        <v>0</v>
      </c>
      <c r="G71" s="2"/>
      <c r="H71" s="7">
        <v>104</v>
      </c>
      <c r="I71" s="2"/>
      <c r="J71" s="6">
        <f t="shared" si="47"/>
        <v>8.1047381546134663E-3</v>
      </c>
      <c r="K71" s="2"/>
      <c r="L71" s="7">
        <f t="shared" si="48"/>
        <v>-104</v>
      </c>
      <c r="M71" s="2"/>
      <c r="N71" s="6">
        <f t="shared" si="49"/>
        <v>-1</v>
      </c>
      <c r="O71" s="11"/>
      <c r="P71" s="7"/>
      <c r="Q71" s="2"/>
      <c r="R71" s="6">
        <f t="shared" si="50"/>
        <v>0</v>
      </c>
      <c r="S71" s="2"/>
      <c r="T71" s="7">
        <v>585</v>
      </c>
      <c r="U71" s="2"/>
      <c r="V71" s="6">
        <f t="shared" si="51"/>
        <v>6.5203580066652547E-3</v>
      </c>
      <c r="W71" s="2"/>
      <c r="X71" s="7">
        <f t="shared" si="52"/>
        <v>-585</v>
      </c>
      <c r="Y71" s="2"/>
      <c r="Z71" s="6">
        <f t="shared" si="53"/>
        <v>-1</v>
      </c>
    </row>
    <row r="72" spans="1:26" s="28" customFormat="1" outlineLevel="1" collapsed="1" x14ac:dyDescent="0.25">
      <c r="A72" s="27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SUM(OSRRefD22_13x_0)</f>
        <v>0</v>
      </c>
      <c r="E72" s="1"/>
      <c r="F72" s="5">
        <f t="shared" ref="F72:F79" si="54">IF(D$12=0,0,D72/D$12)</f>
        <v>0</v>
      </c>
      <c r="G72" s="1"/>
      <c r="H72" s="1">
        <f>SUM(OSRRefH22_13x_0)</f>
        <v>176</v>
      </c>
      <c r="I72" s="1"/>
      <c r="J72" s="5">
        <f t="shared" ref="J72:J79" si="55">IF(H$12=0,0,H72/H$12)</f>
        <v>1.3715710723192019E-2</v>
      </c>
      <c r="K72" s="1"/>
      <c r="L72" s="1">
        <f t="shared" ref="L72:L79" si="56">+D72-H72</f>
        <v>-176</v>
      </c>
      <c r="M72" s="1"/>
      <c r="N72" s="5">
        <f t="shared" ref="N72:N79" si="57">IF(H72=0,0,L72/H72)</f>
        <v>-1</v>
      </c>
      <c r="O72" s="14"/>
      <c r="P72" s="1">
        <f>SUM(OSRRefP22_13x_0)</f>
        <v>0</v>
      </c>
      <c r="Q72" s="1"/>
      <c r="R72" s="5">
        <f t="shared" ref="R72:R79" si="58">IF(P$12=0,0,P72/P$12)</f>
        <v>0</v>
      </c>
      <c r="S72" s="1"/>
      <c r="T72" s="1">
        <f>SUM(OSRRefT22_13x_0)</f>
        <v>1056</v>
      </c>
      <c r="U72" s="1"/>
      <c r="V72" s="5">
        <f t="shared" ref="V72:V79" si="59">IF(T$12=0,0,T72/T$12)</f>
        <v>1.1770082145364973E-2</v>
      </c>
      <c r="W72" s="1"/>
      <c r="X72" s="1">
        <f t="shared" ref="X72:X79" si="60">+P72-T72</f>
        <v>-1056</v>
      </c>
      <c r="Y72" s="1"/>
      <c r="Z72" s="5">
        <f t="shared" ref="Z72:Z79" si="61">IF(T72=0,0,X72/T72)</f>
        <v>-1</v>
      </c>
    </row>
    <row r="73" spans="1:26" s="24" customFormat="1" hidden="1" outlineLevel="2" x14ac:dyDescent="0.25">
      <c r="A73" s="29"/>
      <c r="B73" s="11" t="str">
        <f>CONCATENATE("          ", "6275", " - ", "SUBSCRIPTIONS")</f>
        <v xml:space="preserve">          6275 - SUBSCRIPTIONS</v>
      </c>
      <c r="C73" s="11"/>
      <c r="D73" s="7"/>
      <c r="E73" s="2"/>
      <c r="F73" s="6">
        <f t="shared" si="54"/>
        <v>0</v>
      </c>
      <c r="G73" s="2"/>
      <c r="H73" s="7">
        <v>176</v>
      </c>
      <c r="I73" s="2"/>
      <c r="J73" s="6">
        <f t="shared" si="55"/>
        <v>1.3715710723192019E-2</v>
      </c>
      <c r="K73" s="2"/>
      <c r="L73" s="7">
        <f t="shared" si="56"/>
        <v>-176</v>
      </c>
      <c r="M73" s="2"/>
      <c r="N73" s="6">
        <f t="shared" si="57"/>
        <v>-1</v>
      </c>
      <c r="O73" s="11"/>
      <c r="P73" s="7"/>
      <c r="Q73" s="2"/>
      <c r="R73" s="6">
        <f t="shared" si="58"/>
        <v>0</v>
      </c>
      <c r="S73" s="2"/>
      <c r="T73" s="7">
        <v>1056</v>
      </c>
      <c r="U73" s="2"/>
      <c r="V73" s="6">
        <f t="shared" si="59"/>
        <v>1.1770082145364973E-2</v>
      </c>
      <c r="W73" s="2"/>
      <c r="X73" s="7">
        <f t="shared" si="60"/>
        <v>-1056</v>
      </c>
      <c r="Y73" s="2"/>
      <c r="Z73" s="6">
        <f t="shared" si="61"/>
        <v>-1</v>
      </c>
    </row>
    <row r="74" spans="1:26" s="28" customFormat="1" outlineLevel="1" collapsed="1" x14ac:dyDescent="0.25">
      <c r="A74" s="27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SUM(OSRRefD22_14x_0)</f>
        <v>0</v>
      </c>
      <c r="E74" s="1"/>
      <c r="F74" s="5">
        <f t="shared" si="54"/>
        <v>0</v>
      </c>
      <c r="G74" s="1"/>
      <c r="H74" s="1">
        <f>SUM(OSRRefH22_14x_0)</f>
        <v>346</v>
      </c>
      <c r="I74" s="1"/>
      <c r="J74" s="5">
        <f t="shared" si="55"/>
        <v>2.6963840399002494E-2</v>
      </c>
      <c r="K74" s="1"/>
      <c r="L74" s="1">
        <f t="shared" si="56"/>
        <v>-346</v>
      </c>
      <c r="M74" s="1"/>
      <c r="N74" s="5">
        <f t="shared" si="57"/>
        <v>-1</v>
      </c>
      <c r="O74" s="14"/>
      <c r="P74" s="1">
        <f>SUM(OSRRefP22_14x_0)</f>
        <v>634.24</v>
      </c>
      <c r="Q74" s="1"/>
      <c r="R74" s="5">
        <f t="shared" si="58"/>
        <v>0</v>
      </c>
      <c r="S74" s="1"/>
      <c r="T74" s="1">
        <f>SUM(OSRRefT22_14x_0)</f>
        <v>10054</v>
      </c>
      <c r="U74" s="1"/>
      <c r="V74" s="5">
        <f t="shared" si="59"/>
        <v>0.11206099042566235</v>
      </c>
      <c r="W74" s="1"/>
      <c r="X74" s="1">
        <f t="shared" si="60"/>
        <v>-9419.76</v>
      </c>
      <c r="Y74" s="1"/>
      <c r="Z74" s="5">
        <f t="shared" si="61"/>
        <v>-0.93691665008951663</v>
      </c>
    </row>
    <row r="75" spans="1:26" s="24" customFormat="1" hidden="1" outlineLevel="2" x14ac:dyDescent="0.25">
      <c r="A75" s="29"/>
      <c r="B75" s="11" t="str">
        <f>CONCATENATE("          ", "6234", " - ", "EXPENDABLE SUPPLIES &amp; EQUIPMEN")</f>
        <v xml:space="preserve">          6234 - EXPENDABLE SUPPLIES &amp; EQUIPMEN</v>
      </c>
      <c r="C75" s="11"/>
      <c r="D75" s="7"/>
      <c r="E75" s="2"/>
      <c r="F75" s="6">
        <f t="shared" si="54"/>
        <v>0</v>
      </c>
      <c r="G75" s="2"/>
      <c r="H75" s="7"/>
      <c r="I75" s="2"/>
      <c r="J75" s="6">
        <f t="shared" si="55"/>
        <v>0</v>
      </c>
      <c r="K75" s="2"/>
      <c r="L75" s="7">
        <f t="shared" si="56"/>
        <v>0</v>
      </c>
      <c r="M75" s="2"/>
      <c r="N75" s="6">
        <f t="shared" si="57"/>
        <v>0</v>
      </c>
      <c r="O75" s="11"/>
      <c r="P75" s="7">
        <v>316.67</v>
      </c>
      <c r="Q75" s="2"/>
      <c r="R75" s="6">
        <f t="shared" si="58"/>
        <v>0</v>
      </c>
      <c r="S75" s="2"/>
      <c r="T75" s="7">
        <v>28</v>
      </c>
      <c r="U75" s="2"/>
      <c r="V75" s="6">
        <f t="shared" si="59"/>
        <v>3.1208551143013184E-4</v>
      </c>
      <c r="W75" s="2"/>
      <c r="X75" s="7">
        <f t="shared" si="60"/>
        <v>288.67</v>
      </c>
      <c r="Y75" s="2"/>
      <c r="Z75" s="6">
        <f t="shared" si="61"/>
        <v>10.309642857142858</v>
      </c>
    </row>
    <row r="76" spans="1:26" s="24" customFormat="1" hidden="1" outlineLevel="2" x14ac:dyDescent="0.25">
      <c r="A76" s="29"/>
      <c r="B76" s="11" t="str">
        <f>CONCATENATE("          ", "6235", " - ", "COVID-19 EXPENSES")</f>
        <v xml:space="preserve">          6235 - COVID-19 EXPENSES</v>
      </c>
      <c r="C76" s="11"/>
      <c r="D76" s="7"/>
      <c r="E76" s="2"/>
      <c r="F76" s="6">
        <f t="shared" si="54"/>
        <v>0</v>
      </c>
      <c r="G76" s="2"/>
      <c r="H76" s="7">
        <v>200</v>
      </c>
      <c r="I76" s="2"/>
      <c r="J76" s="6">
        <f t="shared" si="55"/>
        <v>1.5586034912718205E-2</v>
      </c>
      <c r="K76" s="2"/>
      <c r="L76" s="7">
        <f t="shared" si="56"/>
        <v>-200</v>
      </c>
      <c r="M76" s="2"/>
      <c r="N76" s="6">
        <f t="shared" si="57"/>
        <v>-1</v>
      </c>
      <c r="O76" s="11"/>
      <c r="P76" s="7"/>
      <c r="Q76" s="2"/>
      <c r="R76" s="6">
        <f t="shared" si="58"/>
        <v>0</v>
      </c>
      <c r="S76" s="2"/>
      <c r="T76" s="7">
        <v>1900</v>
      </c>
      <c r="U76" s="2"/>
      <c r="V76" s="6">
        <f t="shared" si="59"/>
        <v>2.1177231132758947E-2</v>
      </c>
      <c r="W76" s="2"/>
      <c r="X76" s="7">
        <f t="shared" si="60"/>
        <v>-1900</v>
      </c>
      <c r="Y76" s="2"/>
      <c r="Z76" s="6">
        <f t="shared" si="61"/>
        <v>-1</v>
      </c>
    </row>
    <row r="77" spans="1:26" s="24" customFormat="1" hidden="1" outlineLevel="2" x14ac:dyDescent="0.25">
      <c r="A77" s="29"/>
      <c r="B77" s="11" t="str">
        <f>CONCATENATE("          ", "6237", " - ", "JANITORIAL SUPPLIES")</f>
        <v xml:space="preserve">          6237 - JANITORIAL SUPPLIES</v>
      </c>
      <c r="C77" s="11"/>
      <c r="D77" s="7"/>
      <c r="E77" s="2"/>
      <c r="F77" s="6">
        <f t="shared" si="54"/>
        <v>0</v>
      </c>
      <c r="G77" s="2"/>
      <c r="H77" s="7">
        <v>146</v>
      </c>
      <c r="I77" s="2"/>
      <c r="J77" s="6">
        <f t="shared" si="55"/>
        <v>1.137780548628429E-2</v>
      </c>
      <c r="K77" s="2"/>
      <c r="L77" s="7">
        <f t="shared" si="56"/>
        <v>-146</v>
      </c>
      <c r="M77" s="2"/>
      <c r="N77" s="6">
        <f t="shared" si="57"/>
        <v>-1</v>
      </c>
      <c r="O77" s="11"/>
      <c r="P77" s="7">
        <v>317.57</v>
      </c>
      <c r="Q77" s="2"/>
      <c r="R77" s="6">
        <f t="shared" si="58"/>
        <v>0</v>
      </c>
      <c r="S77" s="2"/>
      <c r="T77" s="7">
        <v>400</v>
      </c>
      <c r="U77" s="2"/>
      <c r="V77" s="6">
        <f t="shared" si="59"/>
        <v>4.4583644490018837E-3</v>
      </c>
      <c r="W77" s="2"/>
      <c r="X77" s="7">
        <f t="shared" si="60"/>
        <v>-82.43</v>
      </c>
      <c r="Y77" s="2"/>
      <c r="Z77" s="6">
        <f t="shared" si="61"/>
        <v>-0.20607500000000001</v>
      </c>
    </row>
    <row r="78" spans="1:26" s="24" customFormat="1" hidden="1" outlineLevel="2" x14ac:dyDescent="0.25">
      <c r="A78" s="29"/>
      <c r="B78" s="11" t="str">
        <f>CONCATENATE("          ", "6243", " - ", "PAPER SUPPLIES")</f>
        <v xml:space="preserve">          6243 - PAPER SUPPLIES</v>
      </c>
      <c r="C78" s="11"/>
      <c r="D78" s="7"/>
      <c r="E78" s="2"/>
      <c r="F78" s="6">
        <f t="shared" si="54"/>
        <v>0</v>
      </c>
      <c r="G78" s="2"/>
      <c r="H78" s="7"/>
      <c r="I78" s="2"/>
      <c r="J78" s="6">
        <f t="shared" si="55"/>
        <v>0</v>
      </c>
      <c r="K78" s="2"/>
      <c r="L78" s="7">
        <f t="shared" si="56"/>
        <v>0</v>
      </c>
      <c r="M78" s="2"/>
      <c r="N78" s="6">
        <f t="shared" si="57"/>
        <v>0</v>
      </c>
      <c r="O78" s="11"/>
      <c r="P78" s="7"/>
      <c r="Q78" s="2"/>
      <c r="R78" s="6">
        <f t="shared" si="58"/>
        <v>0</v>
      </c>
      <c r="S78" s="2"/>
      <c r="T78" s="7">
        <v>676</v>
      </c>
      <c r="U78" s="2"/>
      <c r="V78" s="6">
        <f t="shared" si="59"/>
        <v>7.5346359188131831E-3</v>
      </c>
      <c r="W78" s="2"/>
      <c r="X78" s="7">
        <f t="shared" si="60"/>
        <v>-676</v>
      </c>
      <c r="Y78" s="2"/>
      <c r="Z78" s="6">
        <f t="shared" si="61"/>
        <v>-1</v>
      </c>
    </row>
    <row r="79" spans="1:26" s="24" customFormat="1" hidden="1" outlineLevel="2" x14ac:dyDescent="0.25">
      <c r="A79" s="29"/>
      <c r="B79" s="11" t="str">
        <f>CONCATENATE("          ", "6247", " - ", "STORE SUPPLIES")</f>
        <v xml:space="preserve">          6247 - STORE SUPPLIES</v>
      </c>
      <c r="C79" s="11"/>
      <c r="D79" s="7"/>
      <c r="E79" s="2"/>
      <c r="F79" s="6">
        <f t="shared" si="54"/>
        <v>0</v>
      </c>
      <c r="G79" s="2"/>
      <c r="H79" s="7"/>
      <c r="I79" s="2"/>
      <c r="J79" s="6">
        <f t="shared" si="55"/>
        <v>0</v>
      </c>
      <c r="K79" s="2"/>
      <c r="L79" s="7">
        <f t="shared" si="56"/>
        <v>0</v>
      </c>
      <c r="M79" s="2"/>
      <c r="N79" s="6">
        <f t="shared" si="57"/>
        <v>0</v>
      </c>
      <c r="O79" s="11"/>
      <c r="P79" s="7"/>
      <c r="Q79" s="2"/>
      <c r="R79" s="6">
        <f t="shared" si="58"/>
        <v>0</v>
      </c>
      <c r="S79" s="2"/>
      <c r="T79" s="7">
        <v>7050</v>
      </c>
      <c r="U79" s="2"/>
      <c r="V79" s="6">
        <f t="shared" si="59"/>
        <v>7.8578673413658193E-2</v>
      </c>
      <c r="W79" s="2"/>
      <c r="X79" s="7">
        <f t="shared" si="60"/>
        <v>-7050</v>
      </c>
      <c r="Y79" s="2"/>
      <c r="Z79" s="6">
        <f t="shared" si="61"/>
        <v>-1</v>
      </c>
    </row>
    <row r="80" spans="1:26" s="28" customFormat="1" outlineLevel="1" collapsed="1" x14ac:dyDescent="0.25">
      <c r="A80" s="27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SUM(OSRRefD22_15x_0)</f>
        <v>22</v>
      </c>
      <c r="E80" s="1"/>
      <c r="F80" s="5">
        <f t="shared" ref="F80:F82" si="62">IF(D$12=0,0,D80/D$12)</f>
        <v>0</v>
      </c>
      <c r="G80" s="1"/>
      <c r="H80" s="1">
        <f>SUM(OSRRefH22_15x_0)</f>
        <v>40</v>
      </c>
      <c r="I80" s="1"/>
      <c r="J80" s="5">
        <f t="shared" ref="J80:J82" si="63">IF(H$12=0,0,H80/H$12)</f>
        <v>3.117206982543641E-3</v>
      </c>
      <c r="K80" s="1"/>
      <c r="L80" s="1">
        <f t="shared" ref="L80:L82" si="64">+D80-H80</f>
        <v>-18</v>
      </c>
      <c r="M80" s="1"/>
      <c r="N80" s="5">
        <f t="shared" ref="N80:N82" si="65">IF(H80=0,0,L80/H80)</f>
        <v>-0.45</v>
      </c>
      <c r="O80" s="14"/>
      <c r="P80" s="1">
        <f>SUM(OSRRefP22_15x_0)</f>
        <v>887.87</v>
      </c>
      <c r="Q80" s="1"/>
      <c r="R80" s="5">
        <f t="shared" ref="R80:R82" si="66">IF(P$12=0,0,P80/P$12)</f>
        <v>0</v>
      </c>
      <c r="S80" s="1"/>
      <c r="T80" s="1">
        <f>SUM(OSRRefT22_15x_0)</f>
        <v>535</v>
      </c>
      <c r="U80" s="1"/>
      <c r="V80" s="5">
        <f t="shared" ref="V80:V82" si="67">IF(T$12=0,0,T80/T$12)</f>
        <v>5.9630624505400192E-3</v>
      </c>
      <c r="W80" s="1"/>
      <c r="X80" s="1">
        <f t="shared" ref="X80:X82" si="68">+P80-T80</f>
        <v>352.87</v>
      </c>
      <c r="Y80" s="1"/>
      <c r="Z80" s="5">
        <f t="shared" ref="Z80:Z82" si="69">IF(T80=0,0,X80/T80)</f>
        <v>0.65957009345794393</v>
      </c>
    </row>
    <row r="81" spans="1:26" s="24" customFormat="1" hidden="1" outlineLevel="2" x14ac:dyDescent="0.25">
      <c r="A81" s="29"/>
      <c r="B81" s="11" t="str">
        <f>CONCATENATE("          ", "6303", " - ", "DATA PHONE LINES")</f>
        <v xml:space="preserve">          6303 - DATA PHONE LINES</v>
      </c>
      <c r="C81" s="11"/>
      <c r="D81" s="7"/>
      <c r="E81" s="2"/>
      <c r="F81" s="6">
        <f t="shared" si="62"/>
        <v>0</v>
      </c>
      <c r="G81" s="2"/>
      <c r="H81" s="7">
        <v>40</v>
      </c>
      <c r="I81" s="2"/>
      <c r="J81" s="6">
        <f t="shared" si="63"/>
        <v>3.117206982543641E-3</v>
      </c>
      <c r="K81" s="2"/>
      <c r="L81" s="7">
        <f t="shared" si="64"/>
        <v>-40</v>
      </c>
      <c r="M81" s="2"/>
      <c r="N81" s="6">
        <f t="shared" si="65"/>
        <v>-1</v>
      </c>
      <c r="O81" s="11"/>
      <c r="P81" s="7"/>
      <c r="Q81" s="2"/>
      <c r="R81" s="6">
        <f t="shared" si="66"/>
        <v>0</v>
      </c>
      <c r="S81" s="2"/>
      <c r="T81" s="7">
        <v>235</v>
      </c>
      <c r="U81" s="2"/>
      <c r="V81" s="6">
        <f t="shared" si="67"/>
        <v>2.6192891137886065E-3</v>
      </c>
      <c r="W81" s="2"/>
      <c r="X81" s="7">
        <f t="shared" si="68"/>
        <v>-235</v>
      </c>
      <c r="Y81" s="2"/>
      <c r="Z81" s="6">
        <f t="shared" si="69"/>
        <v>-1</v>
      </c>
    </row>
    <row r="82" spans="1:26" s="24" customFormat="1" hidden="1" outlineLevel="2" x14ac:dyDescent="0.25">
      <c r="A82" s="29"/>
      <c r="B82" s="11" t="str">
        <f>CONCATENATE("          ", "6309", " - ", "TELEPHONE")</f>
        <v xml:space="preserve">          6309 - TELEPHONE</v>
      </c>
      <c r="C82" s="11"/>
      <c r="D82" s="7">
        <v>22</v>
      </c>
      <c r="E82" s="2"/>
      <c r="F82" s="6">
        <f t="shared" si="62"/>
        <v>0</v>
      </c>
      <c r="G82" s="2"/>
      <c r="H82" s="7"/>
      <c r="I82" s="2"/>
      <c r="J82" s="6">
        <f t="shared" si="63"/>
        <v>0</v>
      </c>
      <c r="K82" s="2"/>
      <c r="L82" s="7">
        <f t="shared" si="64"/>
        <v>22</v>
      </c>
      <c r="M82" s="2"/>
      <c r="N82" s="6">
        <f t="shared" si="65"/>
        <v>0</v>
      </c>
      <c r="O82" s="11"/>
      <c r="P82" s="7">
        <v>887.87</v>
      </c>
      <c r="Q82" s="2"/>
      <c r="R82" s="6">
        <f t="shared" si="66"/>
        <v>0</v>
      </c>
      <c r="S82" s="2"/>
      <c r="T82" s="7">
        <v>300</v>
      </c>
      <c r="U82" s="2"/>
      <c r="V82" s="6">
        <f t="shared" si="67"/>
        <v>3.3437733367514128E-3</v>
      </c>
      <c r="W82" s="2"/>
      <c r="X82" s="7">
        <f t="shared" si="68"/>
        <v>587.87</v>
      </c>
      <c r="Y82" s="2"/>
      <c r="Z82" s="6">
        <f t="shared" si="69"/>
        <v>1.9595666666666667</v>
      </c>
    </row>
    <row r="83" spans="1:26" s="28" customFormat="1" outlineLevel="1" collapsed="1" x14ac:dyDescent="0.25">
      <c r="A83" s="27"/>
      <c r="B83" s="14" t="str">
        <f>CONCATENATE("     ","Travel                                            ")</f>
        <v xml:space="preserve">     Travel                                            </v>
      </c>
      <c r="C83" s="14"/>
      <c r="D83" s="1">
        <f>SUM(OSRRefD22_16x_0)</f>
        <v>0</v>
      </c>
      <c r="E83" s="1"/>
      <c r="F83" s="5">
        <f t="shared" ref="F83:F86" si="70">IF(D$12=0,0,D83/D$12)</f>
        <v>0</v>
      </c>
      <c r="G83" s="1"/>
      <c r="H83" s="1">
        <f>SUM(OSRRefH22_16x_0)</f>
        <v>0</v>
      </c>
      <c r="I83" s="1"/>
      <c r="J83" s="5">
        <f t="shared" ref="J83:J86" si="71">IF(H$12=0,0,H83/H$12)</f>
        <v>0</v>
      </c>
      <c r="K83" s="1"/>
      <c r="L83" s="1">
        <f t="shared" ref="L83:L86" si="72">+D83-H83</f>
        <v>0</v>
      </c>
      <c r="M83" s="1"/>
      <c r="N83" s="5">
        <f t="shared" ref="N83:N86" si="73">IF(H83=0,0,L83/H83)</f>
        <v>0</v>
      </c>
      <c r="O83" s="14"/>
      <c r="P83" s="1">
        <f>SUM(OSRRefP22_16x_0)</f>
        <v>0</v>
      </c>
      <c r="Q83" s="1"/>
      <c r="R83" s="5">
        <f t="shared" ref="R83:R86" si="74">IF(P$12=0,0,P83/P$12)</f>
        <v>0</v>
      </c>
      <c r="S83" s="1"/>
      <c r="T83" s="1">
        <f>SUM(OSRRefT22_16x_0)</f>
        <v>1500</v>
      </c>
      <c r="U83" s="1"/>
      <c r="V83" s="5">
        <f t="shared" ref="V83:V86" si="75">IF(T$12=0,0,T83/T$12)</f>
        <v>1.6718866683757064E-2</v>
      </c>
      <c r="W83" s="1"/>
      <c r="X83" s="1">
        <f t="shared" ref="X83:X86" si="76">+P83-T83</f>
        <v>-1500</v>
      </c>
      <c r="Y83" s="1"/>
      <c r="Z83" s="5">
        <f t="shared" ref="Z83:Z86" si="77">IF(T83=0,0,X83/T83)</f>
        <v>-1</v>
      </c>
    </row>
    <row r="84" spans="1:26" s="24" customFormat="1" hidden="1" outlineLevel="2" x14ac:dyDescent="0.25">
      <c r="A84" s="29"/>
      <c r="B84" s="11" t="str">
        <f>CONCATENATE("          ", "6292", " - ", "TRAVEL/CONFERENCE")</f>
        <v xml:space="preserve">          6292 - TRAVEL/CONFERENCE</v>
      </c>
      <c r="C84" s="11"/>
      <c r="D84" s="7"/>
      <c r="E84" s="2"/>
      <c r="F84" s="6">
        <f t="shared" si="70"/>
        <v>0</v>
      </c>
      <c r="G84" s="2"/>
      <c r="H84" s="7"/>
      <c r="I84" s="2"/>
      <c r="J84" s="6">
        <f t="shared" si="71"/>
        <v>0</v>
      </c>
      <c r="K84" s="2"/>
      <c r="L84" s="7">
        <f t="shared" si="72"/>
        <v>0</v>
      </c>
      <c r="M84" s="2"/>
      <c r="N84" s="6">
        <f t="shared" si="73"/>
        <v>0</v>
      </c>
      <c r="O84" s="11"/>
      <c r="P84" s="7"/>
      <c r="Q84" s="2"/>
      <c r="R84" s="6">
        <f t="shared" si="74"/>
        <v>0</v>
      </c>
      <c r="S84" s="2"/>
      <c r="T84" s="7">
        <v>1500</v>
      </c>
      <c r="U84" s="2"/>
      <c r="V84" s="6">
        <f t="shared" si="75"/>
        <v>1.6718866683757064E-2</v>
      </c>
      <c r="W84" s="2"/>
      <c r="X84" s="7">
        <f t="shared" si="76"/>
        <v>-1500</v>
      </c>
      <c r="Y84" s="2"/>
      <c r="Z84" s="6">
        <f t="shared" si="77"/>
        <v>-1</v>
      </c>
    </row>
    <row r="85" spans="1:26" s="28" customFormat="1" outlineLevel="1" collapsed="1" x14ac:dyDescent="0.25">
      <c r="A85" s="27"/>
      <c r="B85" s="14" t="str">
        <f>CONCATENATE("     ","Utilities                                         ")</f>
        <v xml:space="preserve">     Utilities                                         </v>
      </c>
      <c r="C85" s="14"/>
      <c r="D85" s="1">
        <f>SUM(OSRRefD22_17x_0)</f>
        <v>878</v>
      </c>
      <c r="E85" s="1"/>
      <c r="F85" s="5">
        <f t="shared" si="70"/>
        <v>0</v>
      </c>
      <c r="G85" s="1"/>
      <c r="H85" s="1">
        <f>SUM(OSRRefH22_17x_0)</f>
        <v>1932</v>
      </c>
      <c r="I85" s="1"/>
      <c r="J85" s="5">
        <f t="shared" si="71"/>
        <v>0.15056109725685785</v>
      </c>
      <c r="K85" s="1"/>
      <c r="L85" s="1">
        <f t="shared" si="72"/>
        <v>-1054</v>
      </c>
      <c r="M85" s="1"/>
      <c r="N85" s="5">
        <f t="shared" si="73"/>
        <v>-0.54554865424430643</v>
      </c>
      <c r="O85" s="14"/>
      <c r="P85" s="1">
        <f>SUM(OSRRefP22_17x_0)</f>
        <v>2634</v>
      </c>
      <c r="Q85" s="1"/>
      <c r="R85" s="5">
        <f t="shared" si="74"/>
        <v>0</v>
      </c>
      <c r="S85" s="1"/>
      <c r="T85" s="1">
        <f>SUM(OSRRefT22_17x_0)</f>
        <v>5016</v>
      </c>
      <c r="U85" s="1"/>
      <c r="V85" s="5">
        <f t="shared" si="75"/>
        <v>5.5907890190483624E-2</v>
      </c>
      <c r="W85" s="1"/>
      <c r="X85" s="1">
        <f t="shared" si="76"/>
        <v>-2382</v>
      </c>
      <c r="Y85" s="1"/>
      <c r="Z85" s="5">
        <f t="shared" si="77"/>
        <v>-0.47488038277511962</v>
      </c>
    </row>
    <row r="86" spans="1:26" s="24" customFormat="1" hidden="1" outlineLevel="2" x14ac:dyDescent="0.25">
      <c r="A86" s="29"/>
      <c r="B86" s="11" t="str">
        <f>CONCATENATE("          ", "6274", " - ", "UTILITIES")</f>
        <v xml:space="preserve">          6274 - UTILITIES</v>
      </c>
      <c r="C86" s="11"/>
      <c r="D86" s="7">
        <v>878</v>
      </c>
      <c r="E86" s="2"/>
      <c r="F86" s="6">
        <f t="shared" si="70"/>
        <v>0</v>
      </c>
      <c r="G86" s="2"/>
      <c r="H86" s="7">
        <v>1932</v>
      </c>
      <c r="I86" s="2"/>
      <c r="J86" s="6">
        <f t="shared" si="71"/>
        <v>0.15056109725685785</v>
      </c>
      <c r="K86" s="2"/>
      <c r="L86" s="7">
        <f t="shared" si="72"/>
        <v>-1054</v>
      </c>
      <c r="M86" s="2"/>
      <c r="N86" s="6">
        <f t="shared" si="73"/>
        <v>-0.54554865424430643</v>
      </c>
      <c r="O86" s="11"/>
      <c r="P86" s="7">
        <v>2634</v>
      </c>
      <c r="Q86" s="2"/>
      <c r="R86" s="6">
        <f t="shared" si="74"/>
        <v>0</v>
      </c>
      <c r="S86" s="2"/>
      <c r="T86" s="7">
        <v>5016</v>
      </c>
      <c r="U86" s="2"/>
      <c r="V86" s="6">
        <f t="shared" si="75"/>
        <v>5.5907890190483624E-2</v>
      </c>
      <c r="W86" s="2"/>
      <c r="X86" s="7">
        <f t="shared" si="76"/>
        <v>-2382</v>
      </c>
      <c r="Y86" s="2"/>
      <c r="Z86" s="6">
        <f t="shared" si="77"/>
        <v>-0.47488038277511962</v>
      </c>
    </row>
    <row r="87" spans="1:26" s="53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6" t="s">
        <v>0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5" t="s">
        <v>3</v>
      </c>
      <c r="C90" s="25"/>
      <c r="D90" s="21">
        <f>+D21-D23+D88</f>
        <v>-11085.79</v>
      </c>
      <c r="E90" s="13"/>
      <c r="F90" s="19">
        <f>IF(D$12=0,0,D90/D$12)</f>
        <v>0</v>
      </c>
      <c r="G90" s="13"/>
      <c r="H90" s="21">
        <f>+H21-H23+H88</f>
        <v>-19043.9964</v>
      </c>
      <c r="I90" s="13"/>
      <c r="J90" s="19">
        <f>IF(H$12=0,0,H90/H$12)</f>
        <v>-1.4841019638403989</v>
      </c>
      <c r="K90" s="16"/>
      <c r="L90" s="21">
        <f>+D90-H90</f>
        <v>7958.2063999999991</v>
      </c>
      <c r="M90" s="16"/>
      <c r="N90" s="19">
        <f>IF(H90=0,0,L90/H90)</f>
        <v>-0.41788531318983019</v>
      </c>
      <c r="O90" s="26"/>
      <c r="P90" s="21">
        <f>+P21-P23+P88</f>
        <v>-79171.259999999995</v>
      </c>
      <c r="Q90" s="13"/>
      <c r="R90" s="19">
        <f>IF(P$12=0,0,P90/P$12)</f>
        <v>0</v>
      </c>
      <c r="S90" s="13"/>
      <c r="T90" s="21">
        <f>+T21-T23+T88</f>
        <v>-106454.12135999999</v>
      </c>
      <c r="U90" s="13"/>
      <c r="V90" s="19">
        <f>IF(T$12=0,0,T90/T$12)</f>
        <v>-1.18652817530289</v>
      </c>
      <c r="W90" s="16"/>
      <c r="X90" s="21">
        <f>+P90-T90</f>
        <v>27282.861359999995</v>
      </c>
      <c r="Y90" s="16"/>
      <c r="Z90" s="19">
        <f>IF(T90=0,0,X90/T90)</f>
        <v>-0.25628750687572249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2"/>
      <c r="B92" s="10" t="s">
        <v>14</v>
      </c>
      <c r="C92" s="10"/>
      <c r="D92" s="4"/>
      <c r="E92" s="4"/>
      <c r="F92" s="12">
        <f>IF(D$12=0,0,D92/D$12)</f>
        <v>0</v>
      </c>
      <c r="G92" s="4"/>
      <c r="H92" s="4">
        <v>3306</v>
      </c>
      <c r="I92" s="4"/>
      <c r="J92" s="12">
        <f>IF(H$12=0,0,H92/H$12)</f>
        <v>0.2576371571072319</v>
      </c>
      <c r="K92" s="4"/>
      <c r="L92" s="4">
        <f>+D92-H92</f>
        <v>-3306</v>
      </c>
      <c r="M92" s="4"/>
      <c r="N92" s="12">
        <f>IF(H92=0,0,L92/H92)</f>
        <v>-1</v>
      </c>
      <c r="O92" s="10"/>
      <c r="P92" s="4"/>
      <c r="Q92" s="4"/>
      <c r="R92" s="12">
        <f>IF(P$12=0,0,P92/P$12)</f>
        <v>0</v>
      </c>
      <c r="S92" s="4"/>
      <c r="T92" s="4">
        <v>17018</v>
      </c>
      <c r="U92" s="4"/>
      <c r="V92" s="12">
        <f>IF(T$12=0,0,T92/T$12)</f>
        <v>0.18968111548278513</v>
      </c>
      <c r="W92" s="4"/>
      <c r="X92" s="4">
        <f>+P92-T92</f>
        <v>-17018</v>
      </c>
      <c r="Y92" s="4"/>
      <c r="Z92" s="12">
        <f>IF(T92=0,0,X92/T92)</f>
        <v>-1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5" t="s">
        <v>4</v>
      </c>
      <c r="C94" s="25"/>
      <c r="D94" s="34">
        <f>+D90-D92</f>
        <v>-11085.79</v>
      </c>
      <c r="E94" s="13"/>
      <c r="F94" s="31">
        <f>IF(D$12=0,0,D94/D$12)</f>
        <v>0</v>
      </c>
      <c r="G94" s="13"/>
      <c r="H94" s="34">
        <f>+H90-H92</f>
        <v>-22349.9964</v>
      </c>
      <c r="I94" s="13"/>
      <c r="J94" s="31">
        <f>IF(H$12=0,0,H94/H$12)</f>
        <v>-1.7417391209476309</v>
      </c>
      <c r="K94" s="16"/>
      <c r="L94" s="34">
        <f>D94-H94</f>
        <v>11264.206399999999</v>
      </c>
      <c r="M94" s="16"/>
      <c r="N94" s="31">
        <f>IF(H94=0,0,L94/H94)</f>
        <v>-0.50399141898743205</v>
      </c>
      <c r="O94" s="26"/>
      <c r="P94" s="34">
        <f>+P90-P92</f>
        <v>-79171.259999999995</v>
      </c>
      <c r="Q94" s="13"/>
      <c r="R94" s="31">
        <f>IF(P$12=0,0,P94/P$12)</f>
        <v>0</v>
      </c>
      <c r="S94" s="13"/>
      <c r="T94" s="34">
        <f>+T90-T92</f>
        <v>-123472.12135999999</v>
      </c>
      <c r="U94" s="13"/>
      <c r="V94" s="31">
        <f>IF(T$12=0,0,T94/T$12)</f>
        <v>-1.3762092907856751</v>
      </c>
      <c r="W94" s="16"/>
      <c r="X94" s="34">
        <f>P94-T94</f>
        <v>44300.861359999995</v>
      </c>
      <c r="Y94" s="16"/>
      <c r="Z94" s="31">
        <f>IF(T94=0,0,X94/T94)</f>
        <v>-0.35879242109103099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5" t="s">
        <v>5</v>
      </c>
      <c r="C97" s="25"/>
      <c r="D97" s="33">
        <f>SUM(D94:D96)</f>
        <v>-11085.79</v>
      </c>
      <c r="E97" s="13"/>
      <c r="F97" s="32">
        <f>IF(D$12=0,0,D97/D$12)</f>
        <v>0</v>
      </c>
      <c r="G97" s="13"/>
      <c r="H97" s="33">
        <f>SUM(H94:H96)</f>
        <v>-22349.9964</v>
      </c>
      <c r="I97" s="13"/>
      <c r="J97" s="32">
        <f>IF(H$12=0,0,H97/H$12)</f>
        <v>-1.7417391209476309</v>
      </c>
      <c r="K97" s="16"/>
      <c r="L97" s="33">
        <f>+D97-H97</f>
        <v>11264.206399999999</v>
      </c>
      <c r="M97" s="16"/>
      <c r="N97" s="32">
        <f>IF(H97=0,0,L97/H97)</f>
        <v>-0.50399141898743205</v>
      </c>
      <c r="O97" s="26"/>
      <c r="P97" s="33">
        <f>SUM(P94:P96)</f>
        <v>-79171.259999999995</v>
      </c>
      <c r="Q97" s="13"/>
      <c r="R97" s="32">
        <f>IF(P$12=0,0,P97/P$12)</f>
        <v>0</v>
      </c>
      <c r="S97" s="13"/>
      <c r="T97" s="33">
        <f>SUM(T94:T96)</f>
        <v>-123472.12135999999</v>
      </c>
      <c r="U97" s="13"/>
      <c r="V97" s="32">
        <f>IF(T$12=0,0,T97/T$12)</f>
        <v>-1.3762092907856751</v>
      </c>
      <c r="W97" s="16"/>
      <c r="X97" s="33">
        <f>+P97-T97</f>
        <v>44300.861359999995</v>
      </c>
      <c r="Y97" s="16"/>
      <c r="Z97" s="32">
        <f>IF(T97=0,0,X97/T97)</f>
        <v>-0.35879242109103099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6" x14ac:dyDescent="0.25">
      <c r="A99" s="9"/>
      <c r="B99" s="63">
        <v>44209.518638923611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60" t="s">
        <v>314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8"/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299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","327", " - ", "C-Store Vending Machine(s)")</f>
        <v>Department 327 - C-Store Vending Machine(s)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546</v>
      </c>
      <c r="I12" s="4"/>
      <c r="J12" s="12"/>
      <c r="K12" s="4"/>
      <c r="L12" s="4">
        <f t="shared" ref="L12:L14" si="0">+D12-H12</f>
        <v>-546</v>
      </c>
      <c r="M12" s="4"/>
      <c r="N12" s="12">
        <f t="shared" ref="N12:N14" si="1">IF(H12=0,0,L12/H12)</f>
        <v>-1</v>
      </c>
      <c r="O12" s="10"/>
      <c r="P12" s="4">
        <f>SUM(OSRRefP13x_0)</f>
        <v>110</v>
      </c>
      <c r="Q12" s="4"/>
      <c r="R12" s="12"/>
      <c r="S12" s="4"/>
      <c r="T12" s="4">
        <f>SUM(OSRRefT13x_0)</f>
        <v>2090</v>
      </c>
      <c r="U12" s="4"/>
      <c r="V12" s="12"/>
      <c r="W12" s="4"/>
      <c r="X12" s="4">
        <f t="shared" ref="X12:X14" si="2">+P12-T12</f>
        <v>-1980</v>
      </c>
      <c r="Y12" s="4"/>
      <c r="Z12" s="12">
        <f t="shared" ref="Z12:Z14" si="3">IF(T12=0,0,X12/T12)</f>
        <v>-0.94736842105263153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 t="shared" ref="D13:D14" si="4">0</f>
        <v>0</v>
      </c>
      <c r="E13" s="2"/>
      <c r="F13" s="22"/>
      <c r="G13" s="2"/>
      <c r="H13" s="2">
        <v>546</v>
      </c>
      <c r="I13" s="2"/>
      <c r="J13" s="22"/>
      <c r="K13" s="2"/>
      <c r="L13" s="2">
        <f t="shared" si="0"/>
        <v>-546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2090</v>
      </c>
      <c r="U13" s="2"/>
      <c r="V13" s="22"/>
      <c r="W13" s="2"/>
      <c r="X13" s="2">
        <f t="shared" si="2"/>
        <v>-2090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--110</f>
        <v>110</v>
      </c>
      <c r="Q14" s="2"/>
      <c r="R14" s="22"/>
      <c r="S14" s="2"/>
      <c r="T14" s="2"/>
      <c r="U14" s="2"/>
      <c r="V14" s="22"/>
      <c r="W14" s="2"/>
      <c r="X14" s="2">
        <f t="shared" si="2"/>
        <v>110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8" si="5">IF(D$12=0,0,D16/D$12)</f>
        <v>0</v>
      </c>
      <c r="G16" s="4"/>
      <c r="H16" s="4">
        <f>SUM(OSRRefH16x_0)</f>
        <v>273</v>
      </c>
      <c r="I16" s="4"/>
      <c r="J16" s="12">
        <f t="shared" ref="J16:J18" si="6">IF(H$12=0,0,H16/H$12)</f>
        <v>0.5</v>
      </c>
      <c r="K16" s="4"/>
      <c r="L16" s="4">
        <f t="shared" ref="L16:L18" si="7">+D16-H16</f>
        <v>-273</v>
      </c>
      <c r="M16" s="4"/>
      <c r="N16" s="12">
        <f t="shared" ref="N16:N18" si="8">IF(H16=0,0,L16/H16)</f>
        <v>-1</v>
      </c>
      <c r="O16" s="10"/>
      <c r="P16" s="4">
        <f>SUM(OSRRefP16x_0)</f>
        <v>68.91</v>
      </c>
      <c r="Q16" s="4"/>
      <c r="R16" s="12">
        <f t="shared" ref="R16:R18" si="9">IF(P$12=0,0,P16/P$12)</f>
        <v>0.62645454545454538</v>
      </c>
      <c r="S16" s="4"/>
      <c r="T16" s="4">
        <f>SUM(OSRRefT16x_0)</f>
        <v>1046</v>
      </c>
      <c r="U16" s="4"/>
      <c r="V16" s="12">
        <f t="shared" ref="V16:V18" si="10">IF(T$12=0,0,T16/T$12)</f>
        <v>0.50047846889952152</v>
      </c>
      <c r="W16" s="4"/>
      <c r="X16" s="4">
        <f t="shared" ref="X16:X18" si="11">+P16-T16</f>
        <v>-977.09</v>
      </c>
      <c r="Y16" s="4"/>
      <c r="Z16" s="12">
        <f t="shared" ref="Z16:Z18" si="12">IF(T16=0,0,X16/T16)</f>
        <v>-0.93412045889101336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5"/>
        <v>0</v>
      </c>
      <c r="G17" s="2"/>
      <c r="H17" s="2">
        <v>273</v>
      </c>
      <c r="I17" s="2"/>
      <c r="J17" s="22">
        <f t="shared" si="6"/>
        <v>0.5</v>
      </c>
      <c r="K17" s="2"/>
      <c r="L17" s="2">
        <f t="shared" si="7"/>
        <v>-273</v>
      </c>
      <c r="M17" s="2"/>
      <c r="N17" s="22">
        <f t="shared" si="8"/>
        <v>-1</v>
      </c>
      <c r="O17" s="11"/>
      <c r="P17" s="2"/>
      <c r="Q17" s="2"/>
      <c r="R17" s="22">
        <f t="shared" si="9"/>
        <v>0</v>
      </c>
      <c r="S17" s="2"/>
      <c r="T17" s="2">
        <v>1046</v>
      </c>
      <c r="U17" s="2"/>
      <c r="V17" s="22">
        <f t="shared" si="10"/>
        <v>0.50047846889952152</v>
      </c>
      <c r="W17" s="2"/>
      <c r="X17" s="2">
        <f t="shared" si="11"/>
        <v>-1046</v>
      </c>
      <c r="Y17" s="2"/>
      <c r="Z17" s="22">
        <f t="shared" si="12"/>
        <v>-1</v>
      </c>
    </row>
    <row r="18" spans="1:26" s="24" customFormat="1" hidden="1" outlineLevel="1" x14ac:dyDescent="0.25">
      <c r="A18" s="51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22">
        <f t="shared" si="5"/>
        <v>0</v>
      </c>
      <c r="G18" s="2"/>
      <c r="H18" s="2"/>
      <c r="I18" s="2"/>
      <c r="J18" s="22">
        <f t="shared" si="6"/>
        <v>0</v>
      </c>
      <c r="K18" s="2"/>
      <c r="L18" s="2">
        <f t="shared" si="7"/>
        <v>0</v>
      </c>
      <c r="M18" s="2"/>
      <c r="N18" s="22">
        <f t="shared" si="8"/>
        <v>0</v>
      </c>
      <c r="O18" s="11"/>
      <c r="P18" s="2">
        <v>68.91</v>
      </c>
      <c r="Q18" s="2"/>
      <c r="R18" s="22">
        <f t="shared" si="9"/>
        <v>0.62645454545454538</v>
      </c>
      <c r="S18" s="2"/>
      <c r="T18" s="2"/>
      <c r="U18" s="2"/>
      <c r="V18" s="22">
        <f t="shared" si="10"/>
        <v>0</v>
      </c>
      <c r="W18" s="2"/>
      <c r="X18" s="2">
        <f t="shared" si="11"/>
        <v>68.91</v>
      </c>
      <c r="Y18" s="2"/>
      <c r="Z18" s="22">
        <f t="shared" si="12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1">
        <f>D12-D16</f>
        <v>0</v>
      </c>
      <c r="E20" s="13"/>
      <c r="F20" s="19">
        <f>IF(D$12=0,0,D20/D$12)</f>
        <v>0</v>
      </c>
      <c r="G20" s="13"/>
      <c r="H20" s="21">
        <f>H12-H16</f>
        <v>273</v>
      </c>
      <c r="I20" s="13"/>
      <c r="J20" s="19">
        <f>IF(H$12=0,0,H20/H$12)</f>
        <v>0.5</v>
      </c>
      <c r="K20" s="16"/>
      <c r="L20" s="21">
        <f>+D20-H20</f>
        <v>-273</v>
      </c>
      <c r="M20" s="16"/>
      <c r="N20" s="19">
        <f>IF(H20=0,0,L20/H20)</f>
        <v>-1</v>
      </c>
      <c r="O20" s="26"/>
      <c r="P20" s="21">
        <f>P12-P16</f>
        <v>41.09</v>
      </c>
      <c r="Q20" s="13"/>
      <c r="R20" s="19">
        <f>IF(P$12=0,0,P20/P$12)</f>
        <v>0.37354545454545457</v>
      </c>
      <c r="S20" s="13"/>
      <c r="T20" s="21">
        <f>T12-T16</f>
        <v>1044</v>
      </c>
      <c r="U20" s="13"/>
      <c r="V20" s="19">
        <f>IF(T$12=0,0,T20/T$12)</f>
        <v>0.49952153110047848</v>
      </c>
      <c r="W20" s="16"/>
      <c r="X20" s="21">
        <f>+P20-T20</f>
        <v>-1002.91</v>
      </c>
      <c r="Y20" s="16"/>
      <c r="Z20" s="19">
        <f>IF(T20=0,0,X20/T20)</f>
        <v>-0.9606417624521072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0">
        <f>SUM(OSRRefD22x_0)</f>
        <v>0</v>
      </c>
      <c r="E22" s="20"/>
      <c r="F22" s="30">
        <f t="shared" ref="F22:F24" si="13">IF(D$12=0,0,D22/D$12)</f>
        <v>0</v>
      </c>
      <c r="G22" s="20"/>
      <c r="H22" s="20">
        <f>SUM(OSRRefH22x_0)</f>
        <v>47</v>
      </c>
      <c r="I22" s="20"/>
      <c r="J22" s="30">
        <f t="shared" ref="J22:J24" si="14">IF(H$12=0,0,H22/H$12)</f>
        <v>8.608058608058608E-2</v>
      </c>
      <c r="K22" s="4"/>
      <c r="L22" s="20">
        <f t="shared" ref="L22:L24" si="15">+D22-H22</f>
        <v>-47</v>
      </c>
      <c r="M22" s="4"/>
      <c r="N22" s="30">
        <f t="shared" ref="N22:N24" si="16">IF(H22=0,0,L22/H22)</f>
        <v>-1</v>
      </c>
      <c r="O22" s="10"/>
      <c r="P22" s="20">
        <f>SUM(OSRRefP22x_0)</f>
        <v>0</v>
      </c>
      <c r="Q22" s="20"/>
      <c r="R22" s="30">
        <f t="shared" ref="R22:R24" si="17">IF(P$12=0,0,P22/P$12)</f>
        <v>0</v>
      </c>
      <c r="S22" s="20"/>
      <c r="T22" s="20">
        <f>SUM(OSRRefT22x_0)</f>
        <v>183</v>
      </c>
      <c r="U22" s="20"/>
      <c r="V22" s="30">
        <f t="shared" ref="V22:V24" si="18">IF(T$12=0,0,T22/T$12)</f>
        <v>8.7559808612440185E-2</v>
      </c>
      <c r="W22" s="4"/>
      <c r="X22" s="20">
        <f t="shared" ref="X22:X24" si="19">+P22-T22</f>
        <v>-183</v>
      </c>
      <c r="Y22" s="4"/>
      <c r="Z22" s="30">
        <f t="shared" ref="Z22:Z24" si="20">IF(T22=0,0,X22/T22)</f>
        <v>-1</v>
      </c>
    </row>
    <row r="23" spans="1:26" s="28" customFormat="1" outlineLevel="1" collapsed="1" x14ac:dyDescent="0.25">
      <c r="A23" s="27"/>
      <c r="B23" s="14" t="str">
        <f>CONCATENATE("     ","Bank/card Fees                                    ")</f>
        <v xml:space="preserve">     Bank/card Fees                                    </v>
      </c>
      <c r="C23" s="14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47</v>
      </c>
      <c r="I23" s="1"/>
      <c r="J23" s="5">
        <f t="shared" si="14"/>
        <v>8.608058608058608E-2</v>
      </c>
      <c r="K23" s="1"/>
      <c r="L23" s="1">
        <f t="shared" si="15"/>
        <v>-47</v>
      </c>
      <c r="M23" s="1"/>
      <c r="N23" s="5">
        <f t="shared" si="16"/>
        <v>-1</v>
      </c>
      <c r="O23" s="14"/>
      <c r="P23" s="1">
        <f>SUM(OSRRefP22_0x_0)</f>
        <v>0</v>
      </c>
      <c r="Q23" s="1"/>
      <c r="R23" s="5">
        <f t="shared" si="17"/>
        <v>0</v>
      </c>
      <c r="S23" s="1"/>
      <c r="T23" s="1">
        <f>SUM(OSRRefT22_0x_0)</f>
        <v>183</v>
      </c>
      <c r="U23" s="1"/>
      <c r="V23" s="5">
        <f t="shared" si="18"/>
        <v>8.7559808612440185E-2</v>
      </c>
      <c r="W23" s="1"/>
      <c r="X23" s="1">
        <f t="shared" si="19"/>
        <v>-183</v>
      </c>
      <c r="Y23" s="1"/>
      <c r="Z23" s="5">
        <f t="shared" si="20"/>
        <v>-1</v>
      </c>
    </row>
    <row r="24" spans="1:26" s="24" customFormat="1" hidden="1" outlineLevel="2" x14ac:dyDescent="0.25">
      <c r="A24" s="29"/>
      <c r="B24" s="11" t="str">
        <f>CONCATENATE("          ", "6381", " - ", "BANK/CREDIT CARD FEES")</f>
        <v xml:space="preserve">          6381 - BANK/CREDIT CARD FEES</v>
      </c>
      <c r="C24" s="11"/>
      <c r="D24" s="7"/>
      <c r="E24" s="2"/>
      <c r="F24" s="6">
        <f t="shared" si="13"/>
        <v>0</v>
      </c>
      <c r="G24" s="2"/>
      <c r="H24" s="7">
        <v>47</v>
      </c>
      <c r="I24" s="2"/>
      <c r="J24" s="6">
        <f t="shared" si="14"/>
        <v>8.608058608058608E-2</v>
      </c>
      <c r="K24" s="2"/>
      <c r="L24" s="7">
        <f t="shared" si="15"/>
        <v>-47</v>
      </c>
      <c r="M24" s="2"/>
      <c r="N24" s="6">
        <f t="shared" si="16"/>
        <v>-1</v>
      </c>
      <c r="O24" s="11"/>
      <c r="P24" s="7"/>
      <c r="Q24" s="2"/>
      <c r="R24" s="6">
        <f t="shared" si="17"/>
        <v>0</v>
      </c>
      <c r="S24" s="2"/>
      <c r="T24" s="7">
        <v>183</v>
      </c>
      <c r="U24" s="2"/>
      <c r="V24" s="6">
        <f t="shared" si="18"/>
        <v>8.7559808612440185E-2</v>
      </c>
      <c r="W24" s="2"/>
      <c r="X24" s="7">
        <f t="shared" si="19"/>
        <v>-183</v>
      </c>
      <c r="Y24" s="2"/>
      <c r="Z24" s="6">
        <f t="shared" si="20"/>
        <v>-1</v>
      </c>
    </row>
    <row r="25" spans="1:26" s="53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6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5" t="s">
        <v>3</v>
      </c>
      <c r="C28" s="25"/>
      <c r="D28" s="21">
        <f>+D20-D22+D26</f>
        <v>0</v>
      </c>
      <c r="E28" s="13"/>
      <c r="F28" s="19">
        <f>IF(D$12=0,0,D28/D$12)</f>
        <v>0</v>
      </c>
      <c r="G28" s="13"/>
      <c r="H28" s="21">
        <f>+H20-H22+H26</f>
        <v>226</v>
      </c>
      <c r="I28" s="13"/>
      <c r="J28" s="19">
        <f>IF(H$12=0,0,H28/H$12)</f>
        <v>0.41391941391941389</v>
      </c>
      <c r="K28" s="16"/>
      <c r="L28" s="21">
        <f>+D28-H28</f>
        <v>-226</v>
      </c>
      <c r="M28" s="16"/>
      <c r="N28" s="19">
        <f>IF(H28=0,0,L28/H28)</f>
        <v>-1</v>
      </c>
      <c r="O28" s="26"/>
      <c r="P28" s="21">
        <f>+P20-P22+P26</f>
        <v>41.09</v>
      </c>
      <c r="Q28" s="13"/>
      <c r="R28" s="19">
        <f>IF(P$12=0,0,P28/P$12)</f>
        <v>0.37354545454545457</v>
      </c>
      <c r="S28" s="13"/>
      <c r="T28" s="21">
        <f>+T20-T22+T26</f>
        <v>861</v>
      </c>
      <c r="U28" s="13"/>
      <c r="V28" s="19">
        <f>IF(T$12=0,0,T28/T$12)</f>
        <v>0.41196172248803825</v>
      </c>
      <c r="W28" s="16"/>
      <c r="X28" s="21">
        <f>+P28-T28</f>
        <v>-819.91</v>
      </c>
      <c r="Y28" s="16"/>
      <c r="Z28" s="19">
        <f>IF(T28=0,0,X28/T28)</f>
        <v>-0.95227642276422764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14</v>
      </c>
      <c r="C30" s="10"/>
      <c r="D30" s="4">
        <v>-3.48</v>
      </c>
      <c r="E30" s="4"/>
      <c r="F30" s="12">
        <f>IF(D$12=0,0,D30/D$12)</f>
        <v>0</v>
      </c>
      <c r="G30" s="4"/>
      <c r="H30" s="4">
        <v>121</v>
      </c>
      <c r="I30" s="4"/>
      <c r="J30" s="12">
        <f>IF(H$12=0,0,H30/H$12)</f>
        <v>0.2216117216117216</v>
      </c>
      <c r="K30" s="4"/>
      <c r="L30" s="4">
        <f>+D30-H30</f>
        <v>-124.48</v>
      </c>
      <c r="M30" s="4"/>
      <c r="N30" s="12">
        <f>IF(H30=0,0,L30/H30)</f>
        <v>-1.0287603305785125</v>
      </c>
      <c r="O30" s="10"/>
      <c r="P30" s="4">
        <v>20.350000000000001</v>
      </c>
      <c r="Q30" s="4"/>
      <c r="R30" s="12">
        <f>IF(P$12=0,0,P30/P$12)</f>
        <v>0.18500000000000003</v>
      </c>
      <c r="S30" s="4"/>
      <c r="T30" s="4">
        <v>396</v>
      </c>
      <c r="U30" s="4"/>
      <c r="V30" s="12">
        <f>IF(T$12=0,0,T30/T$12)</f>
        <v>0.18947368421052632</v>
      </c>
      <c r="W30" s="4"/>
      <c r="X30" s="4">
        <f>+P30-T30</f>
        <v>-375.65</v>
      </c>
      <c r="Y30" s="4"/>
      <c r="Z30" s="12">
        <f>IF(T30=0,0,X30/T30)</f>
        <v>-0.94861111111111107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5" t="s">
        <v>4</v>
      </c>
      <c r="C32" s="25"/>
      <c r="D32" s="34">
        <f>+D28-D30</f>
        <v>3.48</v>
      </c>
      <c r="E32" s="13"/>
      <c r="F32" s="31">
        <f>IF(D$12=0,0,D32/D$12)</f>
        <v>0</v>
      </c>
      <c r="G32" s="13"/>
      <c r="H32" s="34">
        <f>+H28-H30</f>
        <v>105</v>
      </c>
      <c r="I32" s="13"/>
      <c r="J32" s="31">
        <f>IF(H$12=0,0,H32/H$12)</f>
        <v>0.19230769230769232</v>
      </c>
      <c r="K32" s="16"/>
      <c r="L32" s="34">
        <f>D32-H32</f>
        <v>-101.52</v>
      </c>
      <c r="M32" s="16"/>
      <c r="N32" s="31">
        <f>IF(H32=0,0,L32/H32)</f>
        <v>-0.96685714285714286</v>
      </c>
      <c r="O32" s="26"/>
      <c r="P32" s="34">
        <f>+P28-P30</f>
        <v>20.740000000000002</v>
      </c>
      <c r="Q32" s="13"/>
      <c r="R32" s="31">
        <f>IF(P$12=0,0,P32/P$12)</f>
        <v>0.18854545454545457</v>
      </c>
      <c r="S32" s="13"/>
      <c r="T32" s="34">
        <f>+T28-T30</f>
        <v>465</v>
      </c>
      <c r="U32" s="13"/>
      <c r="V32" s="31">
        <f>IF(T$12=0,0,T32/T$12)</f>
        <v>0.22248803827751196</v>
      </c>
      <c r="W32" s="16"/>
      <c r="X32" s="34">
        <f>P32-T32</f>
        <v>-444.26</v>
      </c>
      <c r="Y32" s="16"/>
      <c r="Z32" s="31">
        <f>IF(T32=0,0,X32/T32)</f>
        <v>-0.95539784946236561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5" t="s">
        <v>5</v>
      </c>
      <c r="C35" s="25"/>
      <c r="D35" s="33">
        <f>SUM(D32:D34)</f>
        <v>3.48</v>
      </c>
      <c r="E35" s="13"/>
      <c r="F35" s="32">
        <f>IF(D$12=0,0,D35/D$12)</f>
        <v>0</v>
      </c>
      <c r="G35" s="13"/>
      <c r="H35" s="33">
        <f>SUM(H32:H34)</f>
        <v>105</v>
      </c>
      <c r="I35" s="13"/>
      <c r="J35" s="32">
        <f>IF(H$12=0,0,H35/H$12)</f>
        <v>0.19230769230769232</v>
      </c>
      <c r="K35" s="16"/>
      <c r="L35" s="33">
        <f>+D35-H35</f>
        <v>-101.52</v>
      </c>
      <c r="M35" s="16"/>
      <c r="N35" s="32">
        <f>IF(H35=0,0,L35/H35)</f>
        <v>-0.96685714285714286</v>
      </c>
      <c r="O35" s="26"/>
      <c r="P35" s="33">
        <f>SUM(P32:P34)</f>
        <v>20.740000000000002</v>
      </c>
      <c r="Q35" s="13"/>
      <c r="R35" s="32">
        <f>IF(P$12=0,0,P35/P$12)</f>
        <v>0.18854545454545457</v>
      </c>
      <c r="S35" s="13"/>
      <c r="T35" s="33">
        <f>SUM(T32:T34)</f>
        <v>465</v>
      </c>
      <c r="U35" s="13"/>
      <c r="V35" s="32">
        <f>IF(T$12=0,0,T35/T$12)</f>
        <v>0.22248803827751196</v>
      </c>
      <c r="W35" s="16"/>
      <c r="X35" s="33">
        <f>+P35-T35</f>
        <v>-444.26</v>
      </c>
      <c r="Y35" s="16"/>
      <c r="Z35" s="32">
        <f>IF(T35=0,0,X35/T35)</f>
        <v>-0.95539784946236561</v>
      </c>
    </row>
    <row r="36" spans="1:26" ht="15.75" thickTop="1" x14ac:dyDescent="0.25">
      <c r="A36" s="9"/>
      <c r="C36" s="9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63">
        <v>44209.518663194445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0" t="s">
        <v>314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8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310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157248.93000000002</v>
      </c>
      <c r="E12" s="4"/>
      <c r="F12" s="12"/>
      <c r="G12" s="4"/>
      <c r="H12" s="4">
        <f>SUM(OSRRefH13x_0)</f>
        <v>305083</v>
      </c>
      <c r="I12" s="4"/>
      <c r="J12" s="12"/>
      <c r="K12" s="4"/>
      <c r="L12" s="4">
        <f t="shared" ref="L12:L20" si="0">+D12-H12</f>
        <v>-147834.06999999998</v>
      </c>
      <c r="M12" s="4"/>
      <c r="N12" s="12">
        <f t="shared" ref="N12:N20" si="1">IF(H12=0,0,L12/H12)</f>
        <v>-0.48457000226167951</v>
      </c>
      <c r="O12" s="10"/>
      <c r="P12" s="4">
        <f>SUM(OSRRefP13x_0)</f>
        <v>830713.86</v>
      </c>
      <c r="Q12" s="4"/>
      <c r="R12" s="12"/>
      <c r="S12" s="4"/>
      <c r="T12" s="4">
        <f>SUM(OSRRefT13x_0)</f>
        <v>1917796.9999999998</v>
      </c>
      <c r="U12" s="4"/>
      <c r="V12" s="12"/>
      <c r="W12" s="4"/>
      <c r="X12" s="4">
        <f t="shared" ref="X12:X20" si="2">+P12-T12</f>
        <v>-1087083.1399999997</v>
      </c>
      <c r="Y12" s="4"/>
      <c r="Z12" s="12">
        <f t="shared" ref="Z12:Z20" si="3">IF(T12=0,0,X12/T12)</f>
        <v>-0.56683952472550525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3716</v>
      </c>
      <c r="I13" s="2"/>
      <c r="J13" s="22"/>
      <c r="K13" s="2"/>
      <c r="L13" s="2">
        <f t="shared" si="0"/>
        <v>-3716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27724</v>
      </c>
      <c r="U13" s="2"/>
      <c r="V13" s="22"/>
      <c r="W13" s="2"/>
      <c r="X13" s="2">
        <f t="shared" si="2"/>
        <v>-27724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>--5713.27</f>
        <v>5713.27</v>
      </c>
      <c r="E14" s="2"/>
      <c r="F14" s="22"/>
      <c r="G14" s="2"/>
      <c r="H14" s="2"/>
      <c r="I14" s="2"/>
      <c r="J14" s="22"/>
      <c r="K14" s="2"/>
      <c r="L14" s="2">
        <f t="shared" si="0"/>
        <v>5713.27</v>
      </c>
      <c r="M14" s="2"/>
      <c r="N14" s="22">
        <f t="shared" si="1"/>
        <v>0</v>
      </c>
      <c r="O14" s="11"/>
      <c r="P14" s="2">
        <f>--22964.48</f>
        <v>22964.48</v>
      </c>
      <c r="Q14" s="2"/>
      <c r="R14" s="22"/>
      <c r="S14" s="2"/>
      <c r="T14" s="2"/>
      <c r="U14" s="2"/>
      <c r="V14" s="22"/>
      <c r="W14" s="2"/>
      <c r="X14" s="2">
        <f t="shared" si="2"/>
        <v>22964.48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"4052", " - ", "TAXABLE SALES-FOOD")</f>
        <v xml:space="preserve">          4052 - TAXABLE SALES-FOOD</v>
      </c>
      <c r="C15" s="11"/>
      <c r="D15" s="2">
        <f>--62378.23</f>
        <v>62378.23</v>
      </c>
      <c r="E15" s="2"/>
      <c r="F15" s="22"/>
      <c r="G15" s="2"/>
      <c r="H15" s="2"/>
      <c r="I15" s="2"/>
      <c r="J15" s="22"/>
      <c r="K15" s="2"/>
      <c r="L15" s="2">
        <f t="shared" si="0"/>
        <v>62378.23</v>
      </c>
      <c r="M15" s="2"/>
      <c r="N15" s="22">
        <f t="shared" si="1"/>
        <v>0</v>
      </c>
      <c r="O15" s="11"/>
      <c r="P15" s="2">
        <f>--148103.39</f>
        <v>148103.39000000001</v>
      </c>
      <c r="Q15" s="2"/>
      <c r="R15" s="22"/>
      <c r="S15" s="2"/>
      <c r="T15" s="2"/>
      <c r="U15" s="2"/>
      <c r="V15" s="22"/>
      <c r="W15" s="2"/>
      <c r="X15" s="2">
        <f t="shared" si="2"/>
        <v>148103.39000000001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"4053", " - ", "TAXABLE SALES-FOOD")</f>
        <v xml:space="preserve">          4053 - TAXABLE SALES-FOOD</v>
      </c>
      <c r="C16" s="11"/>
      <c r="D16" s="2">
        <f>--38.05</f>
        <v>38.049999999999997</v>
      </c>
      <c r="E16" s="2"/>
      <c r="F16" s="22"/>
      <c r="G16" s="2"/>
      <c r="H16" s="2"/>
      <c r="I16" s="2"/>
      <c r="J16" s="22"/>
      <c r="K16" s="2"/>
      <c r="L16" s="2">
        <f t="shared" si="0"/>
        <v>38.049999999999997</v>
      </c>
      <c r="M16" s="2"/>
      <c r="N16" s="22">
        <f t="shared" si="1"/>
        <v>0</v>
      </c>
      <c r="O16" s="11"/>
      <c r="P16" s="2">
        <f>--533.08</f>
        <v>533.08000000000004</v>
      </c>
      <c r="Q16" s="2"/>
      <c r="R16" s="22"/>
      <c r="S16" s="2"/>
      <c r="T16" s="2"/>
      <c r="U16" s="2"/>
      <c r="V16" s="22"/>
      <c r="W16" s="2"/>
      <c r="X16" s="2">
        <f t="shared" si="2"/>
        <v>533.08000000000004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"4058", " - ", "TAXABLE SALES-FOOD")</f>
        <v xml:space="preserve">          4058 - TAXABLE SALES-FOOD</v>
      </c>
      <c r="C17" s="11"/>
      <c r="D17" s="2">
        <f t="shared" ref="D17:D18" si="4">0</f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--974.91</f>
        <v>974.91</v>
      </c>
      <c r="Q17" s="2"/>
      <c r="R17" s="22"/>
      <c r="S17" s="2"/>
      <c r="T17" s="2"/>
      <c r="U17" s="2"/>
      <c r="V17" s="22"/>
      <c r="W17" s="2"/>
      <c r="X17" s="2">
        <f t="shared" si="2"/>
        <v>974.91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"4100", " - ", "NON-TAXABLE SALES")</f>
        <v xml:space="preserve">          4100 - NON-TAXABLE SALES</v>
      </c>
      <c r="C18" s="11"/>
      <c r="D18" s="2">
        <f t="shared" si="4"/>
        <v>0</v>
      </c>
      <c r="E18" s="2"/>
      <c r="F18" s="22"/>
      <c r="G18" s="2"/>
      <c r="H18" s="2">
        <v>301367</v>
      </c>
      <c r="I18" s="2"/>
      <c r="J18" s="22"/>
      <c r="K18" s="2"/>
      <c r="L18" s="2">
        <f t="shared" si="0"/>
        <v>-301367</v>
      </c>
      <c r="M18" s="2"/>
      <c r="N18" s="22">
        <f t="shared" si="1"/>
        <v>-1</v>
      </c>
      <c r="O18" s="11"/>
      <c r="P18" s="2">
        <f>0</f>
        <v>0</v>
      </c>
      <c r="Q18" s="2"/>
      <c r="R18" s="22"/>
      <c r="S18" s="2"/>
      <c r="T18" s="2">
        <v>1890072.9999999998</v>
      </c>
      <c r="U18" s="2"/>
      <c r="V18" s="22"/>
      <c r="W18" s="2"/>
      <c r="X18" s="2">
        <f t="shared" si="2"/>
        <v>-1890072.9999999998</v>
      </c>
      <c r="Y18" s="2"/>
      <c r="Z18" s="22">
        <f t="shared" si="3"/>
        <v>-1</v>
      </c>
    </row>
    <row r="19" spans="1:26" s="24" customFormat="1" hidden="1" outlineLevel="1" x14ac:dyDescent="0.25">
      <c r="A19" s="51"/>
      <c r="B19" s="11" t="str">
        <f>CONCATENATE("          ", "4151", " - ", "NON-TAXABLE SALES-FOOD")</f>
        <v xml:space="preserve">          4151 - NON-TAXABLE SALES-FOOD</v>
      </c>
      <c r="C19" s="11"/>
      <c r="D19" s="2">
        <f>--85481.84</f>
        <v>85481.84</v>
      </c>
      <c r="E19" s="2"/>
      <c r="F19" s="22"/>
      <c r="G19" s="2"/>
      <c r="H19" s="2"/>
      <c r="I19" s="2"/>
      <c r="J19" s="22"/>
      <c r="K19" s="2"/>
      <c r="L19" s="2">
        <f t="shared" si="0"/>
        <v>85481.84</v>
      </c>
      <c r="M19" s="2"/>
      <c r="N19" s="22">
        <f t="shared" si="1"/>
        <v>0</v>
      </c>
      <c r="O19" s="11"/>
      <c r="P19" s="2">
        <f>--628376.6</f>
        <v>628376.6</v>
      </c>
      <c r="Q19" s="2"/>
      <c r="R19" s="22"/>
      <c r="S19" s="2"/>
      <c r="T19" s="2"/>
      <c r="U19" s="2"/>
      <c r="V19" s="22"/>
      <c r="W19" s="2"/>
      <c r="X19" s="2">
        <f t="shared" si="2"/>
        <v>628376.6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"4153", " - ", "NON-TAXABLE SALES-FOOD")</f>
        <v xml:space="preserve">          4153 - NON-TAXABLE SALES-FOOD</v>
      </c>
      <c r="C20" s="11"/>
      <c r="D20" s="2">
        <f>--3637.54</f>
        <v>3637.54</v>
      </c>
      <c r="E20" s="2"/>
      <c r="F20" s="22"/>
      <c r="G20" s="2"/>
      <c r="H20" s="2"/>
      <c r="I20" s="2"/>
      <c r="J20" s="22"/>
      <c r="K20" s="2"/>
      <c r="L20" s="2">
        <f t="shared" si="0"/>
        <v>3637.54</v>
      </c>
      <c r="M20" s="2"/>
      <c r="N20" s="22">
        <f t="shared" si="1"/>
        <v>0</v>
      </c>
      <c r="O20" s="11"/>
      <c r="P20" s="2">
        <f>--29761.4</f>
        <v>29761.4</v>
      </c>
      <c r="Q20" s="2"/>
      <c r="R20" s="22"/>
      <c r="S20" s="2"/>
      <c r="T20" s="2"/>
      <c r="U20" s="2"/>
      <c r="V20" s="22"/>
      <c r="W20" s="2"/>
      <c r="X20" s="2">
        <f t="shared" si="2"/>
        <v>29761.4</v>
      </c>
      <c r="Y20" s="2"/>
      <c r="Z20" s="22">
        <f t="shared" si="3"/>
        <v>0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6" t="s">
        <v>8</v>
      </c>
      <c r="C22" s="10"/>
      <c r="D22" s="4">
        <f>SUM(OSRRefD16x_0)</f>
        <v>38808.870000000003</v>
      </c>
      <c r="E22" s="4"/>
      <c r="F22" s="12">
        <f t="shared" ref="F22:F25" si="5">IF(D$12=0,0,D22/D$12)</f>
        <v>0.24679894483224782</v>
      </c>
      <c r="G22" s="4"/>
      <c r="H22" s="4">
        <f>SUM(OSRRefH16x_0)</f>
        <v>80442</v>
      </c>
      <c r="I22" s="4"/>
      <c r="J22" s="12">
        <f t="shared" ref="J22:J25" si="6">IF(H$12=0,0,H22/H$12)</f>
        <v>0.26367250879268922</v>
      </c>
      <c r="K22" s="4"/>
      <c r="L22" s="4">
        <f t="shared" ref="L22:L25" si="7">+D22-H22</f>
        <v>-41633.129999999997</v>
      </c>
      <c r="M22" s="4"/>
      <c r="N22" s="12">
        <f t="shared" ref="N22:N25" si="8">IF(H22=0,0,L22/H22)</f>
        <v>-0.51755463563809945</v>
      </c>
      <c r="O22" s="10"/>
      <c r="P22" s="4">
        <f>SUM(OSRRefP16x_0)</f>
        <v>269718.28999999998</v>
      </c>
      <c r="Q22" s="4"/>
      <c r="R22" s="12">
        <f t="shared" ref="R22:R25" si="9">IF(P$12=0,0,P22/P$12)</f>
        <v>0.32468254472123526</v>
      </c>
      <c r="S22" s="4"/>
      <c r="T22" s="4">
        <f>SUM(OSRRefT16x_0)</f>
        <v>523398.99999999994</v>
      </c>
      <c r="U22" s="4"/>
      <c r="V22" s="12">
        <f t="shared" ref="V22:V25" si="10">IF(T$12=0,0,T22/T$12)</f>
        <v>0.27291678942036096</v>
      </c>
      <c r="W22" s="4"/>
      <c r="X22" s="4">
        <f t="shared" ref="X22:X25" si="11">+P22-T22</f>
        <v>-253680.70999999996</v>
      </c>
      <c r="Y22" s="4"/>
      <c r="Z22" s="12">
        <f t="shared" ref="Z22:Z25" si="12">IF(T22=0,0,X22/T22)</f>
        <v>-0.48467939373212404</v>
      </c>
    </row>
    <row r="23" spans="1:26" s="24" customFormat="1" hidden="1" outlineLevel="1" x14ac:dyDescent="0.25">
      <c r="A23" s="51"/>
      <c r="B23" s="11" t="str">
        <f>CONCATENATE("          ", "5000", " - ", "PURCHASES @ COST")</f>
        <v xml:space="preserve">          5000 - PURCHASES @ COST</v>
      </c>
      <c r="C23" s="11"/>
      <c r="D23" s="2"/>
      <c r="E23" s="2"/>
      <c r="F23" s="22">
        <f t="shared" si="5"/>
        <v>0</v>
      </c>
      <c r="G23" s="2"/>
      <c r="H23" s="2">
        <v>80442</v>
      </c>
      <c r="I23" s="2"/>
      <c r="J23" s="22">
        <f t="shared" si="6"/>
        <v>0.26367250879268922</v>
      </c>
      <c r="K23" s="2"/>
      <c r="L23" s="2">
        <f t="shared" si="7"/>
        <v>-80442</v>
      </c>
      <c r="M23" s="2"/>
      <c r="N23" s="22">
        <f t="shared" si="8"/>
        <v>-1</v>
      </c>
      <c r="O23" s="11"/>
      <c r="P23" s="2"/>
      <c r="Q23" s="2"/>
      <c r="R23" s="22">
        <f t="shared" si="9"/>
        <v>0</v>
      </c>
      <c r="S23" s="2"/>
      <c r="T23" s="2">
        <v>523398.99999999994</v>
      </c>
      <c r="U23" s="2"/>
      <c r="V23" s="22">
        <f t="shared" si="10"/>
        <v>0.27291678942036096</v>
      </c>
      <c r="W23" s="2"/>
      <c r="X23" s="2">
        <f t="shared" si="11"/>
        <v>-523398.99999999994</v>
      </c>
      <c r="Y23" s="2"/>
      <c r="Z23" s="22">
        <f t="shared" si="12"/>
        <v>-1</v>
      </c>
    </row>
    <row r="24" spans="1:26" s="24" customFormat="1" hidden="1" outlineLevel="1" x14ac:dyDescent="0.25">
      <c r="A24" s="51"/>
      <c r="B24" s="11" t="str">
        <f>CONCATENATE("          ", "5053", " - ", "PURCHASES @ COST-FOOD")</f>
        <v xml:space="preserve">          5053 - PURCHASES @ COST-FOOD</v>
      </c>
      <c r="C24" s="11"/>
      <c r="D24" s="2">
        <v>34549.870000000003</v>
      </c>
      <c r="E24" s="2"/>
      <c r="F24" s="22">
        <f t="shared" si="5"/>
        <v>0.21971449980613539</v>
      </c>
      <c r="G24" s="2"/>
      <c r="H24" s="2"/>
      <c r="I24" s="2"/>
      <c r="J24" s="22">
        <f t="shared" si="6"/>
        <v>0</v>
      </c>
      <c r="K24" s="2"/>
      <c r="L24" s="2">
        <f t="shared" si="7"/>
        <v>34549.870000000003</v>
      </c>
      <c r="M24" s="2"/>
      <c r="N24" s="22">
        <f t="shared" si="8"/>
        <v>0</v>
      </c>
      <c r="O24" s="11"/>
      <c r="P24" s="2">
        <v>269637.90999999997</v>
      </c>
      <c r="Q24" s="2"/>
      <c r="R24" s="22">
        <f t="shared" si="9"/>
        <v>0.32458578456846737</v>
      </c>
      <c r="S24" s="2"/>
      <c r="T24" s="2"/>
      <c r="U24" s="2"/>
      <c r="V24" s="22">
        <f t="shared" si="10"/>
        <v>0</v>
      </c>
      <c r="W24" s="2"/>
      <c r="X24" s="2">
        <f t="shared" si="11"/>
        <v>269637.90999999997</v>
      </c>
      <c r="Y24" s="2"/>
      <c r="Z24" s="22">
        <f t="shared" si="12"/>
        <v>0</v>
      </c>
    </row>
    <row r="25" spans="1:26" s="24" customFormat="1" hidden="1" outlineLevel="1" x14ac:dyDescent="0.25">
      <c r="A25" s="51"/>
      <c r="B25" s="11" t="str">
        <f>CONCATENATE("          ", "5059", " - ", "PURCHASES @ COST-FOOD")</f>
        <v xml:space="preserve">          5059 - PURCHASES @ COST-FOOD</v>
      </c>
      <c r="C25" s="11"/>
      <c r="D25" s="2">
        <v>4259</v>
      </c>
      <c r="E25" s="2"/>
      <c r="F25" s="22">
        <f t="shared" si="5"/>
        <v>2.7084445026112416E-2</v>
      </c>
      <c r="G25" s="2"/>
      <c r="H25" s="2"/>
      <c r="I25" s="2"/>
      <c r="J25" s="22">
        <f t="shared" si="6"/>
        <v>0</v>
      </c>
      <c r="K25" s="2"/>
      <c r="L25" s="2">
        <f t="shared" si="7"/>
        <v>4259</v>
      </c>
      <c r="M25" s="2"/>
      <c r="N25" s="22">
        <f t="shared" si="8"/>
        <v>0</v>
      </c>
      <c r="O25" s="11"/>
      <c r="P25" s="2">
        <v>80.38</v>
      </c>
      <c r="Q25" s="2"/>
      <c r="R25" s="22">
        <f t="shared" si="9"/>
        <v>9.6760152767885678E-5</v>
      </c>
      <c r="S25" s="2"/>
      <c r="T25" s="2"/>
      <c r="U25" s="2"/>
      <c r="V25" s="22">
        <f t="shared" si="10"/>
        <v>0</v>
      </c>
      <c r="W25" s="2"/>
      <c r="X25" s="2">
        <f t="shared" si="11"/>
        <v>80.38</v>
      </c>
      <c r="Y25" s="2"/>
      <c r="Z25" s="22">
        <f t="shared" si="12"/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6</v>
      </c>
      <c r="C27" s="25"/>
      <c r="D27" s="21">
        <f>D12-D22</f>
        <v>118440.06000000003</v>
      </c>
      <c r="E27" s="13"/>
      <c r="F27" s="19">
        <f>IF(D$12=0,0,D27/D$12)</f>
        <v>0.75320105516775226</v>
      </c>
      <c r="G27" s="13"/>
      <c r="H27" s="21">
        <f>H12-H22</f>
        <v>224641</v>
      </c>
      <c r="I27" s="13"/>
      <c r="J27" s="19">
        <f>IF(H$12=0,0,H27/H$12)</f>
        <v>0.73632749120731078</v>
      </c>
      <c r="K27" s="16"/>
      <c r="L27" s="21">
        <f>+D27-H27</f>
        <v>-106200.93999999997</v>
      </c>
      <c r="M27" s="16"/>
      <c r="N27" s="19">
        <f>IF(H27=0,0,L27/H27)</f>
        <v>-0.47275849021327349</v>
      </c>
      <c r="O27" s="26"/>
      <c r="P27" s="21">
        <f>P12-P22</f>
        <v>560995.57000000007</v>
      </c>
      <c r="Q27" s="13"/>
      <c r="R27" s="19">
        <f>IF(P$12=0,0,P27/P$12)</f>
        <v>0.67531745527876474</v>
      </c>
      <c r="S27" s="13"/>
      <c r="T27" s="21">
        <f>T12-T22</f>
        <v>1394397.9999999998</v>
      </c>
      <c r="U27" s="13"/>
      <c r="V27" s="19">
        <f>IF(T$12=0,0,T27/T$12)</f>
        <v>0.72708321057963898</v>
      </c>
      <c r="W27" s="16"/>
      <c r="X27" s="21">
        <f>+P27-T27</f>
        <v>-833402.4299999997</v>
      </c>
      <c r="Y27" s="16"/>
      <c r="Z27" s="19">
        <f>IF(T27=0,0,X27/T27)</f>
        <v>-0.59767901990679839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6" t="s">
        <v>9</v>
      </c>
      <c r="C29" s="10"/>
      <c r="D29" s="20">
        <f>SUM(OSRRefD22x_0)</f>
        <v>364083.84999999992</v>
      </c>
      <c r="E29" s="20"/>
      <c r="F29" s="30">
        <f t="shared" ref="F29:F40" si="13">IF(D$12=0,0,D29/D$12)</f>
        <v>2.3153343555342465</v>
      </c>
      <c r="G29" s="20"/>
      <c r="H29" s="20">
        <f>SUM(OSRRefH22x_0)</f>
        <v>455627.03361537872</v>
      </c>
      <c r="I29" s="20"/>
      <c r="J29" s="30">
        <f t="shared" ref="J29:J40" si="14">IF(H$12=0,0,H29/H$12)</f>
        <v>1.4934527116075911</v>
      </c>
      <c r="K29" s="4"/>
      <c r="L29" s="20">
        <f t="shared" ref="L29:L40" si="15">+D29-H29</f>
        <v>-91543.183615378803</v>
      </c>
      <c r="M29" s="4"/>
      <c r="N29" s="30">
        <f t="shared" ref="N29:N40" si="16">IF(H29=0,0,L29/H29)</f>
        <v>-0.20091692735830011</v>
      </c>
      <c r="O29" s="10"/>
      <c r="P29" s="20">
        <f>SUM(OSRRefP22x_0)</f>
        <v>2078309.9699999993</v>
      </c>
      <c r="Q29" s="20"/>
      <c r="R29" s="30">
        <f t="shared" ref="R29:R40" si="17">IF(P$12=0,0,P29/P$12)</f>
        <v>2.5018361557131108</v>
      </c>
      <c r="S29" s="20"/>
      <c r="T29" s="20">
        <f>SUM(OSRRefT22x_0)</f>
        <v>2763320.9212976312</v>
      </c>
      <c r="U29" s="20"/>
      <c r="V29" s="30">
        <f t="shared" ref="V29:V40" si="18">IF(T$12=0,0,T29/T$12)</f>
        <v>1.4408829095559288</v>
      </c>
      <c r="W29" s="4"/>
      <c r="X29" s="20">
        <f t="shared" ref="X29:X40" si="19">+P29-T29</f>
        <v>-685010.95129763195</v>
      </c>
      <c r="Y29" s="4"/>
      <c r="Z29" s="30">
        <f t="shared" ref="Z29:Z40" si="20">IF(T29=0,0,X29/T29)</f>
        <v>-0.24789409945767604</v>
      </c>
    </row>
    <row r="30" spans="1:26" s="28" customFormat="1" outlineLevel="1" collapsed="1" x14ac:dyDescent="0.25">
      <c r="A30" s="27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96760.07</v>
      </c>
      <c r="E30" s="1"/>
      <c r="F30" s="5">
        <f t="shared" si="13"/>
        <v>0.61533054628734196</v>
      </c>
      <c r="G30" s="1"/>
      <c r="H30" s="1">
        <f>SUM(OSRRefH22_0x_0)</f>
        <v>110258.08576627617</v>
      </c>
      <c r="I30" s="1"/>
      <c r="J30" s="5">
        <f t="shared" si="14"/>
        <v>0.36140357137656365</v>
      </c>
      <c r="K30" s="1"/>
      <c r="L30" s="1">
        <f t="shared" si="15"/>
        <v>-13498.015766276163</v>
      </c>
      <c r="M30" s="1"/>
      <c r="N30" s="5">
        <f t="shared" si="16"/>
        <v>-0.12242200354257105</v>
      </c>
      <c r="O30" s="14"/>
      <c r="P30" s="1">
        <f>SUM(OSRRefP22_0x_0)</f>
        <v>597877.31999999995</v>
      </c>
      <c r="Q30" s="1"/>
      <c r="R30" s="5">
        <f t="shared" si="17"/>
        <v>0.71971511345675632</v>
      </c>
      <c r="S30" s="1"/>
      <c r="T30" s="1">
        <f>SUM(OSRRefT22_0x_0)</f>
        <v>702278.4611126316</v>
      </c>
      <c r="U30" s="1"/>
      <c r="V30" s="5">
        <f t="shared" si="18"/>
        <v>0.36619019693566718</v>
      </c>
      <c r="W30" s="1"/>
      <c r="X30" s="1">
        <f t="shared" si="19"/>
        <v>-104401.14111263165</v>
      </c>
      <c r="Y30" s="1"/>
      <c r="Z30" s="5">
        <f t="shared" si="20"/>
        <v>-0.14866060529213321</v>
      </c>
    </row>
    <row r="31" spans="1:26" s="24" customFormat="1" hidden="1" outlineLevel="2" x14ac:dyDescent="0.25">
      <c r="A31" s="29"/>
      <c r="B31" s="11" t="str">
        <f>CONCATENATE("          ", "6111", " - ", "F.I.C.A.")</f>
        <v xml:space="preserve">          6111 - F.I.C.A.</v>
      </c>
      <c r="C31" s="11"/>
      <c r="D31" s="7">
        <v>8756.08</v>
      </c>
      <c r="E31" s="2"/>
      <c r="F31" s="6">
        <f t="shared" si="13"/>
        <v>5.5682922611937635E-2</v>
      </c>
      <c r="G31" s="2"/>
      <c r="H31" s="7">
        <v>11420.61091852615</v>
      </c>
      <c r="I31" s="2"/>
      <c r="J31" s="6">
        <f t="shared" si="14"/>
        <v>3.7434438885569341E-2</v>
      </c>
      <c r="K31" s="2"/>
      <c r="L31" s="7">
        <f t="shared" si="15"/>
        <v>-2664.5309185261503</v>
      </c>
      <c r="M31" s="2"/>
      <c r="N31" s="6">
        <f t="shared" si="16"/>
        <v>-0.23330896547783039</v>
      </c>
      <c r="O31" s="11"/>
      <c r="P31" s="7">
        <v>64750.82</v>
      </c>
      <c r="Q31" s="2"/>
      <c r="R31" s="6">
        <f t="shared" si="17"/>
        <v>7.7945996952548738E-2</v>
      </c>
      <c r="S31" s="2"/>
      <c r="T31" s="7">
        <v>74567.197896419981</v>
      </c>
      <c r="U31" s="2"/>
      <c r="V31" s="6">
        <f t="shared" si="18"/>
        <v>3.8881694932477208E-2</v>
      </c>
      <c r="W31" s="2"/>
      <c r="X31" s="7">
        <f t="shared" si="19"/>
        <v>-9816.377896419981</v>
      </c>
      <c r="Y31" s="2"/>
      <c r="Z31" s="6">
        <f t="shared" si="20"/>
        <v>-0.13164472010944736</v>
      </c>
    </row>
    <row r="32" spans="1:26" s="24" customFormat="1" hidden="1" outlineLevel="2" x14ac:dyDescent="0.25">
      <c r="A32" s="29"/>
      <c r="B32" s="11" t="str">
        <f>CONCATENATE("          ", "6112", " - ", "COMPENSATION INSURANCE")</f>
        <v xml:space="preserve">          6112 - COMPENSATION INSURANCE</v>
      </c>
      <c r="C32" s="11"/>
      <c r="D32" s="7">
        <v>9429.67</v>
      </c>
      <c r="E32" s="2"/>
      <c r="F32" s="6">
        <f t="shared" si="13"/>
        <v>5.9966512967687596E-2</v>
      </c>
      <c r="G32" s="2"/>
      <c r="H32" s="7">
        <v>7797.0948569884622</v>
      </c>
      <c r="I32" s="2"/>
      <c r="J32" s="6">
        <f t="shared" si="14"/>
        <v>2.555729049795781E-2</v>
      </c>
      <c r="K32" s="2"/>
      <c r="L32" s="7">
        <f t="shared" si="15"/>
        <v>1632.5751430115379</v>
      </c>
      <c r="M32" s="2"/>
      <c r="N32" s="6">
        <f t="shared" si="16"/>
        <v>0.20938249090919758</v>
      </c>
      <c r="O32" s="11"/>
      <c r="P32" s="7">
        <v>39064.07</v>
      </c>
      <c r="Q32" s="2"/>
      <c r="R32" s="6">
        <f t="shared" si="17"/>
        <v>4.7024699936991543E-2</v>
      </c>
      <c r="S32" s="2"/>
      <c r="T32" s="7">
        <v>47663.326677450001</v>
      </c>
      <c r="U32" s="2"/>
      <c r="V32" s="6">
        <f t="shared" si="18"/>
        <v>2.4853165729975594E-2</v>
      </c>
      <c r="W32" s="2"/>
      <c r="X32" s="7">
        <f t="shared" si="19"/>
        <v>-8599.256677450001</v>
      </c>
      <c r="Y32" s="2"/>
      <c r="Z32" s="6">
        <f t="shared" si="20"/>
        <v>-0.1804166279799013</v>
      </c>
    </row>
    <row r="33" spans="1:26" s="24" customFormat="1" hidden="1" outlineLevel="2" x14ac:dyDescent="0.25">
      <c r="A33" s="29"/>
      <c r="B33" s="11" t="str">
        <f>CONCATENATE("          ", "6113", " - ", "GROUP INSURANCE")</f>
        <v xml:space="preserve">          6113 - GROUP INSURANCE</v>
      </c>
      <c r="C33" s="11"/>
      <c r="D33" s="7">
        <v>54369.29</v>
      </c>
      <c r="E33" s="2"/>
      <c r="F33" s="6">
        <f t="shared" si="13"/>
        <v>0.34575300448785246</v>
      </c>
      <c r="G33" s="2"/>
      <c r="H33" s="7">
        <v>66124.307692307717</v>
      </c>
      <c r="I33" s="2"/>
      <c r="J33" s="6">
        <f t="shared" si="14"/>
        <v>0.21674202657082733</v>
      </c>
      <c r="K33" s="2"/>
      <c r="L33" s="7">
        <f t="shared" si="15"/>
        <v>-11755.017692307716</v>
      </c>
      <c r="M33" s="2"/>
      <c r="N33" s="6">
        <f t="shared" si="16"/>
        <v>-0.17777150495104821</v>
      </c>
      <c r="O33" s="11"/>
      <c r="P33" s="7">
        <v>328523.77999999997</v>
      </c>
      <c r="Q33" s="2"/>
      <c r="R33" s="6">
        <f t="shared" si="17"/>
        <v>0.39547164892614162</v>
      </c>
      <c r="S33" s="2"/>
      <c r="T33" s="7">
        <v>421920.46153846156</v>
      </c>
      <c r="U33" s="2"/>
      <c r="V33" s="6">
        <f t="shared" si="18"/>
        <v>0.22000267053210618</v>
      </c>
      <c r="W33" s="2"/>
      <c r="X33" s="7">
        <f t="shared" si="19"/>
        <v>-93396.681538461591</v>
      </c>
      <c r="Y33" s="2"/>
      <c r="Z33" s="6">
        <f t="shared" si="20"/>
        <v>-0.22136087261069634</v>
      </c>
    </row>
    <row r="34" spans="1:26" s="24" customFormat="1" hidden="1" outlineLevel="2" x14ac:dyDescent="0.25">
      <c r="A34" s="29"/>
      <c r="B34" s="11" t="str">
        <f>CONCATENATE("          ", "6114", " - ", "STATE UNEMPLOYMENT INSURANCE")</f>
        <v xml:space="preserve">          6114 - STATE UNEMPLOYMENT INSURANCE</v>
      </c>
      <c r="C34" s="11"/>
      <c r="D34" s="7"/>
      <c r="E34" s="2"/>
      <c r="F34" s="6">
        <f t="shared" si="13"/>
        <v>0</v>
      </c>
      <c r="G34" s="2"/>
      <c r="H34" s="7">
        <v>499.11735729999992</v>
      </c>
      <c r="I34" s="2"/>
      <c r="J34" s="6">
        <f t="shared" si="14"/>
        <v>1.6360051438461007E-3</v>
      </c>
      <c r="K34" s="2"/>
      <c r="L34" s="7">
        <f t="shared" si="15"/>
        <v>-499.11735729999992</v>
      </c>
      <c r="M34" s="2"/>
      <c r="N34" s="6">
        <f t="shared" si="16"/>
        <v>-1</v>
      </c>
      <c r="O34" s="11"/>
      <c r="P34" s="7">
        <v>2154.13</v>
      </c>
      <c r="Q34" s="2"/>
      <c r="R34" s="6">
        <f t="shared" si="17"/>
        <v>2.5931070898467978E-3</v>
      </c>
      <c r="S34" s="2"/>
      <c r="T34" s="7">
        <v>3061.3664653000001</v>
      </c>
      <c r="U34" s="2"/>
      <c r="V34" s="6">
        <f t="shared" si="18"/>
        <v>1.596293280936408E-3</v>
      </c>
      <c r="W34" s="2"/>
      <c r="X34" s="7">
        <f t="shared" si="19"/>
        <v>-907.23646529999996</v>
      </c>
      <c r="Y34" s="2"/>
      <c r="Z34" s="6">
        <f t="shared" si="20"/>
        <v>-0.29635016767294958</v>
      </c>
    </row>
    <row r="35" spans="1:26" s="24" customFormat="1" hidden="1" outlineLevel="2" x14ac:dyDescent="0.25">
      <c r="A35" s="29"/>
      <c r="B35" s="11" t="str">
        <f>CONCATENATE("          ", "6115", " - ", "P.E.R.S.")</f>
        <v xml:space="preserve">          6115 - P.E.R.S.</v>
      </c>
      <c r="C35" s="11"/>
      <c r="D35" s="7">
        <v>6252.05</v>
      </c>
      <c r="E35" s="2"/>
      <c r="F35" s="6">
        <f t="shared" si="13"/>
        <v>3.9758935084645723E-2</v>
      </c>
      <c r="G35" s="2"/>
      <c r="H35" s="7">
        <v>5989.2751107692384</v>
      </c>
      <c r="I35" s="2"/>
      <c r="J35" s="6">
        <f t="shared" si="14"/>
        <v>1.9631625199598924E-2</v>
      </c>
      <c r="K35" s="2"/>
      <c r="L35" s="7">
        <f t="shared" si="15"/>
        <v>262.7748892307618</v>
      </c>
      <c r="M35" s="2"/>
      <c r="N35" s="6">
        <f t="shared" si="16"/>
        <v>4.3874239264492902E-2</v>
      </c>
      <c r="O35" s="11"/>
      <c r="P35" s="7">
        <v>43914.659999999996</v>
      </c>
      <c r="Q35" s="2"/>
      <c r="R35" s="6">
        <f t="shared" si="17"/>
        <v>5.2863762258643421E-2</v>
      </c>
      <c r="S35" s="2"/>
      <c r="T35" s="7">
        <v>38930.288220000053</v>
      </c>
      <c r="U35" s="2"/>
      <c r="V35" s="6">
        <f t="shared" si="18"/>
        <v>2.0299483323834619E-2</v>
      </c>
      <c r="W35" s="2"/>
      <c r="X35" s="7">
        <f t="shared" si="19"/>
        <v>4984.3717799999431</v>
      </c>
      <c r="Y35" s="2"/>
      <c r="Z35" s="6">
        <f t="shared" si="20"/>
        <v>0.12803326170699325</v>
      </c>
    </row>
    <row r="36" spans="1:26" s="24" customFormat="1" hidden="1" outlineLevel="2" x14ac:dyDescent="0.25">
      <c r="A36" s="29"/>
      <c r="B36" s="11" t="str">
        <f>CONCATENATE("          ", "6116", " - ", "EDUCATIONAL BENEFITS")</f>
        <v xml:space="preserve">          6116 - EDUCATIONAL BENEFITS</v>
      </c>
      <c r="C36" s="11"/>
      <c r="D36" s="7"/>
      <c r="E36" s="2"/>
      <c r="F36" s="6">
        <f t="shared" si="13"/>
        <v>0</v>
      </c>
      <c r="G36" s="2"/>
      <c r="H36" s="7">
        <v>0</v>
      </c>
      <c r="I36" s="2"/>
      <c r="J36" s="6">
        <f t="shared" si="14"/>
        <v>0</v>
      </c>
      <c r="K36" s="2"/>
      <c r="L36" s="7">
        <f t="shared" si="15"/>
        <v>0</v>
      </c>
      <c r="M36" s="2"/>
      <c r="N36" s="6">
        <f t="shared" si="16"/>
        <v>0</v>
      </c>
      <c r="O36" s="11"/>
      <c r="P36" s="7"/>
      <c r="Q36" s="2"/>
      <c r="R36" s="6">
        <f t="shared" si="17"/>
        <v>0</v>
      </c>
      <c r="S36" s="2"/>
      <c r="T36" s="7">
        <v>0</v>
      </c>
      <c r="U36" s="2"/>
      <c r="V36" s="6">
        <f t="shared" si="18"/>
        <v>0</v>
      </c>
      <c r="W36" s="2"/>
      <c r="X36" s="7">
        <f t="shared" si="19"/>
        <v>0</v>
      </c>
      <c r="Y36" s="2"/>
      <c r="Z36" s="6">
        <f t="shared" si="20"/>
        <v>0</v>
      </c>
    </row>
    <row r="37" spans="1:26" s="24" customFormat="1" hidden="1" outlineLevel="2" x14ac:dyDescent="0.25">
      <c r="A37" s="29"/>
      <c r="B37" s="11" t="str">
        <f>CONCATENATE("          ", "6117", " - ", "RETIREMENT STAFF HOURLY")</f>
        <v xml:space="preserve">          6117 - RETIREMENT STAFF HOURLY</v>
      </c>
      <c r="C37" s="11"/>
      <c r="D37" s="7">
        <v>1345.94</v>
      </c>
      <c r="E37" s="2"/>
      <c r="F37" s="6">
        <f t="shared" si="13"/>
        <v>8.559295125251408E-3</v>
      </c>
      <c r="G37" s="2"/>
      <c r="H37" s="7"/>
      <c r="I37" s="2"/>
      <c r="J37" s="6">
        <f t="shared" si="14"/>
        <v>0</v>
      </c>
      <c r="K37" s="2"/>
      <c r="L37" s="7">
        <f t="shared" si="15"/>
        <v>1345.94</v>
      </c>
      <c r="M37" s="2"/>
      <c r="N37" s="6">
        <f t="shared" si="16"/>
        <v>0</v>
      </c>
      <c r="O37" s="11"/>
      <c r="P37" s="7">
        <v>9032.7999999999993</v>
      </c>
      <c r="Q37" s="2"/>
      <c r="R37" s="6">
        <f t="shared" si="17"/>
        <v>1.0873539536224903E-2</v>
      </c>
      <c r="S37" s="2"/>
      <c r="T37" s="7"/>
      <c r="U37" s="2"/>
      <c r="V37" s="6">
        <f t="shared" si="18"/>
        <v>0</v>
      </c>
      <c r="W37" s="2"/>
      <c r="X37" s="7">
        <f t="shared" si="19"/>
        <v>9032.7999999999993</v>
      </c>
      <c r="Y37" s="2"/>
      <c r="Z37" s="6">
        <f t="shared" si="20"/>
        <v>0</v>
      </c>
    </row>
    <row r="38" spans="1:26" s="24" customFormat="1" hidden="1" outlineLevel="2" x14ac:dyDescent="0.25">
      <c r="A38" s="29"/>
      <c r="B38" s="11" t="str">
        <f>CONCATENATE("          ", "6118", " - ", "VACATION")</f>
        <v xml:space="preserve">          6118 - VACATION</v>
      </c>
      <c r="C38" s="11"/>
      <c r="D38" s="7">
        <v>8845.1200000000008</v>
      </c>
      <c r="E38" s="2"/>
      <c r="F38" s="6">
        <f t="shared" si="13"/>
        <v>5.6249158579330237E-2</v>
      </c>
      <c r="G38" s="2"/>
      <c r="H38" s="7">
        <v>8214.3199538461613</v>
      </c>
      <c r="I38" s="2"/>
      <c r="J38" s="6">
        <f t="shared" si="14"/>
        <v>2.6924869474359965E-2</v>
      </c>
      <c r="K38" s="2"/>
      <c r="L38" s="7">
        <f t="shared" si="15"/>
        <v>630.8000461538395</v>
      </c>
      <c r="M38" s="2"/>
      <c r="N38" s="6">
        <f t="shared" si="16"/>
        <v>7.6792729002293406E-2</v>
      </c>
      <c r="O38" s="11"/>
      <c r="P38" s="7">
        <v>56153.299999999996</v>
      </c>
      <c r="Q38" s="2"/>
      <c r="R38" s="6">
        <f t="shared" si="17"/>
        <v>6.7596440487943707E-2</v>
      </c>
      <c r="S38" s="2"/>
      <c r="T38" s="7">
        <v>53735.039700000023</v>
      </c>
      <c r="U38" s="2"/>
      <c r="V38" s="6">
        <f t="shared" si="18"/>
        <v>2.8019148898449642E-2</v>
      </c>
      <c r="W38" s="2"/>
      <c r="X38" s="7">
        <f t="shared" si="19"/>
        <v>2418.2602999999726</v>
      </c>
      <c r="Y38" s="2"/>
      <c r="Z38" s="6">
        <f t="shared" si="20"/>
        <v>4.5003415155194751E-2</v>
      </c>
    </row>
    <row r="39" spans="1:26" s="24" customFormat="1" hidden="1" outlineLevel="2" x14ac:dyDescent="0.25">
      <c r="A39" s="29"/>
      <c r="B39" s="11" t="str">
        <f>CONCATENATE("          ", "6119", " - ", "SICK LEAVE")</f>
        <v xml:space="preserve">          6119 - SICK LEAVE</v>
      </c>
      <c r="C39" s="11"/>
      <c r="D39" s="7">
        <v>5575.88</v>
      </c>
      <c r="E39" s="2"/>
      <c r="F39" s="6">
        <f t="shared" si="13"/>
        <v>3.545893762202388E-2</v>
      </c>
      <c r="G39" s="2"/>
      <c r="H39" s="7">
        <v>6188.3598765384595</v>
      </c>
      <c r="I39" s="2"/>
      <c r="J39" s="6">
        <f t="shared" si="14"/>
        <v>2.0284184554821016E-2</v>
      </c>
      <c r="K39" s="2"/>
      <c r="L39" s="7">
        <f t="shared" si="15"/>
        <v>-612.47987653845939</v>
      </c>
      <c r="M39" s="2"/>
      <c r="N39" s="6">
        <f t="shared" si="16"/>
        <v>-9.8972892455804956E-2</v>
      </c>
      <c r="O39" s="11"/>
      <c r="P39" s="7">
        <v>36023.79</v>
      </c>
      <c r="Q39" s="2"/>
      <c r="R39" s="6">
        <f t="shared" si="17"/>
        <v>4.3364859712344273E-2</v>
      </c>
      <c r="S39" s="2"/>
      <c r="T39" s="7">
        <v>38250.780614999981</v>
      </c>
      <c r="U39" s="2"/>
      <c r="V39" s="6">
        <f t="shared" si="18"/>
        <v>1.994516657133158E-2</v>
      </c>
      <c r="W39" s="2"/>
      <c r="X39" s="7">
        <f t="shared" si="19"/>
        <v>-2226.9906149999806</v>
      </c>
      <c r="Y39" s="2"/>
      <c r="Z39" s="6">
        <f t="shared" si="20"/>
        <v>-5.8220788679190248E-2</v>
      </c>
    </row>
    <row r="40" spans="1:26" s="24" customFormat="1" hidden="1" outlineLevel="2" x14ac:dyDescent="0.25">
      <c r="A40" s="29"/>
      <c r="B40" s="11" t="str">
        <f>CONCATENATE("          ", "6156", " - ", "EMPLOYEE MEALS")</f>
        <v xml:space="preserve">          6156 - EMPLOYEE MEALS</v>
      </c>
      <c r="C40" s="11"/>
      <c r="D40" s="7">
        <v>2186.04</v>
      </c>
      <c r="E40" s="2"/>
      <c r="F40" s="6">
        <f t="shared" si="13"/>
        <v>1.3901779808613004E-2</v>
      </c>
      <c r="G40" s="2"/>
      <c r="H40" s="7">
        <v>4025</v>
      </c>
      <c r="I40" s="2"/>
      <c r="J40" s="6">
        <f t="shared" si="14"/>
        <v>1.3193131049583228E-2</v>
      </c>
      <c r="K40" s="2"/>
      <c r="L40" s="7">
        <f t="shared" si="15"/>
        <v>-1838.96</v>
      </c>
      <c r="M40" s="2"/>
      <c r="N40" s="6">
        <f t="shared" si="16"/>
        <v>-0.45688447204968946</v>
      </c>
      <c r="O40" s="11"/>
      <c r="P40" s="7">
        <v>18259.969999999998</v>
      </c>
      <c r="Q40" s="2"/>
      <c r="R40" s="6">
        <f t="shared" si="17"/>
        <v>2.1981058556071277E-2</v>
      </c>
      <c r="S40" s="2"/>
      <c r="T40" s="7">
        <v>24150</v>
      </c>
      <c r="U40" s="2"/>
      <c r="V40" s="6">
        <f t="shared" si="18"/>
        <v>1.259257366655595E-2</v>
      </c>
      <c r="W40" s="2"/>
      <c r="X40" s="7">
        <f t="shared" si="19"/>
        <v>-5890.0300000000025</v>
      </c>
      <c r="Y40" s="2"/>
      <c r="Z40" s="6">
        <f t="shared" si="20"/>
        <v>-0.24389358178053841</v>
      </c>
    </row>
    <row r="41" spans="1:26" s="28" customFormat="1" outlineLevel="1" collapsed="1" x14ac:dyDescent="0.25">
      <c r="A41" s="27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117024.06</v>
      </c>
      <c r="E41" s="1"/>
      <c r="F41" s="5">
        <f t="shared" ref="F41:F51" si="21">IF(D$12=0,0,D41/D$12)</f>
        <v>0.74419622441946021</v>
      </c>
      <c r="G41" s="1"/>
      <c r="H41" s="1">
        <f>SUM(OSRRefH22_1x_0)</f>
        <v>178235.61451576921</v>
      </c>
      <c r="I41" s="1"/>
      <c r="J41" s="5">
        <f t="shared" ref="J41:J51" si="22">IF(H$12=0,0,H41/H$12)</f>
        <v>0.58422007950547628</v>
      </c>
      <c r="K41" s="1"/>
      <c r="L41" s="1">
        <f t="shared" ref="L41:L51" si="23">+D41-H41</f>
        <v>-61211.55451576921</v>
      </c>
      <c r="M41" s="1"/>
      <c r="N41" s="5">
        <f t="shared" ref="N41:N51" si="24">IF(H41=0,0,L41/H41)</f>
        <v>-0.34343054659456729</v>
      </c>
      <c r="O41" s="14"/>
      <c r="P41" s="1">
        <f>SUM(OSRRefP22_1x_0)</f>
        <v>819447.67</v>
      </c>
      <c r="Q41" s="1"/>
      <c r="R41" s="5">
        <f t="shared" ref="R41:R51" si="25">IF(P$12=0,0,P41/P$12)</f>
        <v>0.98643794145916874</v>
      </c>
      <c r="S41" s="1"/>
      <c r="T41" s="1">
        <f>SUM(OSRRefT22_1x_0)</f>
        <v>1088504.460185</v>
      </c>
      <c r="U41" s="1"/>
      <c r="V41" s="5">
        <f t="shared" ref="V41:V51" si="26">IF(T$12=0,0,T41/T$12)</f>
        <v>0.56758064601467206</v>
      </c>
      <c r="W41" s="1"/>
      <c r="X41" s="1">
        <f t="shared" ref="X41:X51" si="27">+P41-T41</f>
        <v>-269056.79018499993</v>
      </c>
      <c r="Y41" s="1"/>
      <c r="Z41" s="5">
        <f t="shared" ref="Z41:Z51" si="28">IF(T41=0,0,X41/T41)</f>
        <v>-0.24718023676198037</v>
      </c>
    </row>
    <row r="42" spans="1:26" s="24" customFormat="1" hidden="1" outlineLevel="2" x14ac:dyDescent="0.25">
      <c r="A42" s="29"/>
      <c r="B42" s="11" t="str">
        <f>CONCATENATE("          ", "6001", " - ", "ADMINISTRATIVE SALARIES")</f>
        <v xml:space="preserve">          6001 - ADMINISTRATIVE SALARIES</v>
      </c>
      <c r="C42" s="11"/>
      <c r="D42" s="7">
        <v>16919.009999999998</v>
      </c>
      <c r="E42" s="2"/>
      <c r="F42" s="6">
        <f t="shared" si="21"/>
        <v>0.10759380047927827</v>
      </c>
      <c r="G42" s="2"/>
      <c r="H42" s="7">
        <v>9962.3076923076896</v>
      </c>
      <c r="I42" s="2"/>
      <c r="J42" s="6">
        <f t="shared" si="22"/>
        <v>3.2654417625064949E-2</v>
      </c>
      <c r="K42" s="2"/>
      <c r="L42" s="7">
        <f t="shared" si="23"/>
        <v>6956.7023076923088</v>
      </c>
      <c r="M42" s="2"/>
      <c r="N42" s="6">
        <f t="shared" si="24"/>
        <v>0.69830229325920812</v>
      </c>
      <c r="O42" s="11"/>
      <c r="P42" s="7">
        <v>115989.06</v>
      </c>
      <c r="Q42" s="2"/>
      <c r="R42" s="6">
        <f t="shared" si="25"/>
        <v>0.1396257671684929</v>
      </c>
      <c r="S42" s="2"/>
      <c r="T42" s="7">
        <v>64754.999999999956</v>
      </c>
      <c r="U42" s="2"/>
      <c r="V42" s="6">
        <f t="shared" si="26"/>
        <v>3.3765304669889445E-2</v>
      </c>
      <c r="W42" s="2"/>
      <c r="X42" s="7">
        <f t="shared" si="27"/>
        <v>51234.060000000041</v>
      </c>
      <c r="Y42" s="2"/>
      <c r="Z42" s="6">
        <f t="shared" si="28"/>
        <v>0.79119851748899817</v>
      </c>
    </row>
    <row r="43" spans="1:26" s="24" customFormat="1" hidden="1" outlineLevel="2" x14ac:dyDescent="0.25">
      <c r="A43" s="29"/>
      <c r="B43" s="11" t="str">
        <f>CONCATENATE("          ", "6002", " - ", "STAFF SALARIES")</f>
        <v xml:space="preserve">          6002 - STAFF SALARIES</v>
      </c>
      <c r="C43" s="11"/>
      <c r="D43" s="7">
        <v>37605.06</v>
      </c>
      <c r="E43" s="2"/>
      <c r="F43" s="6">
        <f t="shared" si="21"/>
        <v>0.23914350323401243</v>
      </c>
      <c r="G43" s="2"/>
      <c r="H43" s="7">
        <v>52827.443538461535</v>
      </c>
      <c r="I43" s="2"/>
      <c r="J43" s="6">
        <f t="shared" si="22"/>
        <v>0.17315761133351099</v>
      </c>
      <c r="K43" s="2"/>
      <c r="L43" s="7">
        <f t="shared" si="23"/>
        <v>-15222.383538461538</v>
      </c>
      <c r="M43" s="2"/>
      <c r="N43" s="6">
        <f t="shared" si="24"/>
        <v>-0.28815294700715044</v>
      </c>
      <c r="O43" s="11"/>
      <c r="P43" s="7">
        <v>262878.76</v>
      </c>
      <c r="Q43" s="2"/>
      <c r="R43" s="6">
        <f t="shared" si="25"/>
        <v>0.31644922837810846</v>
      </c>
      <c r="S43" s="2"/>
      <c r="T43" s="7">
        <v>343378.38299999997</v>
      </c>
      <c r="U43" s="2"/>
      <c r="V43" s="6">
        <f t="shared" si="26"/>
        <v>0.17904834713997364</v>
      </c>
      <c r="W43" s="2"/>
      <c r="X43" s="7">
        <f t="shared" si="27"/>
        <v>-80499.622999999963</v>
      </c>
      <c r="Y43" s="2"/>
      <c r="Z43" s="6">
        <f t="shared" si="28"/>
        <v>-0.2344341606384697</v>
      </c>
    </row>
    <row r="44" spans="1:26" s="24" customFormat="1" hidden="1" outlineLevel="2" x14ac:dyDescent="0.25">
      <c r="A44" s="29"/>
      <c r="B44" s="11" t="str">
        <f>CONCATENATE("          ", "6003", " - ", "STAFF HOURLY-9 MONTH")</f>
        <v xml:space="preserve">          6003 - STAFF HOURLY-9 MONTH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9"/>
      <c r="B45" s="11" t="str">
        <f>CONCATENATE("          ", "6004", " - ", "STAFF HOURLY")</f>
        <v xml:space="preserve">          6004 - STAFF HOURLY</v>
      </c>
      <c r="C45" s="11"/>
      <c r="D45" s="7">
        <v>38881</v>
      </c>
      <c r="E45" s="2"/>
      <c r="F45" s="6">
        <f t="shared" si="21"/>
        <v>0.24725764429684829</v>
      </c>
      <c r="G45" s="2"/>
      <c r="H45" s="7">
        <v>73654.289919999996</v>
      </c>
      <c r="I45" s="2"/>
      <c r="J45" s="6">
        <f t="shared" si="22"/>
        <v>0.24142377621827502</v>
      </c>
      <c r="K45" s="2"/>
      <c r="L45" s="7">
        <f t="shared" si="23"/>
        <v>-34773.289919999996</v>
      </c>
      <c r="M45" s="2"/>
      <c r="N45" s="6">
        <f t="shared" si="24"/>
        <v>-0.4721149298672106</v>
      </c>
      <c r="O45" s="11"/>
      <c r="P45" s="7">
        <v>295841.39</v>
      </c>
      <c r="Q45" s="2"/>
      <c r="R45" s="6">
        <f t="shared" si="25"/>
        <v>0.35612911285722382</v>
      </c>
      <c r="S45" s="2"/>
      <c r="T45" s="7">
        <v>465612.16448000004</v>
      </c>
      <c r="U45" s="2"/>
      <c r="V45" s="6">
        <f t="shared" si="26"/>
        <v>0.2427849060562719</v>
      </c>
      <c r="W45" s="2"/>
      <c r="X45" s="7">
        <f t="shared" si="27"/>
        <v>-169770.77448000002</v>
      </c>
      <c r="Y45" s="2"/>
      <c r="Z45" s="6">
        <f t="shared" si="28"/>
        <v>-0.36461842587296145</v>
      </c>
    </row>
    <row r="46" spans="1:26" s="24" customFormat="1" hidden="1" outlineLevel="2" x14ac:dyDescent="0.25">
      <c r="A46" s="29"/>
      <c r="B46" s="11" t="str">
        <f>CONCATENATE("          ", "6005", " - ", "TEMPORARY WAGES-HOURLY")</f>
        <v xml:space="preserve">          6005 - TEMPORARY WAGES-HOURLY</v>
      </c>
      <c r="C46" s="11"/>
      <c r="D46" s="7">
        <v>11854.5</v>
      </c>
      <c r="E46" s="2"/>
      <c r="F46" s="6">
        <f t="shared" si="21"/>
        <v>7.5386840470075045E-2</v>
      </c>
      <c r="G46" s="2"/>
      <c r="H46" s="7">
        <v>9138.0833650000004</v>
      </c>
      <c r="I46" s="2"/>
      <c r="J46" s="6">
        <f t="shared" si="22"/>
        <v>2.9952777981729562E-2</v>
      </c>
      <c r="K46" s="2"/>
      <c r="L46" s="7">
        <f t="shared" si="23"/>
        <v>2716.4166349999996</v>
      </c>
      <c r="M46" s="2"/>
      <c r="N46" s="6">
        <f t="shared" si="24"/>
        <v>0.29726328011016118</v>
      </c>
      <c r="O46" s="11"/>
      <c r="P46" s="7">
        <v>64900.44000000001</v>
      </c>
      <c r="Q46" s="2"/>
      <c r="R46" s="6">
        <f t="shared" si="25"/>
        <v>7.8126107105038561E-2</v>
      </c>
      <c r="S46" s="2"/>
      <c r="T46" s="7">
        <v>52389.822705000006</v>
      </c>
      <c r="U46" s="2"/>
      <c r="V46" s="6">
        <f t="shared" si="26"/>
        <v>2.7317710219069074E-2</v>
      </c>
      <c r="W46" s="2"/>
      <c r="X46" s="7">
        <f t="shared" si="27"/>
        <v>12510.617295000004</v>
      </c>
      <c r="Y46" s="2"/>
      <c r="Z46" s="6">
        <f t="shared" si="28"/>
        <v>0.23879861868297578</v>
      </c>
    </row>
    <row r="47" spans="1:26" s="24" customFormat="1" hidden="1" outlineLevel="2" x14ac:dyDescent="0.25">
      <c r="A47" s="29"/>
      <c r="B47" s="11" t="str">
        <f>CONCATENATE("          ", "6006", " - ", "TEMPORARY PART TIME")</f>
        <v xml:space="preserve">          6006 - TEMPORARY PART TIME</v>
      </c>
      <c r="C47" s="11"/>
      <c r="D47" s="7"/>
      <c r="E47" s="2"/>
      <c r="F47" s="6">
        <f t="shared" si="21"/>
        <v>0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0</v>
      </c>
      <c r="M47" s="2"/>
      <c r="N47" s="6">
        <f t="shared" si="24"/>
        <v>0</v>
      </c>
      <c r="O47" s="11"/>
      <c r="P47" s="7"/>
      <c r="Q47" s="2"/>
      <c r="R47" s="6">
        <f t="shared" si="25"/>
        <v>0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0</v>
      </c>
      <c r="Y47" s="2"/>
      <c r="Z47" s="6">
        <f t="shared" si="28"/>
        <v>0</v>
      </c>
    </row>
    <row r="48" spans="1:26" s="24" customFormat="1" hidden="1" outlineLevel="2" x14ac:dyDescent="0.25">
      <c r="A48" s="29"/>
      <c r="B48" s="11" t="str">
        <f>CONCATENATE("          ", "6007", " - ", "STUDENT HOURLY")</f>
        <v xml:space="preserve">          6007 - STUDENT HOURLY</v>
      </c>
      <c r="C48" s="11"/>
      <c r="D48" s="7">
        <v>10668.46</v>
      </c>
      <c r="E48" s="2"/>
      <c r="F48" s="6">
        <f t="shared" si="21"/>
        <v>6.7844404410255743E-2</v>
      </c>
      <c r="G48" s="2"/>
      <c r="H48" s="7">
        <v>0</v>
      </c>
      <c r="I48" s="2"/>
      <c r="J48" s="6">
        <f t="shared" si="22"/>
        <v>0</v>
      </c>
      <c r="K48" s="2"/>
      <c r="L48" s="7">
        <f t="shared" si="23"/>
        <v>10668.46</v>
      </c>
      <c r="M48" s="2"/>
      <c r="N48" s="6">
        <f t="shared" si="24"/>
        <v>0</v>
      </c>
      <c r="O48" s="11"/>
      <c r="P48" s="7">
        <v>69207.14</v>
      </c>
      <c r="Q48" s="2"/>
      <c r="R48" s="6">
        <f t="shared" si="25"/>
        <v>8.3310443381792137E-2</v>
      </c>
      <c r="S48" s="2"/>
      <c r="T48" s="7">
        <v>16306.670000000002</v>
      </c>
      <c r="U48" s="2"/>
      <c r="V48" s="6">
        <f t="shared" si="26"/>
        <v>8.5028133843154437E-3</v>
      </c>
      <c r="W48" s="2"/>
      <c r="X48" s="7">
        <f t="shared" si="27"/>
        <v>52900.47</v>
      </c>
      <c r="Y48" s="2"/>
      <c r="Z48" s="6">
        <f t="shared" si="28"/>
        <v>3.2441001136344818</v>
      </c>
    </row>
    <row r="49" spans="1:26" s="24" customFormat="1" hidden="1" outlineLevel="2" x14ac:dyDescent="0.25">
      <c r="A49" s="29"/>
      <c r="B49" s="11" t="str">
        <f>CONCATENATE("          ", "6008", " - ", "STUDENT HOURLY-FICA EXEMPT")</f>
        <v xml:space="preserve">          6008 - STUDENT HOURLY-FICA EXEMPT</v>
      </c>
      <c r="C49" s="11"/>
      <c r="D49" s="7">
        <v>1096.03</v>
      </c>
      <c r="E49" s="2"/>
      <c r="F49" s="6">
        <f t="shared" si="21"/>
        <v>6.9700315289903713E-3</v>
      </c>
      <c r="G49" s="2"/>
      <c r="H49" s="7">
        <v>32653.489999999998</v>
      </c>
      <c r="I49" s="2"/>
      <c r="J49" s="6">
        <f t="shared" si="22"/>
        <v>0.10703149634689575</v>
      </c>
      <c r="K49" s="2"/>
      <c r="L49" s="7">
        <f t="shared" si="23"/>
        <v>-31557.46</v>
      </c>
      <c r="M49" s="2"/>
      <c r="N49" s="6">
        <f t="shared" si="24"/>
        <v>-0.96643452200668289</v>
      </c>
      <c r="O49" s="11"/>
      <c r="P49" s="7">
        <v>10630.88</v>
      </c>
      <c r="Q49" s="2"/>
      <c r="R49" s="6">
        <f t="shared" si="25"/>
        <v>1.279728256851282E-2</v>
      </c>
      <c r="S49" s="2"/>
      <c r="T49" s="7">
        <v>146062.41999999998</v>
      </c>
      <c r="U49" s="2"/>
      <c r="V49" s="6">
        <f t="shared" si="26"/>
        <v>7.6161564545152591E-2</v>
      </c>
      <c r="W49" s="2"/>
      <c r="X49" s="7">
        <f t="shared" si="27"/>
        <v>-135431.53999999998</v>
      </c>
      <c r="Y49" s="2"/>
      <c r="Z49" s="6">
        <f t="shared" si="28"/>
        <v>-0.92721687070500403</v>
      </c>
    </row>
    <row r="50" spans="1:26" s="24" customFormat="1" hidden="1" outlineLevel="2" x14ac:dyDescent="0.25">
      <c r="A50" s="29"/>
      <c r="B50" s="11" t="str">
        <f>CONCATENATE("          ", "6009", " - ", "TEMPORARY-SEASONAL")</f>
        <v xml:space="preserve">          6009 - TEMPORARY-SEASONAL</v>
      </c>
      <c r="C50" s="11"/>
      <c r="D50" s="7"/>
      <c r="E50" s="2"/>
      <c r="F50" s="6">
        <f t="shared" si="21"/>
        <v>0</v>
      </c>
      <c r="G50" s="2"/>
      <c r="H50" s="7">
        <v>0</v>
      </c>
      <c r="I50" s="2"/>
      <c r="J50" s="6">
        <f t="shared" si="22"/>
        <v>0</v>
      </c>
      <c r="K50" s="2"/>
      <c r="L50" s="7">
        <f t="shared" si="23"/>
        <v>0</v>
      </c>
      <c r="M50" s="2"/>
      <c r="N50" s="6">
        <f t="shared" si="24"/>
        <v>0</v>
      </c>
      <c r="O50" s="11"/>
      <c r="P50" s="7"/>
      <c r="Q50" s="2"/>
      <c r="R50" s="6">
        <f t="shared" si="25"/>
        <v>0</v>
      </c>
      <c r="S50" s="2"/>
      <c r="T50" s="7">
        <v>0</v>
      </c>
      <c r="U50" s="2"/>
      <c r="V50" s="6">
        <f t="shared" si="26"/>
        <v>0</v>
      </c>
      <c r="W50" s="2"/>
      <c r="X50" s="7">
        <f t="shared" si="27"/>
        <v>0</v>
      </c>
      <c r="Y50" s="2"/>
      <c r="Z50" s="6">
        <f t="shared" si="28"/>
        <v>0</v>
      </c>
    </row>
    <row r="51" spans="1:26" s="24" customFormat="1" hidden="1" outlineLevel="2" x14ac:dyDescent="0.25">
      <c r="A51" s="29"/>
      <c r="B51" s="11" t="str">
        <f>CONCATENATE("          ", "6010", " - ", "GRATUITY")</f>
        <v xml:space="preserve">          6010 - GRATUITY</v>
      </c>
      <c r="C51" s="11"/>
      <c r="D51" s="7"/>
      <c r="E51" s="2"/>
      <c r="F51" s="6">
        <f t="shared" si="21"/>
        <v>0</v>
      </c>
      <c r="G51" s="2"/>
      <c r="H51" s="7">
        <v>0</v>
      </c>
      <c r="I51" s="2"/>
      <c r="J51" s="6">
        <f t="shared" si="22"/>
        <v>0</v>
      </c>
      <c r="K51" s="2"/>
      <c r="L51" s="7">
        <f t="shared" si="23"/>
        <v>0</v>
      </c>
      <c r="M51" s="2"/>
      <c r="N51" s="6">
        <f t="shared" si="24"/>
        <v>0</v>
      </c>
      <c r="O51" s="11"/>
      <c r="P51" s="7"/>
      <c r="Q51" s="2"/>
      <c r="R51" s="6">
        <f t="shared" si="25"/>
        <v>0</v>
      </c>
      <c r="S51" s="2"/>
      <c r="T51" s="7">
        <v>0</v>
      </c>
      <c r="U51" s="2"/>
      <c r="V51" s="6">
        <f t="shared" si="26"/>
        <v>0</v>
      </c>
      <c r="W51" s="2"/>
      <c r="X51" s="7">
        <f t="shared" si="27"/>
        <v>0</v>
      </c>
      <c r="Y51" s="2"/>
      <c r="Z51" s="6">
        <f t="shared" si="28"/>
        <v>0</v>
      </c>
    </row>
    <row r="52" spans="1:26" s="28" customFormat="1" outlineLevel="1" collapsed="1" x14ac:dyDescent="0.25">
      <c r="A52" s="27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SUM(OSRRefD22_2x_0)</f>
        <v>7.42</v>
      </c>
      <c r="E52" s="1"/>
      <c r="F52" s="5">
        <f t="shared" ref="F52:F61" si="29">IF(D$12=0,0,D52/D$12)</f>
        <v>4.7186330616049334E-5</v>
      </c>
      <c r="G52" s="1"/>
      <c r="H52" s="1">
        <f>SUM(OSRRefH22_2x_0)</f>
        <v>1722</v>
      </c>
      <c r="I52" s="1"/>
      <c r="J52" s="5">
        <f t="shared" ref="J52:J61" si="30">IF(H$12=0,0,H52/H$12)</f>
        <v>5.6443656316477811E-3</v>
      </c>
      <c r="K52" s="1"/>
      <c r="L52" s="1">
        <f t="shared" ref="L52:L61" si="31">+D52-H52</f>
        <v>-1714.58</v>
      </c>
      <c r="M52" s="1"/>
      <c r="N52" s="5">
        <f t="shared" ref="N52:N61" si="32">IF(H52=0,0,L52/H52)</f>
        <v>-0.99569105691056903</v>
      </c>
      <c r="O52" s="14"/>
      <c r="P52" s="1">
        <f>SUM(OSRRefP22_2x_0)</f>
        <v>1562.95</v>
      </c>
      <c r="Q52" s="1"/>
      <c r="R52" s="5">
        <f t="shared" ref="R52:R61" si="33">IF(P$12=0,0,P52/P$12)</f>
        <v>1.8814541026196433E-3</v>
      </c>
      <c r="S52" s="1"/>
      <c r="T52" s="1">
        <f>SUM(OSRRefT22_2x_0)</f>
        <v>10808</v>
      </c>
      <c r="U52" s="1"/>
      <c r="V52" s="5">
        <f t="shared" ref="V52:V61" si="34">IF(T$12=0,0,T52/T$12)</f>
        <v>5.6356329684528663E-3</v>
      </c>
      <c r="W52" s="1"/>
      <c r="X52" s="1">
        <f t="shared" ref="X52:X61" si="35">+P52-T52</f>
        <v>-9245.0499999999993</v>
      </c>
      <c r="Y52" s="1"/>
      <c r="Z52" s="5">
        <f t="shared" ref="Z52:Z61" si="36">IF(T52=0,0,X52/T52)</f>
        <v>-0.85538952627683196</v>
      </c>
    </row>
    <row r="53" spans="1:26" s="24" customFormat="1" hidden="1" outlineLevel="2" x14ac:dyDescent="0.25">
      <c r="A53" s="29"/>
      <c r="B53" s="11" t="str">
        <f>CONCATENATE("          ", "6362", " - ", "ADVERTISING EXPENSE")</f>
        <v xml:space="preserve">          6362 - ADVERTISING EXPENSE</v>
      </c>
      <c r="C53" s="11"/>
      <c r="D53" s="7">
        <v>7.42</v>
      </c>
      <c r="E53" s="2"/>
      <c r="F53" s="6">
        <f t="shared" si="29"/>
        <v>4.7186330616049334E-5</v>
      </c>
      <c r="G53" s="2"/>
      <c r="H53" s="7">
        <v>1722</v>
      </c>
      <c r="I53" s="2"/>
      <c r="J53" s="6">
        <f t="shared" si="30"/>
        <v>5.6443656316477811E-3</v>
      </c>
      <c r="K53" s="2"/>
      <c r="L53" s="7">
        <f t="shared" si="31"/>
        <v>-1714.58</v>
      </c>
      <c r="M53" s="2"/>
      <c r="N53" s="6">
        <f t="shared" si="32"/>
        <v>-0.99569105691056903</v>
      </c>
      <c r="O53" s="11"/>
      <c r="P53" s="7">
        <v>1562.95</v>
      </c>
      <c r="Q53" s="2"/>
      <c r="R53" s="6">
        <f t="shared" si="33"/>
        <v>1.8814541026196433E-3</v>
      </c>
      <c r="S53" s="2"/>
      <c r="T53" s="7">
        <v>10808</v>
      </c>
      <c r="U53" s="2"/>
      <c r="V53" s="6">
        <f t="shared" si="34"/>
        <v>5.6356329684528663E-3</v>
      </c>
      <c r="W53" s="2"/>
      <c r="X53" s="7">
        <f t="shared" si="35"/>
        <v>-9245.0499999999993</v>
      </c>
      <c r="Y53" s="2"/>
      <c r="Z53" s="6">
        <f t="shared" si="36"/>
        <v>-0.85538952627683196</v>
      </c>
    </row>
    <row r="54" spans="1:26" s="28" customFormat="1" outlineLevel="1" collapsed="1" x14ac:dyDescent="0.25">
      <c r="A54" s="27"/>
      <c r="B54" s="14" t="str">
        <f>CONCATENATE("     ","Bad Debts/Over/Short                              ")</f>
        <v xml:space="preserve">     Bad Debts/Over/Short                              </v>
      </c>
      <c r="C54" s="14"/>
      <c r="D54" s="1">
        <f>SUM(OSRRefD22_3x_0)</f>
        <v>1.74</v>
      </c>
      <c r="E54" s="1"/>
      <c r="F54" s="5">
        <f t="shared" si="29"/>
        <v>1.1065258122901058E-5</v>
      </c>
      <c r="G54" s="1"/>
      <c r="H54" s="1">
        <f>SUM(OSRRefH22_3x_0)</f>
        <v>36</v>
      </c>
      <c r="I54" s="1"/>
      <c r="J54" s="5">
        <f t="shared" si="30"/>
        <v>1.1800067522608602E-4</v>
      </c>
      <c r="K54" s="1"/>
      <c r="L54" s="1">
        <f t="shared" si="31"/>
        <v>-34.26</v>
      </c>
      <c r="M54" s="1"/>
      <c r="N54" s="5">
        <f t="shared" si="32"/>
        <v>-0.95166666666666666</v>
      </c>
      <c r="O54" s="14"/>
      <c r="P54" s="1">
        <f>SUM(OSRRefP22_3x_0)</f>
        <v>78.53</v>
      </c>
      <c r="Q54" s="1"/>
      <c r="R54" s="5">
        <f t="shared" si="33"/>
        <v>9.4533152486465076E-5</v>
      </c>
      <c r="S54" s="1"/>
      <c r="T54" s="1">
        <f>SUM(OSRRefT22_3x_0)</f>
        <v>230</v>
      </c>
      <c r="U54" s="1"/>
      <c r="V54" s="5">
        <f t="shared" si="34"/>
        <v>1.1992927301481858E-4</v>
      </c>
      <c r="W54" s="1"/>
      <c r="X54" s="1">
        <f t="shared" si="35"/>
        <v>-151.47</v>
      </c>
      <c r="Y54" s="1"/>
      <c r="Z54" s="5">
        <f t="shared" si="36"/>
        <v>-0.65856521739130436</v>
      </c>
    </row>
    <row r="55" spans="1:26" s="24" customFormat="1" hidden="1" outlineLevel="2" x14ac:dyDescent="0.25">
      <c r="A55" s="29"/>
      <c r="B55" s="11" t="str">
        <f>CONCATENATE("          ", "6272", " - ", "CASH (OVER/SHORT)")</f>
        <v xml:space="preserve">          6272 - CASH (OVER/SHORT)</v>
      </c>
      <c r="C55" s="11"/>
      <c r="D55" s="7">
        <v>1.74</v>
      </c>
      <c r="E55" s="2"/>
      <c r="F55" s="6">
        <f t="shared" si="29"/>
        <v>1.1065258122901058E-5</v>
      </c>
      <c r="G55" s="2"/>
      <c r="H55" s="7">
        <v>36</v>
      </c>
      <c r="I55" s="2"/>
      <c r="J55" s="6">
        <f t="shared" si="30"/>
        <v>1.1800067522608602E-4</v>
      </c>
      <c r="K55" s="2"/>
      <c r="L55" s="7">
        <f t="shared" si="31"/>
        <v>-34.26</v>
      </c>
      <c r="M55" s="2"/>
      <c r="N55" s="6">
        <f t="shared" si="32"/>
        <v>-0.95166666666666666</v>
      </c>
      <c r="O55" s="11"/>
      <c r="P55" s="7">
        <v>78.53</v>
      </c>
      <c r="Q55" s="2"/>
      <c r="R55" s="6">
        <f t="shared" si="33"/>
        <v>9.4533152486465076E-5</v>
      </c>
      <c r="S55" s="2"/>
      <c r="T55" s="7">
        <v>230</v>
      </c>
      <c r="U55" s="2"/>
      <c r="V55" s="6">
        <f t="shared" si="34"/>
        <v>1.1992927301481858E-4</v>
      </c>
      <c r="W55" s="2"/>
      <c r="X55" s="7">
        <f t="shared" si="35"/>
        <v>-151.47</v>
      </c>
      <c r="Y55" s="2"/>
      <c r="Z55" s="6">
        <f t="shared" si="36"/>
        <v>-0.65856521739130436</v>
      </c>
    </row>
    <row r="56" spans="1:26" s="28" customFormat="1" outlineLevel="1" collapsed="1" x14ac:dyDescent="0.25">
      <c r="A56" s="27"/>
      <c r="B56" s="14" t="str">
        <f>CONCATENATE("     ","Bank/card Fees                                    ")</f>
        <v xml:space="preserve">     Bank/card Fees                                    </v>
      </c>
      <c r="C56" s="14"/>
      <c r="D56" s="1">
        <f>SUM(OSRRefD22_4x_0)</f>
        <v>664.59</v>
      </c>
      <c r="E56" s="1"/>
      <c r="F56" s="5">
        <f t="shared" si="29"/>
        <v>4.2263562620108129E-3</v>
      </c>
      <c r="G56" s="1"/>
      <c r="H56" s="1">
        <f>SUM(OSRRefH22_4x_0)</f>
        <v>4792</v>
      </c>
      <c r="I56" s="1"/>
      <c r="J56" s="5">
        <f t="shared" si="30"/>
        <v>1.5707200991205671E-2</v>
      </c>
      <c r="K56" s="1"/>
      <c r="L56" s="1">
        <f t="shared" si="31"/>
        <v>-4127.41</v>
      </c>
      <c r="M56" s="1"/>
      <c r="N56" s="5">
        <f t="shared" si="32"/>
        <v>-0.86131260434056756</v>
      </c>
      <c r="O56" s="14"/>
      <c r="P56" s="1">
        <f>SUM(OSRRefP22_4x_0)</f>
        <v>3289.96</v>
      </c>
      <c r="Q56" s="1"/>
      <c r="R56" s="5">
        <f t="shared" si="33"/>
        <v>3.9604009977635378E-3</v>
      </c>
      <c r="S56" s="1"/>
      <c r="T56" s="1">
        <f>SUM(OSRRefT22_4x_0)</f>
        <v>21608</v>
      </c>
      <c r="U56" s="1"/>
      <c r="V56" s="5">
        <f t="shared" si="34"/>
        <v>1.1267094483931303E-2</v>
      </c>
      <c r="W56" s="1"/>
      <c r="X56" s="1">
        <f t="shared" si="35"/>
        <v>-18318.04</v>
      </c>
      <c r="Y56" s="1"/>
      <c r="Z56" s="5">
        <f t="shared" si="36"/>
        <v>-0.84774342835986671</v>
      </c>
    </row>
    <row r="57" spans="1:26" s="24" customFormat="1" hidden="1" outlineLevel="2" x14ac:dyDescent="0.25">
      <c r="A57" s="29"/>
      <c r="B57" s="11" t="str">
        <f>CONCATENATE("          ", "6381", " - ", "BANK/CREDIT CARD FEES")</f>
        <v xml:space="preserve">          6381 - BANK/CREDIT CARD FEES</v>
      </c>
      <c r="C57" s="11"/>
      <c r="D57" s="7">
        <v>664.59</v>
      </c>
      <c r="E57" s="2"/>
      <c r="F57" s="6">
        <f t="shared" si="29"/>
        <v>4.2263562620108129E-3</v>
      </c>
      <c r="G57" s="2"/>
      <c r="H57" s="7">
        <v>4792</v>
      </c>
      <c r="I57" s="2"/>
      <c r="J57" s="6">
        <f t="shared" si="30"/>
        <v>1.5707200991205671E-2</v>
      </c>
      <c r="K57" s="2"/>
      <c r="L57" s="7">
        <f t="shared" si="31"/>
        <v>-4127.41</v>
      </c>
      <c r="M57" s="2"/>
      <c r="N57" s="6">
        <f t="shared" si="32"/>
        <v>-0.86131260434056756</v>
      </c>
      <c r="O57" s="11"/>
      <c r="P57" s="7">
        <v>3289.96</v>
      </c>
      <c r="Q57" s="2"/>
      <c r="R57" s="6">
        <f t="shared" si="33"/>
        <v>3.9604009977635378E-3</v>
      </c>
      <c r="S57" s="2"/>
      <c r="T57" s="7">
        <v>21608</v>
      </c>
      <c r="U57" s="2"/>
      <c r="V57" s="6">
        <f t="shared" si="34"/>
        <v>1.1267094483931303E-2</v>
      </c>
      <c r="W57" s="2"/>
      <c r="X57" s="7">
        <f t="shared" si="35"/>
        <v>-18318.04</v>
      </c>
      <c r="Y57" s="2"/>
      <c r="Z57" s="6">
        <f t="shared" si="36"/>
        <v>-0.84774342835986671</v>
      </c>
    </row>
    <row r="58" spans="1:26" s="28" customFormat="1" outlineLevel="1" collapsed="1" x14ac:dyDescent="0.25">
      <c r="A58" s="27"/>
      <c r="B58" s="14" t="str">
        <f>CONCATENATE("     ","Depreciation                                      ")</f>
        <v xml:space="preserve">     Depreciation                                      </v>
      </c>
      <c r="C58" s="14"/>
      <c r="D58" s="1">
        <f>SUM(OSRRefD22_5x_0)</f>
        <v>37479.259999999995</v>
      </c>
      <c r="E58" s="1"/>
      <c r="F58" s="5">
        <f t="shared" si="29"/>
        <v>0.23834349779041414</v>
      </c>
      <c r="G58" s="1"/>
      <c r="H58" s="1">
        <f>SUM(OSRRefH22_5x_0)</f>
        <v>37930</v>
      </c>
      <c r="I58" s="1"/>
      <c r="J58" s="5">
        <f t="shared" si="30"/>
        <v>0.12432682253681784</v>
      </c>
      <c r="K58" s="1"/>
      <c r="L58" s="1">
        <f t="shared" si="31"/>
        <v>-450.74000000000524</v>
      </c>
      <c r="M58" s="1"/>
      <c r="N58" s="5">
        <f t="shared" si="32"/>
        <v>-1.188346954916966E-2</v>
      </c>
      <c r="O58" s="14"/>
      <c r="P58" s="1">
        <f>SUM(OSRRefP22_5x_0)</f>
        <v>227170.64</v>
      </c>
      <c r="Q58" s="1"/>
      <c r="R58" s="5">
        <f t="shared" si="33"/>
        <v>0.27346436714081068</v>
      </c>
      <c r="S58" s="1"/>
      <c r="T58" s="1">
        <f>SUM(OSRRefT22_5x_0)</f>
        <v>230184</v>
      </c>
      <c r="U58" s="1"/>
      <c r="V58" s="5">
        <f t="shared" si="34"/>
        <v>0.12002521643323043</v>
      </c>
      <c r="W58" s="1"/>
      <c r="X58" s="1">
        <f t="shared" si="35"/>
        <v>-3013.359999999986</v>
      </c>
      <c r="Y58" s="1"/>
      <c r="Z58" s="5">
        <f t="shared" si="36"/>
        <v>-1.3091092343516431E-2</v>
      </c>
    </row>
    <row r="59" spans="1:26" s="24" customFormat="1" hidden="1" outlineLevel="2" x14ac:dyDescent="0.25">
      <c r="A59" s="29"/>
      <c r="B59" s="11" t="str">
        <f>CONCATENATE("          ", "6321", " - ", "BUILDING DEPRECIATION")</f>
        <v xml:space="preserve">          6321 - BUILDING DEPRECIATION</v>
      </c>
      <c r="C59" s="11"/>
      <c r="D59" s="7">
        <v>23583.489999999998</v>
      </c>
      <c r="E59" s="2"/>
      <c r="F59" s="6">
        <f t="shared" si="29"/>
        <v>0.14997551970623899</v>
      </c>
      <c r="G59" s="2"/>
      <c r="H59" s="7"/>
      <c r="I59" s="2"/>
      <c r="J59" s="6">
        <f t="shared" si="30"/>
        <v>0</v>
      </c>
      <c r="K59" s="2"/>
      <c r="L59" s="7">
        <f t="shared" si="31"/>
        <v>23583.489999999998</v>
      </c>
      <c r="M59" s="2"/>
      <c r="N59" s="6">
        <f t="shared" si="32"/>
        <v>0</v>
      </c>
      <c r="O59" s="11"/>
      <c r="P59" s="7">
        <v>142285.13</v>
      </c>
      <c r="Q59" s="2"/>
      <c r="R59" s="6">
        <f t="shared" si="33"/>
        <v>0.17128055381187454</v>
      </c>
      <c r="S59" s="2"/>
      <c r="T59" s="7"/>
      <c r="U59" s="2"/>
      <c r="V59" s="6">
        <f t="shared" si="34"/>
        <v>0</v>
      </c>
      <c r="W59" s="2"/>
      <c r="X59" s="7">
        <f t="shared" si="35"/>
        <v>142285.13</v>
      </c>
      <c r="Y59" s="2"/>
      <c r="Z59" s="6">
        <f t="shared" si="36"/>
        <v>0</v>
      </c>
    </row>
    <row r="60" spans="1:26" s="24" customFormat="1" hidden="1" outlineLevel="2" x14ac:dyDescent="0.25">
      <c r="A60" s="29"/>
      <c r="B60" s="11" t="str">
        <f>CONCATENATE("          ", "6322", " - ", "EQUIPMENT DEPRECIATION EXPENSE")</f>
        <v xml:space="preserve">          6322 - EQUIPMENT DEPRECIATION EXPENSE</v>
      </c>
      <c r="C60" s="11"/>
      <c r="D60" s="7">
        <v>13895.77</v>
      </c>
      <c r="E60" s="2"/>
      <c r="F60" s="6">
        <f t="shared" si="29"/>
        <v>8.8367978084175194E-2</v>
      </c>
      <c r="G60" s="2"/>
      <c r="H60" s="7">
        <v>37380</v>
      </c>
      <c r="I60" s="2"/>
      <c r="J60" s="6">
        <f t="shared" si="30"/>
        <v>0.12252403444308597</v>
      </c>
      <c r="K60" s="2"/>
      <c r="L60" s="7">
        <f t="shared" si="31"/>
        <v>-23484.23</v>
      </c>
      <c r="M60" s="2"/>
      <c r="N60" s="6">
        <f t="shared" si="32"/>
        <v>-0.62825655430711613</v>
      </c>
      <c r="O60" s="11"/>
      <c r="P60" s="7">
        <v>84885.51</v>
      </c>
      <c r="Q60" s="2"/>
      <c r="R60" s="6">
        <f t="shared" si="33"/>
        <v>0.10218381332893614</v>
      </c>
      <c r="S60" s="2"/>
      <c r="T60" s="7">
        <v>226884</v>
      </c>
      <c r="U60" s="2"/>
      <c r="V60" s="6">
        <f t="shared" si="34"/>
        <v>0.11830449208127869</v>
      </c>
      <c r="W60" s="2"/>
      <c r="X60" s="7">
        <f t="shared" si="35"/>
        <v>-141998.49</v>
      </c>
      <c r="Y60" s="2"/>
      <c r="Z60" s="6">
        <f t="shared" si="36"/>
        <v>-0.62586383350081976</v>
      </c>
    </row>
    <row r="61" spans="1:26" s="24" customFormat="1" hidden="1" outlineLevel="2" x14ac:dyDescent="0.25">
      <c r="A61" s="29"/>
      <c r="B61" s="11" t="str">
        <f>CONCATENATE("          ", "6326", " - ", "VEHICLES DEPRECIATION EXPENSE")</f>
        <v xml:space="preserve">          6326 - VEHICLES DEPRECIATION EXPENSE</v>
      </c>
      <c r="C61" s="11"/>
      <c r="D61" s="7"/>
      <c r="E61" s="2"/>
      <c r="F61" s="6">
        <f t="shared" si="29"/>
        <v>0</v>
      </c>
      <c r="G61" s="2"/>
      <c r="H61" s="7">
        <v>550</v>
      </c>
      <c r="I61" s="2"/>
      <c r="J61" s="6">
        <f t="shared" si="30"/>
        <v>1.8027880937318698E-3</v>
      </c>
      <c r="K61" s="2"/>
      <c r="L61" s="7">
        <f t="shared" si="31"/>
        <v>-550</v>
      </c>
      <c r="M61" s="2"/>
      <c r="N61" s="6">
        <f t="shared" si="32"/>
        <v>-1</v>
      </c>
      <c r="O61" s="11"/>
      <c r="P61" s="7"/>
      <c r="Q61" s="2"/>
      <c r="R61" s="6">
        <f t="shared" si="33"/>
        <v>0</v>
      </c>
      <c r="S61" s="2"/>
      <c r="T61" s="7">
        <v>3300</v>
      </c>
      <c r="U61" s="2"/>
      <c r="V61" s="6">
        <f t="shared" si="34"/>
        <v>1.7207243519517447E-3</v>
      </c>
      <c r="W61" s="2"/>
      <c r="X61" s="7">
        <f t="shared" si="35"/>
        <v>-3300</v>
      </c>
      <c r="Y61" s="2"/>
      <c r="Z61" s="6">
        <f t="shared" si="36"/>
        <v>-1</v>
      </c>
    </row>
    <row r="62" spans="1:26" s="28" customFormat="1" outlineLevel="1" collapsed="1" x14ac:dyDescent="0.25">
      <c r="A62" s="27"/>
      <c r="B62" s="14" t="str">
        <f>CONCATENATE("     ","Donations                                         ")</f>
        <v xml:space="preserve">     Donations                                         </v>
      </c>
      <c r="C62" s="14"/>
      <c r="D62" s="1">
        <f>SUM(OSRRefD22_6x_0)</f>
        <v>6666.05</v>
      </c>
      <c r="E62" s="1"/>
      <c r="F62" s="5">
        <f t="shared" ref="F62:F84" si="37">IF(D$12=0,0,D62/D$12)</f>
        <v>4.2391703396646316E-2</v>
      </c>
      <c r="G62" s="1"/>
      <c r="H62" s="1">
        <f>SUM(OSRRefH22_6x_0)</f>
        <v>13773</v>
      </c>
      <c r="I62" s="1"/>
      <c r="J62" s="5">
        <f t="shared" ref="J62:J84" si="38">IF(H$12=0,0,H62/H$12)</f>
        <v>4.5145091663580078E-2</v>
      </c>
      <c r="K62" s="1"/>
      <c r="L62" s="1">
        <f t="shared" ref="L62:L84" si="39">+D62-H62</f>
        <v>-7106.95</v>
      </c>
      <c r="M62" s="1"/>
      <c r="N62" s="5">
        <f t="shared" ref="N62:N84" si="40">IF(H62=0,0,L62/H62)</f>
        <v>-0.51600595367748492</v>
      </c>
      <c r="O62" s="14"/>
      <c r="P62" s="1">
        <f>SUM(OSRRefP22_6x_0)</f>
        <v>36822.009999999995</v>
      </c>
      <c r="Q62" s="1"/>
      <c r="R62" s="5">
        <f t="shared" ref="R62:R84" si="41">IF(P$12=0,0,P62/P$12)</f>
        <v>4.4325744125660788E-2</v>
      </c>
      <c r="S62" s="1"/>
      <c r="T62" s="1">
        <f>SUM(OSRRefT22_6x_0)</f>
        <v>67865</v>
      </c>
      <c r="U62" s="1"/>
      <c r="V62" s="5">
        <f t="shared" ref="V62:V84" si="42">IF(T$12=0,0,T62/T$12)</f>
        <v>3.5386957013698532E-2</v>
      </c>
      <c r="W62" s="1"/>
      <c r="X62" s="1">
        <f t="shared" ref="X62:X84" si="43">+P62-T62</f>
        <v>-31042.990000000005</v>
      </c>
      <c r="Y62" s="1"/>
      <c r="Z62" s="5">
        <f t="shared" ref="Z62:Z84" si="44">IF(T62=0,0,X62/T62)</f>
        <v>-0.45742267737419884</v>
      </c>
    </row>
    <row r="63" spans="1:26" s="24" customFormat="1" hidden="1" outlineLevel="2" x14ac:dyDescent="0.25">
      <c r="A63" s="29"/>
      <c r="B63" s="11" t="str">
        <f>CONCATENATE("          ", "6399", " - ", "DONATION-ON CAMPUS")</f>
        <v xml:space="preserve">          6399 - DONATION-ON CAMPUS</v>
      </c>
      <c r="C63" s="11"/>
      <c r="D63" s="7">
        <v>6666.05</v>
      </c>
      <c r="E63" s="2"/>
      <c r="F63" s="6">
        <f t="shared" si="37"/>
        <v>4.2391703396646316E-2</v>
      </c>
      <c r="G63" s="2"/>
      <c r="H63" s="7">
        <v>13773</v>
      </c>
      <c r="I63" s="2"/>
      <c r="J63" s="6">
        <f t="shared" si="38"/>
        <v>4.5145091663580078E-2</v>
      </c>
      <c r="K63" s="2"/>
      <c r="L63" s="7">
        <f t="shared" si="39"/>
        <v>-7106.95</v>
      </c>
      <c r="M63" s="2"/>
      <c r="N63" s="6">
        <f t="shared" si="40"/>
        <v>-0.51600595367748492</v>
      </c>
      <c r="O63" s="11"/>
      <c r="P63" s="7">
        <v>36822.009999999995</v>
      </c>
      <c r="Q63" s="2"/>
      <c r="R63" s="6">
        <f t="shared" si="41"/>
        <v>4.4325744125660788E-2</v>
      </c>
      <c r="S63" s="2"/>
      <c r="T63" s="7">
        <v>67865</v>
      </c>
      <c r="U63" s="2"/>
      <c r="V63" s="6">
        <f t="shared" si="42"/>
        <v>3.5386957013698532E-2</v>
      </c>
      <c r="W63" s="2"/>
      <c r="X63" s="7">
        <f t="shared" si="43"/>
        <v>-31042.990000000005</v>
      </c>
      <c r="Y63" s="2"/>
      <c r="Z63" s="6">
        <f t="shared" si="44"/>
        <v>-0.45742267737419884</v>
      </c>
    </row>
    <row r="64" spans="1:26" s="28" customFormat="1" outlineLevel="1" collapsed="1" x14ac:dyDescent="0.25">
      <c r="A64" s="27"/>
      <c r="B64" s="14" t="str">
        <f>CONCATENATE("     ","Employees' Appreciation                           ")</f>
        <v xml:space="preserve">     Employees' Appreciation                           </v>
      </c>
      <c r="C64" s="14"/>
      <c r="D64" s="1">
        <f>SUM(OSRRefD22_7x_0)</f>
        <v>10</v>
      </c>
      <c r="E64" s="1"/>
      <c r="F64" s="5">
        <f t="shared" si="37"/>
        <v>6.3593437487937112E-5</v>
      </c>
      <c r="G64" s="1"/>
      <c r="H64" s="1">
        <f>SUM(OSRRefH22_7x_0)</f>
        <v>400</v>
      </c>
      <c r="I64" s="1"/>
      <c r="J64" s="5">
        <f t="shared" si="38"/>
        <v>1.3111186136231779E-3</v>
      </c>
      <c r="K64" s="1"/>
      <c r="L64" s="1">
        <f t="shared" si="39"/>
        <v>-390</v>
      </c>
      <c r="M64" s="1"/>
      <c r="N64" s="5">
        <f t="shared" si="40"/>
        <v>-0.97499999999999998</v>
      </c>
      <c r="O64" s="14"/>
      <c r="P64" s="1">
        <f>SUM(OSRRefP22_7x_0)</f>
        <v>10</v>
      </c>
      <c r="Q64" s="1"/>
      <c r="R64" s="5">
        <f t="shared" si="41"/>
        <v>1.2037839359030317E-5</v>
      </c>
      <c r="S64" s="1"/>
      <c r="T64" s="1">
        <f>SUM(OSRRefT22_7x_0)</f>
        <v>1700</v>
      </c>
      <c r="U64" s="1"/>
      <c r="V64" s="5">
        <f t="shared" si="42"/>
        <v>8.8643375706605042E-4</v>
      </c>
      <c r="W64" s="1"/>
      <c r="X64" s="1">
        <f t="shared" si="43"/>
        <v>-1690</v>
      </c>
      <c r="Y64" s="1"/>
      <c r="Z64" s="5">
        <f t="shared" si="44"/>
        <v>-0.99411764705882355</v>
      </c>
    </row>
    <row r="65" spans="1:26" s="24" customFormat="1" hidden="1" outlineLevel="2" x14ac:dyDescent="0.25">
      <c r="A65" s="29"/>
      <c r="B65" s="11" t="str">
        <f>CONCATENATE("          ", "6277", " - ", "EMPLOYEE APPRECIATION")</f>
        <v xml:space="preserve">          6277 - EMPLOYEE APPRECIATION</v>
      </c>
      <c r="C65" s="11"/>
      <c r="D65" s="7">
        <v>10</v>
      </c>
      <c r="E65" s="2"/>
      <c r="F65" s="6">
        <f t="shared" si="37"/>
        <v>6.3593437487937112E-5</v>
      </c>
      <c r="G65" s="2"/>
      <c r="H65" s="7">
        <v>400</v>
      </c>
      <c r="I65" s="2"/>
      <c r="J65" s="6">
        <f t="shared" si="38"/>
        <v>1.3111186136231779E-3</v>
      </c>
      <c r="K65" s="2"/>
      <c r="L65" s="7">
        <f t="shared" si="39"/>
        <v>-390</v>
      </c>
      <c r="M65" s="2"/>
      <c r="N65" s="6">
        <f t="shared" si="40"/>
        <v>-0.97499999999999998</v>
      </c>
      <c r="O65" s="11"/>
      <c r="P65" s="7">
        <v>10</v>
      </c>
      <c r="Q65" s="2"/>
      <c r="R65" s="6">
        <f t="shared" si="41"/>
        <v>1.2037839359030317E-5</v>
      </c>
      <c r="S65" s="2"/>
      <c r="T65" s="7">
        <v>1700</v>
      </c>
      <c r="U65" s="2"/>
      <c r="V65" s="6">
        <f t="shared" si="42"/>
        <v>8.8643375706605042E-4</v>
      </c>
      <c r="W65" s="2"/>
      <c r="X65" s="7">
        <f t="shared" si="43"/>
        <v>-1690</v>
      </c>
      <c r="Y65" s="2"/>
      <c r="Z65" s="6">
        <f t="shared" si="44"/>
        <v>-0.99411764705882355</v>
      </c>
    </row>
    <row r="66" spans="1:26" s="28" customFormat="1" outlineLevel="1" collapsed="1" x14ac:dyDescent="0.25">
      <c r="A66" s="27"/>
      <c r="B66" s="14" t="str">
        <f>CONCATENATE("     ","Equipment Rental                                  ")</f>
        <v xml:space="preserve">     Equipment Rental                                  </v>
      </c>
      <c r="C66" s="14"/>
      <c r="D66" s="1">
        <f>SUM(OSRRefD22_8x_0)</f>
        <v>684.84</v>
      </c>
      <c r="E66" s="1"/>
      <c r="F66" s="5">
        <f t="shared" si="37"/>
        <v>4.355132972923885E-3</v>
      </c>
      <c r="G66" s="1"/>
      <c r="H66" s="1">
        <f>SUM(OSRRefH22_8x_0)</f>
        <v>993.33333333333303</v>
      </c>
      <c r="I66" s="1"/>
      <c r="J66" s="5">
        <f t="shared" si="38"/>
        <v>3.2559445571642242E-3</v>
      </c>
      <c r="K66" s="1"/>
      <c r="L66" s="1">
        <f t="shared" si="39"/>
        <v>-308.493333333333</v>
      </c>
      <c r="M66" s="1"/>
      <c r="N66" s="5">
        <f t="shared" si="40"/>
        <v>-0.31056375838926148</v>
      </c>
      <c r="O66" s="14"/>
      <c r="P66" s="1">
        <f>SUM(OSRRefP22_8x_0)</f>
        <v>7301.15</v>
      </c>
      <c r="Q66" s="1"/>
      <c r="R66" s="5">
        <f t="shared" si="41"/>
        <v>8.7890070836184192E-3</v>
      </c>
      <c r="S66" s="1"/>
      <c r="T66" s="1">
        <f>SUM(OSRRefT22_8x_0)</f>
        <v>6058.9999999999982</v>
      </c>
      <c r="U66" s="1"/>
      <c r="V66" s="5">
        <f t="shared" si="42"/>
        <v>3.1593541965077633E-3</v>
      </c>
      <c r="W66" s="1"/>
      <c r="X66" s="1">
        <f t="shared" si="43"/>
        <v>1242.1500000000015</v>
      </c>
      <c r="Y66" s="1"/>
      <c r="Z66" s="5">
        <f t="shared" si="44"/>
        <v>0.20500907740551277</v>
      </c>
    </row>
    <row r="67" spans="1:26" s="24" customFormat="1" hidden="1" outlineLevel="2" x14ac:dyDescent="0.25">
      <c r="A67" s="29"/>
      <c r="B67" s="11" t="str">
        <f>CONCATENATE("          ", "6351", " - ", "EQUIPMENT RENTAL")</f>
        <v xml:space="preserve">          6351 - EQUIPMENT RENTAL</v>
      </c>
      <c r="C67" s="11"/>
      <c r="D67" s="7">
        <v>684.84</v>
      </c>
      <c r="E67" s="2"/>
      <c r="F67" s="6">
        <f t="shared" si="37"/>
        <v>4.355132972923885E-3</v>
      </c>
      <c r="G67" s="2"/>
      <c r="H67" s="7">
        <v>993.33333333333303</v>
      </c>
      <c r="I67" s="2"/>
      <c r="J67" s="6">
        <f t="shared" si="38"/>
        <v>3.2559445571642242E-3</v>
      </c>
      <c r="K67" s="2"/>
      <c r="L67" s="7">
        <f t="shared" si="39"/>
        <v>-308.493333333333</v>
      </c>
      <c r="M67" s="2"/>
      <c r="N67" s="6">
        <f t="shared" si="40"/>
        <v>-0.31056375838926148</v>
      </c>
      <c r="O67" s="11"/>
      <c r="P67" s="7">
        <v>7301.15</v>
      </c>
      <c r="Q67" s="2"/>
      <c r="R67" s="6">
        <f t="shared" si="41"/>
        <v>8.7890070836184192E-3</v>
      </c>
      <c r="S67" s="2"/>
      <c r="T67" s="7">
        <v>6058.9999999999982</v>
      </c>
      <c r="U67" s="2"/>
      <c r="V67" s="6">
        <f t="shared" si="42"/>
        <v>3.1593541965077633E-3</v>
      </c>
      <c r="W67" s="2"/>
      <c r="X67" s="7">
        <f t="shared" si="43"/>
        <v>1242.1500000000015</v>
      </c>
      <c r="Y67" s="2"/>
      <c r="Z67" s="6">
        <f t="shared" si="44"/>
        <v>0.20500907740551277</v>
      </c>
    </row>
    <row r="68" spans="1:26" s="28" customFormat="1" outlineLevel="1" collapsed="1" x14ac:dyDescent="0.25">
      <c r="A68" s="27"/>
      <c r="B68" s="14" t="str">
        <f>CONCATENATE("     ","Freight out/Postage                               ")</f>
        <v xml:space="preserve">     Freight out/Postage                               </v>
      </c>
      <c r="C68" s="14"/>
      <c r="D68" s="1">
        <f>SUM(OSRRefD22_9x_0)</f>
        <v>0</v>
      </c>
      <c r="E68" s="1"/>
      <c r="F68" s="5">
        <f t="shared" si="37"/>
        <v>0</v>
      </c>
      <c r="G68" s="1"/>
      <c r="H68" s="1">
        <f>SUM(OSRRefH22_9x_0)</f>
        <v>0</v>
      </c>
      <c r="I68" s="1"/>
      <c r="J68" s="5">
        <f t="shared" si="38"/>
        <v>0</v>
      </c>
      <c r="K68" s="1"/>
      <c r="L68" s="1">
        <f t="shared" si="39"/>
        <v>0</v>
      </c>
      <c r="M68" s="1"/>
      <c r="N68" s="5">
        <f t="shared" si="40"/>
        <v>0</v>
      </c>
      <c r="O68" s="14"/>
      <c r="P68" s="1">
        <f>SUM(OSRRefP22_9x_0)</f>
        <v>-5.41</v>
      </c>
      <c r="Q68" s="1"/>
      <c r="R68" s="5">
        <f t="shared" si="41"/>
        <v>-6.5124710932354014E-6</v>
      </c>
      <c r="S68" s="1"/>
      <c r="T68" s="1">
        <f>SUM(OSRRefT22_9x_0)</f>
        <v>0</v>
      </c>
      <c r="U68" s="1"/>
      <c r="V68" s="5">
        <f t="shared" si="42"/>
        <v>0</v>
      </c>
      <c r="W68" s="1"/>
      <c r="X68" s="1">
        <f t="shared" si="43"/>
        <v>-5.41</v>
      </c>
      <c r="Y68" s="1"/>
      <c r="Z68" s="5">
        <f t="shared" si="44"/>
        <v>0</v>
      </c>
    </row>
    <row r="69" spans="1:26" s="24" customFormat="1" hidden="1" outlineLevel="2" x14ac:dyDescent="0.25">
      <c r="A69" s="29"/>
      <c r="B69" s="11" t="str">
        <f>CONCATENATE("          ", "6307", " - ", "POSTAGE")</f>
        <v xml:space="preserve">          6307 - POSTAGE</v>
      </c>
      <c r="C69" s="11"/>
      <c r="D69" s="7"/>
      <c r="E69" s="2"/>
      <c r="F69" s="6">
        <f t="shared" si="37"/>
        <v>0</v>
      </c>
      <c r="G69" s="2"/>
      <c r="H69" s="7"/>
      <c r="I69" s="2"/>
      <c r="J69" s="6">
        <f t="shared" si="38"/>
        <v>0</v>
      </c>
      <c r="K69" s="2"/>
      <c r="L69" s="7">
        <f t="shared" si="39"/>
        <v>0</v>
      </c>
      <c r="M69" s="2"/>
      <c r="N69" s="6">
        <f t="shared" si="40"/>
        <v>0</v>
      </c>
      <c r="O69" s="11"/>
      <c r="P69" s="7">
        <v>-5.41</v>
      </c>
      <c r="Q69" s="2"/>
      <c r="R69" s="6">
        <f t="shared" si="41"/>
        <v>-6.5124710932354014E-6</v>
      </c>
      <c r="S69" s="2"/>
      <c r="T69" s="7"/>
      <c r="U69" s="2"/>
      <c r="V69" s="6">
        <f t="shared" si="42"/>
        <v>0</v>
      </c>
      <c r="W69" s="2"/>
      <c r="X69" s="7">
        <f t="shared" si="43"/>
        <v>-5.41</v>
      </c>
      <c r="Y69" s="2"/>
      <c r="Z69" s="6">
        <f t="shared" si="44"/>
        <v>0</v>
      </c>
    </row>
    <row r="70" spans="1:26" s="28" customFormat="1" outlineLevel="1" collapsed="1" x14ac:dyDescent="0.25">
      <c r="A70" s="27"/>
      <c r="B70" s="14" t="str">
        <f>CONCATENATE("     ","General                                           ")</f>
        <v xml:space="preserve">     General                                           </v>
      </c>
      <c r="C70" s="14"/>
      <c r="D70" s="1">
        <f>SUM(OSRRefD22_10x_0)</f>
        <v>1198.48</v>
      </c>
      <c r="E70" s="1"/>
      <c r="F70" s="5">
        <f t="shared" si="37"/>
        <v>7.6215462960542869E-3</v>
      </c>
      <c r="G70" s="1"/>
      <c r="H70" s="1">
        <f>SUM(OSRRefH22_10x_0)</f>
        <v>885</v>
      </c>
      <c r="I70" s="1"/>
      <c r="J70" s="5">
        <f t="shared" si="38"/>
        <v>2.9008499326412811E-3</v>
      </c>
      <c r="K70" s="1"/>
      <c r="L70" s="1">
        <f t="shared" si="39"/>
        <v>313.48</v>
      </c>
      <c r="M70" s="1"/>
      <c r="N70" s="5">
        <f t="shared" si="40"/>
        <v>0.35421468926553673</v>
      </c>
      <c r="O70" s="14"/>
      <c r="P70" s="1">
        <f>SUM(OSRRefP22_10x_0)</f>
        <v>11838.88</v>
      </c>
      <c r="Q70" s="1"/>
      <c r="R70" s="5">
        <f t="shared" si="41"/>
        <v>1.4251453563083683E-2</v>
      </c>
      <c r="S70" s="1"/>
      <c r="T70" s="1">
        <f>SUM(OSRRefT22_10x_0)</f>
        <v>11810</v>
      </c>
      <c r="U70" s="1"/>
      <c r="V70" s="5">
        <f t="shared" si="42"/>
        <v>6.1581074535000321E-3</v>
      </c>
      <c r="W70" s="1"/>
      <c r="X70" s="1">
        <f t="shared" si="43"/>
        <v>28.8799999999992</v>
      </c>
      <c r="Y70" s="1"/>
      <c r="Z70" s="5">
        <f t="shared" si="44"/>
        <v>2.4453852667230482E-3</v>
      </c>
    </row>
    <row r="71" spans="1:26" s="24" customFormat="1" hidden="1" outlineLevel="2" x14ac:dyDescent="0.25">
      <c r="A71" s="29"/>
      <c r="B71" s="11" t="str">
        <f>CONCATENATE("          ", "6279", " - ", "GENERAL EXPENSE")</f>
        <v xml:space="preserve">          6279 - GENERAL EXPENSE</v>
      </c>
      <c r="C71" s="11"/>
      <c r="D71" s="7">
        <v>1198.48</v>
      </c>
      <c r="E71" s="2"/>
      <c r="F71" s="6">
        <f t="shared" si="37"/>
        <v>7.6215462960542869E-3</v>
      </c>
      <c r="G71" s="2"/>
      <c r="H71" s="7">
        <v>885</v>
      </c>
      <c r="I71" s="2"/>
      <c r="J71" s="6">
        <f t="shared" si="38"/>
        <v>2.9008499326412811E-3</v>
      </c>
      <c r="K71" s="2"/>
      <c r="L71" s="7">
        <f t="shared" si="39"/>
        <v>313.48</v>
      </c>
      <c r="M71" s="2"/>
      <c r="N71" s="6">
        <f t="shared" si="40"/>
        <v>0.35421468926553673</v>
      </c>
      <c r="O71" s="11"/>
      <c r="P71" s="7">
        <v>11838.88</v>
      </c>
      <c r="Q71" s="2"/>
      <c r="R71" s="6">
        <f t="shared" si="41"/>
        <v>1.4251453563083683E-2</v>
      </c>
      <c r="S71" s="2"/>
      <c r="T71" s="7">
        <v>11810</v>
      </c>
      <c r="U71" s="2"/>
      <c r="V71" s="6">
        <f t="shared" si="42"/>
        <v>6.1581074535000321E-3</v>
      </c>
      <c r="W71" s="2"/>
      <c r="X71" s="7">
        <f t="shared" si="43"/>
        <v>28.8799999999992</v>
      </c>
      <c r="Y71" s="2"/>
      <c r="Z71" s="6">
        <f t="shared" si="44"/>
        <v>2.4453852667230482E-3</v>
      </c>
    </row>
    <row r="72" spans="1:26" s="28" customFormat="1" outlineLevel="1" collapsed="1" x14ac:dyDescent="0.25">
      <c r="A72" s="27"/>
      <c r="B72" s="14" t="str">
        <f>CONCATENATE("     ","Insurance                                         ")</f>
        <v xml:space="preserve">     Insurance                                         </v>
      </c>
      <c r="C72" s="14"/>
      <c r="D72" s="1">
        <f>SUM(OSRRefD22_11x_0)</f>
        <v>4246.03</v>
      </c>
      <c r="E72" s="1"/>
      <c r="F72" s="5">
        <f t="shared" si="37"/>
        <v>2.7001964337690559E-2</v>
      </c>
      <c r="G72" s="1"/>
      <c r="H72" s="1">
        <f>SUM(OSRRefH22_11x_0)</f>
        <v>4572</v>
      </c>
      <c r="I72" s="1"/>
      <c r="J72" s="5">
        <f t="shared" si="38"/>
        <v>1.4986085753712923E-2</v>
      </c>
      <c r="K72" s="1"/>
      <c r="L72" s="1">
        <f t="shared" si="39"/>
        <v>-325.97000000000025</v>
      </c>
      <c r="M72" s="1"/>
      <c r="N72" s="5">
        <f t="shared" si="40"/>
        <v>-7.1297025371828582E-2</v>
      </c>
      <c r="O72" s="14"/>
      <c r="P72" s="1">
        <f>SUM(OSRRefP22_11x_0)</f>
        <v>31588.179999999997</v>
      </c>
      <c r="Q72" s="1"/>
      <c r="R72" s="5">
        <f t="shared" si="41"/>
        <v>3.8025343648413423E-2</v>
      </c>
      <c r="S72" s="1"/>
      <c r="T72" s="1">
        <f>SUM(OSRRefT22_11x_0)</f>
        <v>27432</v>
      </c>
      <c r="U72" s="1"/>
      <c r="V72" s="5">
        <f t="shared" si="42"/>
        <v>1.4303912249315232E-2</v>
      </c>
      <c r="W72" s="1"/>
      <c r="X72" s="1">
        <f t="shared" si="43"/>
        <v>4156.1799999999967</v>
      </c>
      <c r="Y72" s="1"/>
      <c r="Z72" s="5">
        <f t="shared" si="44"/>
        <v>0.15150845727617368</v>
      </c>
    </row>
    <row r="73" spans="1:26" s="24" customFormat="1" hidden="1" outlineLevel="2" x14ac:dyDescent="0.25">
      <c r="A73" s="29"/>
      <c r="B73" s="11" t="str">
        <f>CONCATENATE("          ", "6314", " - ", "LIABILITY INSURANCE")</f>
        <v xml:space="preserve">          6314 - LIABILITY INSURANCE</v>
      </c>
      <c r="C73" s="11"/>
      <c r="D73" s="7">
        <v>4246.03</v>
      </c>
      <c r="E73" s="2"/>
      <c r="F73" s="6">
        <f t="shared" si="37"/>
        <v>2.7001964337690559E-2</v>
      </c>
      <c r="G73" s="2"/>
      <c r="H73" s="7">
        <v>4572</v>
      </c>
      <c r="I73" s="2"/>
      <c r="J73" s="6">
        <f t="shared" si="38"/>
        <v>1.4986085753712923E-2</v>
      </c>
      <c r="K73" s="2"/>
      <c r="L73" s="7">
        <f t="shared" si="39"/>
        <v>-325.97000000000025</v>
      </c>
      <c r="M73" s="2"/>
      <c r="N73" s="6">
        <f t="shared" si="40"/>
        <v>-7.1297025371828582E-2</v>
      </c>
      <c r="O73" s="11"/>
      <c r="P73" s="7">
        <v>31588.179999999997</v>
      </c>
      <c r="Q73" s="2"/>
      <c r="R73" s="6">
        <f t="shared" si="41"/>
        <v>3.8025343648413423E-2</v>
      </c>
      <c r="S73" s="2"/>
      <c r="T73" s="7">
        <v>27432</v>
      </c>
      <c r="U73" s="2"/>
      <c r="V73" s="6">
        <f t="shared" si="42"/>
        <v>1.4303912249315232E-2</v>
      </c>
      <c r="W73" s="2"/>
      <c r="X73" s="7">
        <f t="shared" si="43"/>
        <v>4156.1799999999967</v>
      </c>
      <c r="Y73" s="2"/>
      <c r="Z73" s="6">
        <f t="shared" si="44"/>
        <v>0.15150845727617368</v>
      </c>
    </row>
    <row r="74" spans="1:26" s="28" customFormat="1" outlineLevel="1" collapsed="1" x14ac:dyDescent="0.25">
      <c r="A74" s="27"/>
      <c r="B74" s="14" t="str">
        <f>CONCATENATE("     ","Interest                                          ")</f>
        <v xml:space="preserve">     Interest                                          </v>
      </c>
      <c r="C74" s="14"/>
      <c r="D74" s="1">
        <f>SUM(OSRRefD22_12x_0)</f>
        <v>7510</v>
      </c>
      <c r="E74" s="1"/>
      <c r="F74" s="5">
        <f t="shared" si="37"/>
        <v>4.7758671553440768E-2</v>
      </c>
      <c r="G74" s="1"/>
      <c r="H74" s="1">
        <f>SUM(OSRRefH22_12x_0)</f>
        <v>7510</v>
      </c>
      <c r="I74" s="1"/>
      <c r="J74" s="5">
        <f t="shared" si="38"/>
        <v>2.4616251970775167E-2</v>
      </c>
      <c r="K74" s="1"/>
      <c r="L74" s="1">
        <f t="shared" si="39"/>
        <v>0</v>
      </c>
      <c r="M74" s="1"/>
      <c r="N74" s="5">
        <f t="shared" si="40"/>
        <v>0</v>
      </c>
      <c r="O74" s="14"/>
      <c r="P74" s="1">
        <f>SUM(OSRRefP22_12x_0)</f>
        <v>44573.15</v>
      </c>
      <c r="Q74" s="1"/>
      <c r="R74" s="5">
        <f t="shared" si="41"/>
        <v>5.3656441942596216E-2</v>
      </c>
      <c r="S74" s="1"/>
      <c r="T74" s="1">
        <f>SUM(OSRRefT22_12x_0)</f>
        <v>45060</v>
      </c>
      <c r="U74" s="1"/>
      <c r="V74" s="5">
        <f t="shared" si="42"/>
        <v>2.3495708878468372E-2</v>
      </c>
      <c r="W74" s="1"/>
      <c r="X74" s="1">
        <f t="shared" si="43"/>
        <v>-486.84999999999854</v>
      </c>
      <c r="Y74" s="1"/>
      <c r="Z74" s="5">
        <f t="shared" si="44"/>
        <v>-1.0804482911673291E-2</v>
      </c>
    </row>
    <row r="75" spans="1:26" s="24" customFormat="1" hidden="1" outlineLevel="2" x14ac:dyDescent="0.25">
      <c r="A75" s="29"/>
      <c r="B75" s="11" t="str">
        <f>CONCATENATE("          ", "6401", " - ", "INTEREST EXPENSE")</f>
        <v xml:space="preserve">          6401 - INTEREST EXPENSE</v>
      </c>
      <c r="C75" s="11"/>
      <c r="D75" s="7">
        <v>7510</v>
      </c>
      <c r="E75" s="2"/>
      <c r="F75" s="6">
        <f t="shared" si="37"/>
        <v>4.7758671553440768E-2</v>
      </c>
      <c r="G75" s="2"/>
      <c r="H75" s="7">
        <v>7510</v>
      </c>
      <c r="I75" s="2"/>
      <c r="J75" s="6">
        <f t="shared" si="38"/>
        <v>2.4616251970775167E-2</v>
      </c>
      <c r="K75" s="2"/>
      <c r="L75" s="7">
        <f t="shared" si="39"/>
        <v>0</v>
      </c>
      <c r="M75" s="2"/>
      <c r="N75" s="6">
        <f t="shared" si="40"/>
        <v>0</v>
      </c>
      <c r="O75" s="11"/>
      <c r="P75" s="7">
        <v>44573.15</v>
      </c>
      <c r="Q75" s="2"/>
      <c r="R75" s="6">
        <f t="shared" si="41"/>
        <v>5.3656441942596216E-2</v>
      </c>
      <c r="S75" s="2"/>
      <c r="T75" s="7">
        <v>45060</v>
      </c>
      <c r="U75" s="2"/>
      <c r="V75" s="6">
        <f t="shared" si="42"/>
        <v>2.3495708878468372E-2</v>
      </c>
      <c r="W75" s="2"/>
      <c r="X75" s="7">
        <f t="shared" si="43"/>
        <v>-486.84999999999854</v>
      </c>
      <c r="Y75" s="2"/>
      <c r="Z75" s="6">
        <f t="shared" si="44"/>
        <v>-1.0804482911673291E-2</v>
      </c>
    </row>
    <row r="76" spans="1:26" s="28" customFormat="1" outlineLevel="1" collapsed="1" x14ac:dyDescent="0.25">
      <c r="A76" s="27"/>
      <c r="B76" s="14" t="str">
        <f>CONCATENATE("     ","R/H Commissions                                   ")</f>
        <v xml:space="preserve">     R/H Commissions                                   </v>
      </c>
      <c r="C76" s="14"/>
      <c r="D76" s="1">
        <f>SUM(OSRRefD22_13x_0)</f>
        <v>38313.420000000006</v>
      </c>
      <c r="E76" s="1"/>
      <c r="F76" s="5">
        <f t="shared" si="37"/>
        <v>0.24364820797190798</v>
      </c>
      <c r="G76" s="1"/>
      <c r="H76" s="1">
        <f>SUM(OSRRefH22_13x_0)</f>
        <v>25727</v>
      </c>
      <c r="I76" s="1"/>
      <c r="J76" s="5">
        <f t="shared" si="38"/>
        <v>8.4327871431708751E-2</v>
      </c>
      <c r="K76" s="1"/>
      <c r="L76" s="1">
        <f t="shared" si="39"/>
        <v>12586.420000000006</v>
      </c>
      <c r="M76" s="1"/>
      <c r="N76" s="5">
        <f t="shared" si="40"/>
        <v>0.48922999183736954</v>
      </c>
      <c r="O76" s="14"/>
      <c r="P76" s="1">
        <f>SUM(OSRRefP22_13x_0)</f>
        <v>75016.490000000005</v>
      </c>
      <c r="Q76" s="1"/>
      <c r="R76" s="5">
        <f t="shared" si="41"/>
        <v>9.0303645589830422E-2</v>
      </c>
      <c r="S76" s="1"/>
      <c r="T76" s="1">
        <f>SUM(OSRRefT22_13x_0)</f>
        <v>148571</v>
      </c>
      <c r="U76" s="1"/>
      <c r="V76" s="5">
        <f t="shared" si="42"/>
        <v>7.7469617482976566E-2</v>
      </c>
      <c r="W76" s="1"/>
      <c r="X76" s="1">
        <f t="shared" si="43"/>
        <v>-73554.509999999995</v>
      </c>
      <c r="Y76" s="1"/>
      <c r="Z76" s="5">
        <f t="shared" si="44"/>
        <v>-0.49507986080729077</v>
      </c>
    </row>
    <row r="77" spans="1:26" s="24" customFormat="1" hidden="1" outlineLevel="2" x14ac:dyDescent="0.25">
      <c r="A77" s="29"/>
      <c r="B77" s="11" t="str">
        <f>CONCATENATE("          ", "6387", " - ", "COMMISSION DUE HOUSING")</f>
        <v xml:space="preserve">          6387 - COMMISSION DUE HOUSING</v>
      </c>
      <c r="C77" s="11"/>
      <c r="D77" s="7">
        <v>38313.420000000006</v>
      </c>
      <c r="E77" s="2"/>
      <c r="F77" s="6">
        <f t="shared" si="37"/>
        <v>0.24364820797190798</v>
      </c>
      <c r="G77" s="2"/>
      <c r="H77" s="7">
        <v>25727</v>
      </c>
      <c r="I77" s="2"/>
      <c r="J77" s="6">
        <f t="shared" si="38"/>
        <v>8.4327871431708751E-2</v>
      </c>
      <c r="K77" s="2"/>
      <c r="L77" s="7">
        <f t="shared" si="39"/>
        <v>12586.420000000006</v>
      </c>
      <c r="M77" s="2"/>
      <c r="N77" s="6">
        <f t="shared" si="40"/>
        <v>0.48922999183736954</v>
      </c>
      <c r="O77" s="11"/>
      <c r="P77" s="7">
        <v>75016.490000000005</v>
      </c>
      <c r="Q77" s="2"/>
      <c r="R77" s="6">
        <f t="shared" si="41"/>
        <v>9.0303645589830422E-2</v>
      </c>
      <c r="S77" s="2"/>
      <c r="T77" s="7">
        <v>148571</v>
      </c>
      <c r="U77" s="2"/>
      <c r="V77" s="6">
        <f t="shared" si="42"/>
        <v>7.7469617482976566E-2</v>
      </c>
      <c r="W77" s="2"/>
      <c r="X77" s="7">
        <f t="shared" si="43"/>
        <v>-73554.509999999995</v>
      </c>
      <c r="Y77" s="2"/>
      <c r="Z77" s="6">
        <f t="shared" si="44"/>
        <v>-0.49507986080729077</v>
      </c>
    </row>
    <row r="78" spans="1:26" s="28" customFormat="1" outlineLevel="1" collapsed="1" x14ac:dyDescent="0.25">
      <c r="A78" s="27"/>
      <c r="B78" s="14" t="str">
        <f>CONCATENATE("     ","Rent                                              ")</f>
        <v xml:space="preserve">     Rent                                              </v>
      </c>
      <c r="C78" s="14"/>
      <c r="D78" s="1">
        <f>SUM(OSRRefD22_14x_0)</f>
        <v>5550</v>
      </c>
      <c r="E78" s="1"/>
      <c r="F78" s="5">
        <f t="shared" si="37"/>
        <v>3.5294357805805095E-2</v>
      </c>
      <c r="G78" s="1"/>
      <c r="H78" s="1">
        <f>SUM(OSRRefH22_14x_0)</f>
        <v>1943</v>
      </c>
      <c r="I78" s="1"/>
      <c r="J78" s="5">
        <f t="shared" si="38"/>
        <v>6.368758665674587E-3</v>
      </c>
      <c r="K78" s="1"/>
      <c r="L78" s="1">
        <f t="shared" si="39"/>
        <v>3607</v>
      </c>
      <c r="M78" s="1"/>
      <c r="N78" s="5">
        <f t="shared" si="40"/>
        <v>1.856407617086979</v>
      </c>
      <c r="O78" s="14"/>
      <c r="P78" s="1">
        <f>SUM(OSRRefP22_14x_0)</f>
        <v>11100</v>
      </c>
      <c r="Q78" s="1"/>
      <c r="R78" s="5">
        <f t="shared" si="41"/>
        <v>1.3362001688523651E-2</v>
      </c>
      <c r="S78" s="1"/>
      <c r="T78" s="1">
        <f>SUM(OSRRefT22_14x_0)</f>
        <v>11658</v>
      </c>
      <c r="U78" s="1"/>
      <c r="V78" s="5">
        <f t="shared" si="42"/>
        <v>6.078849846985891E-3</v>
      </c>
      <c r="W78" s="1"/>
      <c r="X78" s="1">
        <f t="shared" si="43"/>
        <v>-558</v>
      </c>
      <c r="Y78" s="1"/>
      <c r="Z78" s="5">
        <f t="shared" si="44"/>
        <v>-4.7864127637673698E-2</v>
      </c>
    </row>
    <row r="79" spans="1:26" s="24" customFormat="1" hidden="1" outlineLevel="2" x14ac:dyDescent="0.25">
      <c r="A79" s="29"/>
      <c r="B79" s="11" t="str">
        <f>CONCATENATE("          ", "6273", " - ", "RENT")</f>
        <v xml:space="preserve">          6273 - RENT</v>
      </c>
      <c r="C79" s="11"/>
      <c r="D79" s="7">
        <v>5550</v>
      </c>
      <c r="E79" s="2"/>
      <c r="F79" s="6">
        <f t="shared" si="37"/>
        <v>3.5294357805805095E-2</v>
      </c>
      <c r="G79" s="2"/>
      <c r="H79" s="7">
        <v>1943</v>
      </c>
      <c r="I79" s="2"/>
      <c r="J79" s="6">
        <f t="shared" si="38"/>
        <v>6.368758665674587E-3</v>
      </c>
      <c r="K79" s="2"/>
      <c r="L79" s="7">
        <f t="shared" si="39"/>
        <v>3607</v>
      </c>
      <c r="M79" s="2"/>
      <c r="N79" s="6">
        <f t="shared" si="40"/>
        <v>1.856407617086979</v>
      </c>
      <c r="O79" s="11"/>
      <c r="P79" s="7">
        <v>11100</v>
      </c>
      <c r="Q79" s="2"/>
      <c r="R79" s="6">
        <f t="shared" si="41"/>
        <v>1.3362001688523651E-2</v>
      </c>
      <c r="S79" s="2"/>
      <c r="T79" s="7">
        <v>11658</v>
      </c>
      <c r="U79" s="2"/>
      <c r="V79" s="6">
        <f t="shared" si="42"/>
        <v>6.078849846985891E-3</v>
      </c>
      <c r="W79" s="2"/>
      <c r="X79" s="7">
        <f t="shared" si="43"/>
        <v>-558</v>
      </c>
      <c r="Y79" s="2"/>
      <c r="Z79" s="6">
        <f t="shared" si="44"/>
        <v>-4.7864127637673698E-2</v>
      </c>
    </row>
    <row r="80" spans="1:26" s="28" customFormat="1" outlineLevel="1" collapsed="1" x14ac:dyDescent="0.25">
      <c r="A80" s="27"/>
      <c r="B80" s="14" t="str">
        <f>CONCATENATE("     ","Repair and Maintenance                            ")</f>
        <v xml:space="preserve">     Repair and Maintenance                            </v>
      </c>
      <c r="C80" s="14"/>
      <c r="D80" s="1">
        <f>SUM(OSRRefD22_15x_0)</f>
        <v>5421.87</v>
      </c>
      <c r="E80" s="1"/>
      <c r="F80" s="5">
        <f t="shared" si="37"/>
        <v>3.4479535091272155E-2</v>
      </c>
      <c r="G80" s="1"/>
      <c r="H80" s="1">
        <f>SUM(OSRRefH22_15x_0)</f>
        <v>3850</v>
      </c>
      <c r="I80" s="1"/>
      <c r="J80" s="5">
        <f t="shared" si="38"/>
        <v>1.2619516656123087E-2</v>
      </c>
      <c r="K80" s="1"/>
      <c r="L80" s="1">
        <f t="shared" si="39"/>
        <v>1571.87</v>
      </c>
      <c r="M80" s="1"/>
      <c r="N80" s="5">
        <f t="shared" si="40"/>
        <v>0.40827792207792207</v>
      </c>
      <c r="O80" s="14"/>
      <c r="P80" s="1">
        <f>SUM(OSRRefP22_15x_0)</f>
        <v>28005.77</v>
      </c>
      <c r="Q80" s="1"/>
      <c r="R80" s="5">
        <f t="shared" si="41"/>
        <v>3.371289603859505E-2</v>
      </c>
      <c r="S80" s="1"/>
      <c r="T80" s="1">
        <f>SUM(OSRRefT22_15x_0)</f>
        <v>34690</v>
      </c>
      <c r="U80" s="1"/>
      <c r="V80" s="5">
        <f t="shared" si="42"/>
        <v>1.8088462960365464E-2</v>
      </c>
      <c r="W80" s="1"/>
      <c r="X80" s="1">
        <f t="shared" si="43"/>
        <v>-6684.23</v>
      </c>
      <c r="Y80" s="1"/>
      <c r="Z80" s="5">
        <f t="shared" si="44"/>
        <v>-0.19268463534159699</v>
      </c>
    </row>
    <row r="81" spans="1:26" s="24" customFormat="1" hidden="1" outlineLevel="2" x14ac:dyDescent="0.25">
      <c r="A81" s="29"/>
      <c r="B81" s="11" t="str">
        <f>CONCATENATE("          ", "6371", " - ", "COMPUTER SOFTWARE MAINTENANCE")</f>
        <v xml:space="preserve">          6371 - COMPUTER SOFTWARE MAINTENANCE</v>
      </c>
      <c r="C81" s="11"/>
      <c r="D81" s="7">
        <v>3500</v>
      </c>
      <c r="E81" s="2"/>
      <c r="F81" s="6">
        <f t="shared" si="37"/>
        <v>2.2257703120777989E-2</v>
      </c>
      <c r="G81" s="2"/>
      <c r="H81" s="7"/>
      <c r="I81" s="2"/>
      <c r="J81" s="6">
        <f t="shared" si="38"/>
        <v>0</v>
      </c>
      <c r="K81" s="2"/>
      <c r="L81" s="7">
        <f t="shared" si="39"/>
        <v>3500</v>
      </c>
      <c r="M81" s="2"/>
      <c r="N81" s="6">
        <f t="shared" si="40"/>
        <v>0</v>
      </c>
      <c r="O81" s="11"/>
      <c r="P81" s="7">
        <v>3500</v>
      </c>
      <c r="Q81" s="2"/>
      <c r="R81" s="6">
        <f t="shared" si="41"/>
        <v>4.2132437756606106E-3</v>
      </c>
      <c r="S81" s="2"/>
      <c r="T81" s="7">
        <v>8500</v>
      </c>
      <c r="U81" s="2"/>
      <c r="V81" s="6">
        <f t="shared" si="42"/>
        <v>4.4321687853302516E-3</v>
      </c>
      <c r="W81" s="2"/>
      <c r="X81" s="7">
        <f t="shared" si="43"/>
        <v>-5000</v>
      </c>
      <c r="Y81" s="2"/>
      <c r="Z81" s="6">
        <f t="shared" si="44"/>
        <v>-0.58823529411764708</v>
      </c>
    </row>
    <row r="82" spans="1:26" s="24" customFormat="1" hidden="1" outlineLevel="2" x14ac:dyDescent="0.25">
      <c r="A82" s="29"/>
      <c r="B82" s="11" t="str">
        <f>CONCATENATE("          ", "6372", " - ", "COMPUTER HARDWARE MAINTENANCE")</f>
        <v xml:space="preserve">          6372 - COMPUTER HARDWARE MAINTENANCE</v>
      </c>
      <c r="C82" s="11"/>
      <c r="D82" s="7"/>
      <c r="E82" s="2"/>
      <c r="F82" s="6">
        <f t="shared" si="37"/>
        <v>0</v>
      </c>
      <c r="G82" s="2"/>
      <c r="H82" s="7"/>
      <c r="I82" s="2"/>
      <c r="J82" s="6">
        <f t="shared" si="38"/>
        <v>0</v>
      </c>
      <c r="K82" s="2"/>
      <c r="L82" s="7">
        <f t="shared" si="39"/>
        <v>0</v>
      </c>
      <c r="M82" s="2"/>
      <c r="N82" s="6">
        <f t="shared" si="40"/>
        <v>0</v>
      </c>
      <c r="O82" s="11"/>
      <c r="P82" s="7"/>
      <c r="Q82" s="2"/>
      <c r="R82" s="6">
        <f t="shared" si="41"/>
        <v>0</v>
      </c>
      <c r="S82" s="2"/>
      <c r="T82" s="7">
        <v>3083</v>
      </c>
      <c r="U82" s="2"/>
      <c r="V82" s="6">
        <f t="shared" si="42"/>
        <v>1.6075736900203726E-3</v>
      </c>
      <c r="W82" s="2"/>
      <c r="X82" s="7">
        <f t="shared" si="43"/>
        <v>-3083</v>
      </c>
      <c r="Y82" s="2"/>
      <c r="Z82" s="6">
        <f t="shared" si="44"/>
        <v>-1</v>
      </c>
    </row>
    <row r="83" spans="1:26" s="24" customFormat="1" hidden="1" outlineLevel="2" x14ac:dyDescent="0.25">
      <c r="A83" s="29"/>
      <c r="B83" s="11" t="str">
        <f>CONCATENATE("          ", "6373", " - ", "MAINTENANCE CONTRACTS")</f>
        <v xml:space="preserve">          6373 - MAINTENANCE CONTRACTS</v>
      </c>
      <c r="C83" s="11"/>
      <c r="D83" s="7">
        <v>1479.4</v>
      </c>
      <c r="E83" s="2"/>
      <c r="F83" s="6">
        <f t="shared" si="37"/>
        <v>9.4080131419654166E-3</v>
      </c>
      <c r="G83" s="2"/>
      <c r="H83" s="7">
        <v>1919</v>
      </c>
      <c r="I83" s="2"/>
      <c r="J83" s="6">
        <f t="shared" si="38"/>
        <v>6.2900915488571961E-3</v>
      </c>
      <c r="K83" s="2"/>
      <c r="L83" s="7">
        <f t="shared" si="39"/>
        <v>-439.59999999999991</v>
      </c>
      <c r="M83" s="2"/>
      <c r="N83" s="6">
        <f t="shared" si="40"/>
        <v>-0.22907764460656588</v>
      </c>
      <c r="O83" s="11"/>
      <c r="P83" s="7">
        <v>13991.41</v>
      </c>
      <c r="Q83" s="2"/>
      <c r="R83" s="6">
        <f t="shared" si="41"/>
        <v>1.6842634598633038E-2</v>
      </c>
      <c r="S83" s="2"/>
      <c r="T83" s="7">
        <v>7717</v>
      </c>
      <c r="U83" s="2"/>
      <c r="V83" s="6">
        <f t="shared" si="42"/>
        <v>4.023887825458065E-3</v>
      </c>
      <c r="W83" s="2"/>
      <c r="X83" s="7">
        <f t="shared" si="43"/>
        <v>6274.41</v>
      </c>
      <c r="Y83" s="2"/>
      <c r="Z83" s="6">
        <f t="shared" si="44"/>
        <v>0.81306336659323575</v>
      </c>
    </row>
    <row r="84" spans="1:26" s="24" customFormat="1" hidden="1" outlineLevel="2" x14ac:dyDescent="0.25">
      <c r="A84" s="29"/>
      <c r="B84" s="11" t="str">
        <f>CONCATENATE("          ", "6375", " - ", "OUTSIDE REPAIRS &amp; MAINTENANCE")</f>
        <v xml:space="preserve">          6375 - OUTSIDE REPAIRS &amp; MAINTENANCE</v>
      </c>
      <c r="C84" s="11"/>
      <c r="D84" s="7">
        <v>442.47</v>
      </c>
      <c r="E84" s="2"/>
      <c r="F84" s="6">
        <f t="shared" si="37"/>
        <v>2.8138188285287535E-3</v>
      </c>
      <c r="G84" s="2"/>
      <c r="H84" s="7">
        <v>1931</v>
      </c>
      <c r="I84" s="2"/>
      <c r="J84" s="6">
        <f t="shared" si="38"/>
        <v>6.329425107265892E-3</v>
      </c>
      <c r="K84" s="2"/>
      <c r="L84" s="7">
        <f t="shared" si="39"/>
        <v>-1488.53</v>
      </c>
      <c r="M84" s="2"/>
      <c r="N84" s="6">
        <f t="shared" si="40"/>
        <v>-0.77085965820818225</v>
      </c>
      <c r="O84" s="11"/>
      <c r="P84" s="7">
        <v>10514.36</v>
      </c>
      <c r="Q84" s="2"/>
      <c r="R84" s="6">
        <f t="shared" si="41"/>
        <v>1.26570176643014E-2</v>
      </c>
      <c r="S84" s="2"/>
      <c r="T84" s="7">
        <v>15390</v>
      </c>
      <c r="U84" s="2"/>
      <c r="V84" s="6">
        <f t="shared" si="42"/>
        <v>8.0248326595567729E-3</v>
      </c>
      <c r="W84" s="2"/>
      <c r="X84" s="7">
        <f t="shared" si="43"/>
        <v>-4875.6399999999994</v>
      </c>
      <c r="Y84" s="2"/>
      <c r="Z84" s="6">
        <f t="shared" si="44"/>
        <v>-0.31680571799870044</v>
      </c>
    </row>
    <row r="85" spans="1:26" s="28" customFormat="1" outlineLevel="1" collapsed="1" x14ac:dyDescent="0.25">
      <c r="A85" s="27"/>
      <c r="B85" s="14" t="str">
        <f>CONCATENATE("     ","Royalty &amp; Commissions                             ")</f>
        <v xml:space="preserve">     Royalty &amp; Commissions                             </v>
      </c>
      <c r="C85" s="14"/>
      <c r="D85" s="1">
        <f>SUM(OSRRefD22_16x_0)</f>
        <v>0</v>
      </c>
      <c r="E85" s="1"/>
      <c r="F85" s="5">
        <f t="shared" ref="F85:F87" si="45">IF(D$12=0,0,D85/D$12)</f>
        <v>0</v>
      </c>
      <c r="G85" s="1"/>
      <c r="H85" s="1">
        <f>SUM(OSRRefH22_16x_0)</f>
        <v>0</v>
      </c>
      <c r="I85" s="1"/>
      <c r="J85" s="5">
        <f t="shared" ref="J85:J87" si="46">IF(H$12=0,0,H85/H$12)</f>
        <v>0</v>
      </c>
      <c r="K85" s="1"/>
      <c r="L85" s="1">
        <f t="shared" ref="L85:L87" si="47">+D85-H85</f>
        <v>0</v>
      </c>
      <c r="M85" s="1"/>
      <c r="N85" s="5">
        <f t="shared" ref="N85:N87" si="48">IF(H85=0,0,L85/H85)</f>
        <v>0</v>
      </c>
      <c r="O85" s="14"/>
      <c r="P85" s="1">
        <f>SUM(OSRRefP22_16x_0)</f>
        <v>0</v>
      </c>
      <c r="Q85" s="1"/>
      <c r="R85" s="5">
        <f t="shared" ref="R85:R87" si="49">IF(P$12=0,0,P85/P$12)</f>
        <v>0</v>
      </c>
      <c r="S85" s="1"/>
      <c r="T85" s="1">
        <f>SUM(OSRRefT22_16x_0)</f>
        <v>0</v>
      </c>
      <c r="U85" s="1"/>
      <c r="V85" s="5">
        <f t="shared" ref="V85:V87" si="50">IF(T$12=0,0,T85/T$12)</f>
        <v>0</v>
      </c>
      <c r="W85" s="1"/>
      <c r="X85" s="1">
        <f t="shared" ref="X85:X87" si="51">+P85-T85</f>
        <v>0</v>
      </c>
      <c r="Y85" s="1"/>
      <c r="Z85" s="5">
        <f t="shared" ref="Z85:Z87" si="52">IF(T85=0,0,X85/T85)</f>
        <v>0</v>
      </c>
    </row>
    <row r="86" spans="1:26" s="24" customFormat="1" hidden="1" outlineLevel="2" x14ac:dyDescent="0.25">
      <c r="A86" s="29"/>
      <c r="B86" s="11" t="str">
        <f>CONCATENATE("          ", "6254", " - ", "ROYALTY &amp; COMMISSIONS")</f>
        <v xml:space="preserve">          6254 - ROYALTY &amp; COMMISSIONS</v>
      </c>
      <c r="C86" s="11"/>
      <c r="D86" s="7"/>
      <c r="E86" s="2"/>
      <c r="F86" s="6">
        <f t="shared" si="45"/>
        <v>0</v>
      </c>
      <c r="G86" s="2"/>
      <c r="H86" s="7">
        <v>0</v>
      </c>
      <c r="I86" s="2"/>
      <c r="J86" s="6">
        <f t="shared" si="46"/>
        <v>0</v>
      </c>
      <c r="K86" s="2"/>
      <c r="L86" s="7">
        <f t="shared" si="47"/>
        <v>0</v>
      </c>
      <c r="M86" s="2"/>
      <c r="N86" s="6">
        <f t="shared" si="48"/>
        <v>0</v>
      </c>
      <c r="O86" s="11"/>
      <c r="P86" s="7"/>
      <c r="Q86" s="2"/>
      <c r="R86" s="6">
        <f t="shared" si="49"/>
        <v>0</v>
      </c>
      <c r="S86" s="2"/>
      <c r="T86" s="7">
        <v>0</v>
      </c>
      <c r="U86" s="2"/>
      <c r="V86" s="6">
        <f t="shared" si="50"/>
        <v>0</v>
      </c>
      <c r="W86" s="2"/>
      <c r="X86" s="7">
        <f t="shared" si="51"/>
        <v>0</v>
      </c>
      <c r="Y86" s="2"/>
      <c r="Z86" s="6">
        <f t="shared" si="52"/>
        <v>0</v>
      </c>
    </row>
    <row r="87" spans="1:26" s="24" customFormat="1" hidden="1" outlineLevel="2" x14ac:dyDescent="0.25">
      <c r="A87" s="29"/>
      <c r="B87" s="11" t="str">
        <f>CONCATENATE("          ", "6259", " - ", "ROYALTY &amp; COMMISSIONS")</f>
        <v xml:space="preserve">          6259 - ROYALTY &amp; COMMISSIONS</v>
      </c>
      <c r="C87" s="11"/>
      <c r="D87" s="7"/>
      <c r="E87" s="2"/>
      <c r="F87" s="6">
        <f t="shared" si="45"/>
        <v>0</v>
      </c>
      <c r="G87" s="2"/>
      <c r="H87" s="7">
        <v>0</v>
      </c>
      <c r="I87" s="2"/>
      <c r="J87" s="6">
        <f t="shared" si="46"/>
        <v>0</v>
      </c>
      <c r="K87" s="2"/>
      <c r="L87" s="7">
        <f t="shared" si="47"/>
        <v>0</v>
      </c>
      <c r="M87" s="2"/>
      <c r="N87" s="6">
        <f t="shared" si="48"/>
        <v>0</v>
      </c>
      <c r="O87" s="11"/>
      <c r="P87" s="7"/>
      <c r="Q87" s="2"/>
      <c r="R87" s="6">
        <f t="shared" si="49"/>
        <v>0</v>
      </c>
      <c r="S87" s="2"/>
      <c r="T87" s="7">
        <v>0</v>
      </c>
      <c r="U87" s="2"/>
      <c r="V87" s="6">
        <f t="shared" si="50"/>
        <v>0</v>
      </c>
      <c r="W87" s="2"/>
      <c r="X87" s="7">
        <f t="shared" si="51"/>
        <v>0</v>
      </c>
      <c r="Y87" s="2"/>
      <c r="Z87" s="6">
        <f t="shared" si="52"/>
        <v>0</v>
      </c>
    </row>
    <row r="88" spans="1:26" s="28" customFormat="1" outlineLevel="1" collapsed="1" x14ac:dyDescent="0.25">
      <c r="A88" s="27"/>
      <c r="B88" s="14" t="str">
        <f>CONCATENATE("     ","Services                                          ")</f>
        <v xml:space="preserve">     Services                                          </v>
      </c>
      <c r="C88" s="14"/>
      <c r="D88" s="1">
        <f>SUM(OSRRefD22_17x_0)</f>
        <v>23770.14</v>
      </c>
      <c r="E88" s="1"/>
      <c r="F88" s="5">
        <f t="shared" ref="F88:F93" si="53">IF(D$12=0,0,D88/D$12)</f>
        <v>0.15116249121695133</v>
      </c>
      <c r="G88" s="1"/>
      <c r="H88" s="1">
        <f>SUM(OSRRefH22_17x_0)</f>
        <v>28264</v>
      </c>
      <c r="I88" s="1"/>
      <c r="J88" s="5">
        <f t="shared" ref="J88:J93" si="54">IF(H$12=0,0,H88/H$12)</f>
        <v>9.2643641238613753E-2</v>
      </c>
      <c r="K88" s="1"/>
      <c r="L88" s="1">
        <f t="shared" ref="L88:L93" si="55">+D88-H88</f>
        <v>-4493.8600000000006</v>
      </c>
      <c r="M88" s="1"/>
      <c r="N88" s="5">
        <f t="shared" ref="N88:N93" si="56">IF(H88=0,0,L88/H88)</f>
        <v>-0.15899589583923013</v>
      </c>
      <c r="O88" s="14"/>
      <c r="P88" s="1">
        <f>SUM(OSRRefP22_17x_0)</f>
        <v>102215.25</v>
      </c>
      <c r="Q88" s="1"/>
      <c r="R88" s="5">
        <f t="shared" ref="R88:R93" si="57">IF(P$12=0,0,P88/P$12)</f>
        <v>0.12304507595431236</v>
      </c>
      <c r="S88" s="1"/>
      <c r="T88" s="1">
        <f>SUM(OSRRefT22_17x_0)</f>
        <v>156959</v>
      </c>
      <c r="U88" s="1"/>
      <c r="V88" s="5">
        <f t="shared" ref="V88:V93" si="58">IF(T$12=0,0,T88/T$12)</f>
        <v>8.1843385926664819E-2</v>
      </c>
      <c r="W88" s="1"/>
      <c r="X88" s="1">
        <f t="shared" ref="X88:X93" si="59">+P88-T88</f>
        <v>-54743.75</v>
      </c>
      <c r="Y88" s="1"/>
      <c r="Z88" s="5">
        <f t="shared" ref="Z88:Z93" si="60">IF(T88=0,0,X88/T88)</f>
        <v>-0.34877738772545697</v>
      </c>
    </row>
    <row r="89" spans="1:26" s="24" customFormat="1" hidden="1" outlineLevel="2" x14ac:dyDescent="0.25">
      <c r="A89" s="29"/>
      <c r="B89" s="11" t="str">
        <f>CONCATENATE("          ", "6282", " - ", "JANITORIAL/EXTERMINATOR EXPENS")</f>
        <v xml:space="preserve">          6282 - JANITORIAL/EXTERMINATOR EXPENS</v>
      </c>
      <c r="C89" s="11"/>
      <c r="D89" s="7">
        <v>4501.1899999999996</v>
      </c>
      <c r="E89" s="2"/>
      <c r="F89" s="6">
        <f t="shared" si="53"/>
        <v>2.8624614488632762E-2</v>
      </c>
      <c r="G89" s="2"/>
      <c r="H89" s="7">
        <v>3332</v>
      </c>
      <c r="I89" s="2"/>
      <c r="J89" s="6">
        <f t="shared" si="54"/>
        <v>1.0921618051481072E-2</v>
      </c>
      <c r="K89" s="2"/>
      <c r="L89" s="7">
        <f t="shared" si="55"/>
        <v>1169.1899999999996</v>
      </c>
      <c r="M89" s="2"/>
      <c r="N89" s="6">
        <f t="shared" si="56"/>
        <v>0.35089735894357732</v>
      </c>
      <c r="O89" s="11"/>
      <c r="P89" s="7">
        <v>10142.549999999999</v>
      </c>
      <c r="Q89" s="2"/>
      <c r="R89" s="6">
        <f t="shared" si="57"/>
        <v>1.2209438759093293E-2</v>
      </c>
      <c r="S89" s="2"/>
      <c r="T89" s="7">
        <v>16857</v>
      </c>
      <c r="U89" s="2"/>
      <c r="V89" s="6">
        <f t="shared" si="58"/>
        <v>8.7897728487425948E-3</v>
      </c>
      <c r="W89" s="2"/>
      <c r="X89" s="7">
        <f t="shared" si="59"/>
        <v>-6714.4500000000007</v>
      </c>
      <c r="Y89" s="2"/>
      <c r="Z89" s="6">
        <f t="shared" si="60"/>
        <v>-0.39831820608649232</v>
      </c>
    </row>
    <row r="90" spans="1:26" s="24" customFormat="1" hidden="1" outlineLevel="2" x14ac:dyDescent="0.25">
      <c r="A90" s="29"/>
      <c r="B90" s="11" t="str">
        <f>CONCATENATE("          ", "6283", " - ", "PLANT SERVICE")</f>
        <v xml:space="preserve">          6283 - PLANT SERVICE</v>
      </c>
      <c r="C90" s="11"/>
      <c r="D90" s="7"/>
      <c r="E90" s="2"/>
      <c r="F90" s="6">
        <f t="shared" si="53"/>
        <v>0</v>
      </c>
      <c r="G90" s="2"/>
      <c r="H90" s="7">
        <v>0</v>
      </c>
      <c r="I90" s="2"/>
      <c r="J90" s="6">
        <f t="shared" si="54"/>
        <v>0</v>
      </c>
      <c r="K90" s="2"/>
      <c r="L90" s="7">
        <f t="shared" si="55"/>
        <v>0</v>
      </c>
      <c r="M90" s="2"/>
      <c r="N90" s="6">
        <f t="shared" si="56"/>
        <v>0</v>
      </c>
      <c r="O90" s="11"/>
      <c r="P90" s="7"/>
      <c r="Q90" s="2"/>
      <c r="R90" s="6">
        <f t="shared" si="57"/>
        <v>0</v>
      </c>
      <c r="S90" s="2"/>
      <c r="T90" s="7">
        <v>248</v>
      </c>
      <c r="U90" s="2"/>
      <c r="V90" s="6">
        <f t="shared" si="58"/>
        <v>1.2931504220728264E-4</v>
      </c>
      <c r="W90" s="2"/>
      <c r="X90" s="7">
        <f t="shared" si="59"/>
        <v>-248</v>
      </c>
      <c r="Y90" s="2"/>
      <c r="Z90" s="6">
        <f t="shared" si="60"/>
        <v>-1</v>
      </c>
    </row>
    <row r="91" spans="1:26" s="24" customFormat="1" hidden="1" outlineLevel="2" x14ac:dyDescent="0.25">
      <c r="A91" s="29"/>
      <c r="B91" s="11" t="str">
        <f>CONCATENATE("          ", "6284", " - ", "TRASH REMOVAL EXPENSE")</f>
        <v xml:space="preserve">          6284 - TRASH REMOVAL EXPENSE</v>
      </c>
      <c r="C91" s="11"/>
      <c r="D91" s="7">
        <v>5651.75</v>
      </c>
      <c r="E91" s="2"/>
      <c r="F91" s="6">
        <f t="shared" si="53"/>
        <v>3.5941421032244854E-2</v>
      </c>
      <c r="G91" s="2"/>
      <c r="H91" s="7">
        <v>5066</v>
      </c>
      <c r="I91" s="2"/>
      <c r="J91" s="6">
        <f t="shared" si="54"/>
        <v>1.6605317241537548E-2</v>
      </c>
      <c r="K91" s="2"/>
      <c r="L91" s="7">
        <f t="shared" si="55"/>
        <v>585.75</v>
      </c>
      <c r="M91" s="2"/>
      <c r="N91" s="6">
        <f t="shared" si="56"/>
        <v>0.11562376628503751</v>
      </c>
      <c r="O91" s="11"/>
      <c r="P91" s="7">
        <v>19150.75</v>
      </c>
      <c r="Q91" s="2"/>
      <c r="R91" s="6">
        <f t="shared" si="57"/>
        <v>2.3053365210494985E-2</v>
      </c>
      <c r="S91" s="2"/>
      <c r="T91" s="7">
        <v>20358</v>
      </c>
      <c r="U91" s="2"/>
      <c r="V91" s="6">
        <f t="shared" si="58"/>
        <v>1.0615304956676855E-2</v>
      </c>
      <c r="W91" s="2"/>
      <c r="X91" s="7">
        <f t="shared" si="59"/>
        <v>-1207.25</v>
      </c>
      <c r="Y91" s="2"/>
      <c r="Z91" s="6">
        <f t="shared" si="60"/>
        <v>-5.9301011887218785E-2</v>
      </c>
    </row>
    <row r="92" spans="1:26" s="24" customFormat="1" hidden="1" outlineLevel="2" x14ac:dyDescent="0.25">
      <c r="A92" s="29"/>
      <c r="B92" s="11" t="str">
        <f>CONCATENATE("          ", "6285", " - ", "JANITORIAL SERVICES")</f>
        <v xml:space="preserve">          6285 - JANITORIAL SERVICES</v>
      </c>
      <c r="C92" s="11"/>
      <c r="D92" s="7">
        <v>11530.59</v>
      </c>
      <c r="E92" s="2"/>
      <c r="F92" s="6">
        <f t="shared" si="53"/>
        <v>7.3326985436403272E-2</v>
      </c>
      <c r="G92" s="2"/>
      <c r="H92" s="7">
        <v>15366</v>
      </c>
      <c r="I92" s="2"/>
      <c r="J92" s="6">
        <f t="shared" si="54"/>
        <v>5.0366621542334379E-2</v>
      </c>
      <c r="K92" s="2"/>
      <c r="L92" s="7">
        <f t="shared" si="55"/>
        <v>-3835.41</v>
      </c>
      <c r="M92" s="2"/>
      <c r="N92" s="6">
        <f t="shared" si="56"/>
        <v>-0.24960367044123388</v>
      </c>
      <c r="O92" s="11"/>
      <c r="P92" s="7">
        <v>62072.79</v>
      </c>
      <c r="Q92" s="2"/>
      <c r="R92" s="6">
        <f t="shared" si="57"/>
        <v>7.4722227458682344E-2</v>
      </c>
      <c r="S92" s="2"/>
      <c r="T92" s="7">
        <v>92496</v>
      </c>
      <c r="U92" s="2"/>
      <c r="V92" s="6">
        <f t="shared" si="58"/>
        <v>4.8230339290341998E-2</v>
      </c>
      <c r="W92" s="2"/>
      <c r="X92" s="7">
        <f t="shared" si="59"/>
        <v>-30423.21</v>
      </c>
      <c r="Y92" s="2"/>
      <c r="Z92" s="6">
        <f t="shared" si="60"/>
        <v>-0.32891379086663208</v>
      </c>
    </row>
    <row r="93" spans="1:26" s="24" customFormat="1" hidden="1" outlineLevel="2" x14ac:dyDescent="0.25">
      <c r="A93" s="29"/>
      <c r="B93" s="11" t="str">
        <f>CONCATENATE("          ", "6286", " - ", "LAUNDRY EXPENSE")</f>
        <v xml:space="preserve">          6286 - LAUNDRY EXPENSE</v>
      </c>
      <c r="C93" s="11"/>
      <c r="D93" s="7">
        <v>2086.61</v>
      </c>
      <c r="E93" s="2"/>
      <c r="F93" s="6">
        <f t="shared" si="53"/>
        <v>1.3269470259670447E-2</v>
      </c>
      <c r="G93" s="2"/>
      <c r="H93" s="7">
        <v>4500</v>
      </c>
      <c r="I93" s="2"/>
      <c r="J93" s="6">
        <f t="shared" si="54"/>
        <v>1.4750084403260751E-2</v>
      </c>
      <c r="K93" s="2"/>
      <c r="L93" s="7">
        <f t="shared" si="55"/>
        <v>-2413.39</v>
      </c>
      <c r="M93" s="2"/>
      <c r="N93" s="6">
        <f t="shared" si="56"/>
        <v>-0.53630888888888884</v>
      </c>
      <c r="O93" s="11"/>
      <c r="P93" s="7">
        <v>10849.16</v>
      </c>
      <c r="Q93" s="2"/>
      <c r="R93" s="6">
        <f t="shared" si="57"/>
        <v>1.3060044526041734E-2</v>
      </c>
      <c r="S93" s="2"/>
      <c r="T93" s="7">
        <v>27000</v>
      </c>
      <c r="U93" s="2"/>
      <c r="V93" s="6">
        <f t="shared" si="58"/>
        <v>1.4078653788696095E-2</v>
      </c>
      <c r="W93" s="2"/>
      <c r="X93" s="7">
        <f t="shared" si="59"/>
        <v>-16150.84</v>
      </c>
      <c r="Y93" s="2"/>
      <c r="Z93" s="6">
        <f t="shared" si="60"/>
        <v>-0.5981792592592593</v>
      </c>
    </row>
    <row r="94" spans="1:26" s="28" customFormat="1" outlineLevel="1" collapsed="1" x14ac:dyDescent="0.25">
      <c r="A94" s="27"/>
      <c r="B94" s="14" t="str">
        <f>CONCATENATE("     ","Subscriptions &amp; Dues                              ")</f>
        <v xml:space="preserve">     Subscriptions &amp; Dues                              </v>
      </c>
      <c r="C94" s="14"/>
      <c r="D94" s="1">
        <f>SUM(OSRRefD22_18x_0)</f>
        <v>262.83999999999997</v>
      </c>
      <c r="E94" s="1"/>
      <c r="F94" s="5">
        <f t="shared" ref="F94:F96" si="61">IF(D$12=0,0,D94/D$12)</f>
        <v>1.6714899109329389E-3</v>
      </c>
      <c r="G94" s="1"/>
      <c r="H94" s="1">
        <f>SUM(OSRRefH22_18x_0)</f>
        <v>1097</v>
      </c>
      <c r="I94" s="1"/>
      <c r="J94" s="5">
        <f t="shared" ref="J94:J96" si="62">IF(H$12=0,0,H94/H$12)</f>
        <v>3.5957427978615657E-3</v>
      </c>
      <c r="K94" s="1"/>
      <c r="L94" s="1">
        <f t="shared" ref="L94:L96" si="63">+D94-H94</f>
        <v>-834.16000000000008</v>
      </c>
      <c r="M94" s="1"/>
      <c r="N94" s="5">
        <f t="shared" ref="N94:N96" si="64">IF(H94=0,0,L94/H94)</f>
        <v>-0.76040109389243393</v>
      </c>
      <c r="O94" s="14"/>
      <c r="P94" s="1">
        <f>SUM(OSRRefP22_18x_0)</f>
        <v>1329.17</v>
      </c>
      <c r="Q94" s="1"/>
      <c r="R94" s="5">
        <f t="shared" ref="R94:R96" si="65">IF(P$12=0,0,P94/P$12)</f>
        <v>1.6000334940842328E-3</v>
      </c>
      <c r="S94" s="1"/>
      <c r="T94" s="1">
        <f>SUM(OSRRefT22_18x_0)</f>
        <v>2082</v>
      </c>
      <c r="U94" s="1"/>
      <c r="V94" s="5">
        <f t="shared" ref="V94:V96" si="66">IF(T$12=0,0,T94/T$12)</f>
        <v>1.08562063659501E-3</v>
      </c>
      <c r="W94" s="1"/>
      <c r="X94" s="1">
        <f t="shared" ref="X94:X96" si="67">+P94-T94</f>
        <v>-752.82999999999993</v>
      </c>
      <c r="Y94" s="1"/>
      <c r="Z94" s="5">
        <f t="shared" ref="Z94:Z96" si="68">IF(T94=0,0,X94/T94)</f>
        <v>-0.36158981748318919</v>
      </c>
    </row>
    <row r="95" spans="1:26" s="24" customFormat="1" hidden="1" outlineLevel="2" x14ac:dyDescent="0.25">
      <c r="A95" s="29"/>
      <c r="B95" s="11" t="str">
        <f>CONCATENATE("          ", "6258", " - ", "MEMBERSHIP DUES")</f>
        <v xml:space="preserve">          6258 - MEMBERSHIP DUES</v>
      </c>
      <c r="C95" s="11"/>
      <c r="D95" s="7"/>
      <c r="E95" s="2"/>
      <c r="F95" s="6">
        <f t="shared" si="61"/>
        <v>0</v>
      </c>
      <c r="G95" s="2"/>
      <c r="H95" s="7">
        <v>900</v>
      </c>
      <c r="I95" s="2"/>
      <c r="J95" s="6">
        <f t="shared" si="62"/>
        <v>2.9500168806521503E-3</v>
      </c>
      <c r="K95" s="2"/>
      <c r="L95" s="7">
        <f t="shared" si="63"/>
        <v>-900</v>
      </c>
      <c r="M95" s="2"/>
      <c r="N95" s="6">
        <f t="shared" si="64"/>
        <v>-1</v>
      </c>
      <c r="O95" s="11"/>
      <c r="P95" s="7">
        <v>795</v>
      </c>
      <c r="Q95" s="2"/>
      <c r="R95" s="6">
        <f t="shared" si="65"/>
        <v>9.5700822904291015E-4</v>
      </c>
      <c r="S95" s="2"/>
      <c r="T95" s="7">
        <v>900</v>
      </c>
      <c r="U95" s="2"/>
      <c r="V95" s="6">
        <f t="shared" si="66"/>
        <v>4.6928845962320316E-4</v>
      </c>
      <c r="W95" s="2"/>
      <c r="X95" s="7">
        <f t="shared" si="67"/>
        <v>-105</v>
      </c>
      <c r="Y95" s="2"/>
      <c r="Z95" s="6">
        <f t="shared" si="68"/>
        <v>-0.11666666666666667</v>
      </c>
    </row>
    <row r="96" spans="1:26" s="24" customFormat="1" hidden="1" outlineLevel="2" x14ac:dyDescent="0.25">
      <c r="A96" s="29"/>
      <c r="B96" s="11" t="str">
        <f>CONCATENATE("          ", "6275", " - ", "SUBSCRIPTIONS")</f>
        <v xml:space="preserve">          6275 - SUBSCRIPTIONS</v>
      </c>
      <c r="C96" s="11"/>
      <c r="D96" s="7">
        <v>262.83999999999997</v>
      </c>
      <c r="E96" s="2"/>
      <c r="F96" s="6">
        <f t="shared" si="61"/>
        <v>1.6714899109329389E-3</v>
      </c>
      <c r="G96" s="2"/>
      <c r="H96" s="7">
        <v>197</v>
      </c>
      <c r="I96" s="2"/>
      <c r="J96" s="6">
        <f t="shared" si="62"/>
        <v>6.4572591720941518E-4</v>
      </c>
      <c r="K96" s="2"/>
      <c r="L96" s="7">
        <f t="shared" si="63"/>
        <v>65.839999999999975</v>
      </c>
      <c r="M96" s="2"/>
      <c r="N96" s="6">
        <f t="shared" si="64"/>
        <v>0.33421319796954302</v>
      </c>
      <c r="O96" s="11"/>
      <c r="P96" s="7">
        <v>534.16999999999996</v>
      </c>
      <c r="Q96" s="2"/>
      <c r="R96" s="6">
        <f t="shared" si="65"/>
        <v>6.4302526504132242E-4</v>
      </c>
      <c r="S96" s="2"/>
      <c r="T96" s="7">
        <v>1182</v>
      </c>
      <c r="U96" s="2"/>
      <c r="V96" s="6">
        <f t="shared" si="66"/>
        <v>6.1633217697180682E-4</v>
      </c>
      <c r="W96" s="2"/>
      <c r="X96" s="7">
        <f t="shared" si="67"/>
        <v>-647.83000000000004</v>
      </c>
      <c r="Y96" s="2"/>
      <c r="Z96" s="6">
        <f t="shared" si="68"/>
        <v>-0.54807952622673439</v>
      </c>
    </row>
    <row r="97" spans="1:26" s="28" customFormat="1" outlineLevel="1" collapsed="1" x14ac:dyDescent="0.25">
      <c r="A97" s="27"/>
      <c r="B97" s="14" t="str">
        <f>CONCATENATE("     ","Supplies                                          ")</f>
        <v xml:space="preserve">     Supplies                                          </v>
      </c>
      <c r="C97" s="14"/>
      <c r="D97" s="1">
        <f>SUM(OSRRefD22_19x_0)</f>
        <v>13761.939999999999</v>
      </c>
      <c r="E97" s="1"/>
      <c r="F97" s="5">
        <f t="shared" ref="F97:F108" si="69">IF(D$12=0,0,D97/D$12)</f>
        <v>8.7516907110274114E-2</v>
      </c>
      <c r="G97" s="1"/>
      <c r="H97" s="1">
        <f>SUM(OSRRefH22_19x_0)</f>
        <v>28180</v>
      </c>
      <c r="I97" s="1"/>
      <c r="J97" s="5">
        <f t="shared" ref="J97:J108" si="70">IF(H$12=0,0,H97/H$12)</f>
        <v>9.2368306329752889E-2</v>
      </c>
      <c r="K97" s="1"/>
      <c r="L97" s="1">
        <f t="shared" ref="L97:L108" si="71">+D97-H97</f>
        <v>-14418.060000000001</v>
      </c>
      <c r="M97" s="1"/>
      <c r="N97" s="5">
        <f t="shared" ref="N97:N108" si="72">IF(H97=0,0,L97/H97)</f>
        <v>-0.51164158977998586</v>
      </c>
      <c r="O97" s="14"/>
      <c r="P97" s="1">
        <f>SUM(OSRRefP22_19x_0)</f>
        <v>68194.460000000006</v>
      </c>
      <c r="Q97" s="1"/>
      <c r="R97" s="5">
        <f t="shared" ref="R97:R108" si="73">IF(P$12=0,0,P97/P$12)</f>
        <v>8.2091395465581862E-2</v>
      </c>
      <c r="S97" s="1"/>
      <c r="T97" s="1">
        <f>SUM(OSRRefT22_19x_0)</f>
        <v>163670</v>
      </c>
      <c r="U97" s="1"/>
      <c r="V97" s="5">
        <f t="shared" ref="V97:V108" si="74">IF(T$12=0,0,T97/T$12)</f>
        <v>8.5342713540588505E-2</v>
      </c>
      <c r="W97" s="1"/>
      <c r="X97" s="1">
        <f t="shared" ref="X97:X108" si="75">+P97-T97</f>
        <v>-95475.54</v>
      </c>
      <c r="Y97" s="1"/>
      <c r="Z97" s="5">
        <f t="shared" ref="Z97:Z108" si="76">IF(T97=0,0,X97/T97)</f>
        <v>-0.58334172420113639</v>
      </c>
    </row>
    <row r="98" spans="1:26" s="24" customFormat="1" hidden="1" outlineLevel="2" x14ac:dyDescent="0.25">
      <c r="A98" s="29"/>
      <c r="B98" s="11" t="str">
        <f>CONCATENATE("          ", "6234", " - ", "EXPENDABLE SUPPLIES &amp; EQUIPMEN")</f>
        <v xml:space="preserve">          6234 - EXPENDABLE SUPPLIES &amp; EQUIPMEN</v>
      </c>
      <c r="C98" s="11"/>
      <c r="D98" s="7"/>
      <c r="E98" s="2"/>
      <c r="F98" s="6">
        <f t="shared" si="69"/>
        <v>0</v>
      </c>
      <c r="G98" s="2"/>
      <c r="H98" s="7">
        <v>100</v>
      </c>
      <c r="I98" s="2"/>
      <c r="J98" s="6">
        <f t="shared" si="70"/>
        <v>3.2777965340579447E-4</v>
      </c>
      <c r="K98" s="2"/>
      <c r="L98" s="7">
        <f t="shared" si="71"/>
        <v>-100</v>
      </c>
      <c r="M98" s="2"/>
      <c r="N98" s="6">
        <f t="shared" si="72"/>
        <v>-1</v>
      </c>
      <c r="O98" s="11"/>
      <c r="P98" s="7">
        <v>310.91000000000003</v>
      </c>
      <c r="Q98" s="2"/>
      <c r="R98" s="6">
        <f t="shared" si="73"/>
        <v>3.7426846351161161E-4</v>
      </c>
      <c r="S98" s="2"/>
      <c r="T98" s="7">
        <v>668</v>
      </c>
      <c r="U98" s="2"/>
      <c r="V98" s="6">
        <f t="shared" si="74"/>
        <v>3.4831632336477744E-4</v>
      </c>
      <c r="W98" s="2"/>
      <c r="X98" s="7">
        <f t="shared" si="75"/>
        <v>-357.09</v>
      </c>
      <c r="Y98" s="2"/>
      <c r="Z98" s="6">
        <f t="shared" si="76"/>
        <v>-0.53456586826347297</v>
      </c>
    </row>
    <row r="99" spans="1:26" s="24" customFormat="1" hidden="1" outlineLevel="2" x14ac:dyDescent="0.25">
      <c r="A99" s="29"/>
      <c r="B99" s="11" t="str">
        <f>CONCATENATE("          ", "6235", " - ", "COVID-19 EXPENSES")</f>
        <v xml:space="preserve">          6235 - COVID-19 EXPENSES</v>
      </c>
      <c r="C99" s="11"/>
      <c r="D99" s="7">
        <v>4714.9799999999996</v>
      </c>
      <c r="E99" s="2"/>
      <c r="F99" s="6">
        <f t="shared" si="69"/>
        <v>2.998417858868737E-2</v>
      </c>
      <c r="G99" s="2"/>
      <c r="H99" s="7">
        <v>12200</v>
      </c>
      <c r="I99" s="2"/>
      <c r="J99" s="6">
        <f t="shared" si="70"/>
        <v>3.9989117715506929E-2</v>
      </c>
      <c r="K99" s="2"/>
      <c r="L99" s="7">
        <f t="shared" si="71"/>
        <v>-7485.02</v>
      </c>
      <c r="M99" s="2"/>
      <c r="N99" s="6">
        <f t="shared" si="72"/>
        <v>-0.6135262295081968</v>
      </c>
      <c r="O99" s="11"/>
      <c r="P99" s="7">
        <v>54609.009999999995</v>
      </c>
      <c r="Q99" s="2"/>
      <c r="R99" s="6">
        <f t="shared" si="73"/>
        <v>6.573744899356801E-2</v>
      </c>
      <c r="S99" s="2"/>
      <c r="T99" s="7">
        <v>66200</v>
      </c>
      <c r="U99" s="2"/>
      <c r="V99" s="6">
        <f t="shared" si="74"/>
        <v>3.4518773363395608E-2</v>
      </c>
      <c r="W99" s="2"/>
      <c r="X99" s="7">
        <f t="shared" si="75"/>
        <v>-11590.990000000005</v>
      </c>
      <c r="Y99" s="2"/>
      <c r="Z99" s="6">
        <f t="shared" si="76"/>
        <v>-0.17509048338368588</v>
      </c>
    </row>
    <row r="100" spans="1:26" s="24" customFormat="1" hidden="1" outlineLevel="2" x14ac:dyDescent="0.25">
      <c r="A100" s="29"/>
      <c r="B100" s="11" t="str">
        <f>CONCATENATE("          ", "6237", " - ", "JANITORIAL SUPPLIES")</f>
        <v xml:space="preserve">          6237 - JANITORIAL SUPPLIES</v>
      </c>
      <c r="C100" s="11"/>
      <c r="D100" s="7">
        <v>4801.05</v>
      </c>
      <c r="E100" s="2"/>
      <c r="F100" s="6">
        <f t="shared" si="69"/>
        <v>3.0531527305146047E-2</v>
      </c>
      <c r="G100" s="2"/>
      <c r="H100" s="7">
        <v>11011</v>
      </c>
      <c r="I100" s="2"/>
      <c r="J100" s="6">
        <f t="shared" si="70"/>
        <v>3.6091817636512029E-2</v>
      </c>
      <c r="K100" s="2"/>
      <c r="L100" s="7">
        <f t="shared" si="71"/>
        <v>-6209.95</v>
      </c>
      <c r="M100" s="2"/>
      <c r="N100" s="6">
        <f t="shared" si="72"/>
        <v>-0.56397693215875033</v>
      </c>
      <c r="O100" s="11"/>
      <c r="P100" s="7">
        <v>13423.36</v>
      </c>
      <c r="Q100" s="2"/>
      <c r="R100" s="6">
        <f t="shared" si="73"/>
        <v>1.615882513384332E-2</v>
      </c>
      <c r="S100" s="2"/>
      <c r="T100" s="7">
        <v>55709</v>
      </c>
      <c r="U100" s="2"/>
      <c r="V100" s="6">
        <f t="shared" si="74"/>
        <v>2.904843421905447E-2</v>
      </c>
      <c r="W100" s="2"/>
      <c r="X100" s="7">
        <f t="shared" si="75"/>
        <v>-42285.64</v>
      </c>
      <c r="Y100" s="2"/>
      <c r="Z100" s="6">
        <f t="shared" si="76"/>
        <v>-0.75904503760613184</v>
      </c>
    </row>
    <row r="101" spans="1:26" s="24" customFormat="1" hidden="1" outlineLevel="2" x14ac:dyDescent="0.25">
      <c r="A101" s="29"/>
      <c r="B101" s="11" t="str">
        <f>CONCATENATE("          ", "6239", " - ", "KITCHEN SUPPLIES")</f>
        <v xml:space="preserve">          6239 - KITCHEN SUPPLIES</v>
      </c>
      <c r="C101" s="11"/>
      <c r="D101" s="7">
        <v>148.04</v>
      </c>
      <c r="E101" s="2"/>
      <c r="F101" s="6">
        <f t="shared" si="69"/>
        <v>9.4143724857142098E-4</v>
      </c>
      <c r="G101" s="2"/>
      <c r="H101" s="7">
        <v>2300</v>
      </c>
      <c r="I101" s="2"/>
      <c r="J101" s="6">
        <f t="shared" si="70"/>
        <v>7.5389320283332732E-3</v>
      </c>
      <c r="K101" s="2"/>
      <c r="L101" s="7">
        <f t="shared" si="71"/>
        <v>-2151.96</v>
      </c>
      <c r="M101" s="2"/>
      <c r="N101" s="6">
        <f t="shared" si="72"/>
        <v>-0.9356347826086957</v>
      </c>
      <c r="O101" s="11"/>
      <c r="P101" s="7">
        <v>5834.38</v>
      </c>
      <c r="Q101" s="2"/>
      <c r="R101" s="6">
        <f t="shared" si="73"/>
        <v>7.0233329199539301E-3</v>
      </c>
      <c r="S101" s="2"/>
      <c r="T101" s="7">
        <v>13232</v>
      </c>
      <c r="U101" s="2"/>
      <c r="V101" s="6">
        <f t="shared" si="74"/>
        <v>6.8995832197046936E-3</v>
      </c>
      <c r="W101" s="2"/>
      <c r="X101" s="7">
        <f t="shared" si="75"/>
        <v>-7397.62</v>
      </c>
      <c r="Y101" s="2"/>
      <c r="Z101" s="6">
        <f t="shared" si="76"/>
        <v>-0.55907043530834344</v>
      </c>
    </row>
    <row r="102" spans="1:26" s="24" customFormat="1" hidden="1" outlineLevel="2" x14ac:dyDescent="0.25">
      <c r="A102" s="29"/>
      <c r="B102" s="11" t="str">
        <f>CONCATENATE("          ", "6241", " - ", "OFFICE EXPENSE")</f>
        <v xml:space="preserve">          6241 - OFFICE EXPENSE</v>
      </c>
      <c r="C102" s="11"/>
      <c r="D102" s="7">
        <v>731.4</v>
      </c>
      <c r="E102" s="2"/>
      <c r="F102" s="6">
        <f t="shared" si="69"/>
        <v>4.6512240178677201E-3</v>
      </c>
      <c r="G102" s="2"/>
      <c r="H102" s="7">
        <v>1025</v>
      </c>
      <c r="I102" s="2"/>
      <c r="J102" s="6">
        <f t="shared" si="70"/>
        <v>3.3597414474093937E-3</v>
      </c>
      <c r="K102" s="2"/>
      <c r="L102" s="7">
        <f t="shared" si="71"/>
        <v>-293.60000000000002</v>
      </c>
      <c r="M102" s="2"/>
      <c r="N102" s="6">
        <f t="shared" si="72"/>
        <v>-0.28643902439024393</v>
      </c>
      <c r="O102" s="11"/>
      <c r="P102" s="7">
        <v>-25829.95</v>
      </c>
      <c r="Q102" s="2"/>
      <c r="R102" s="6">
        <f t="shared" si="73"/>
        <v>-3.1093678875178513E-2</v>
      </c>
      <c r="S102" s="2"/>
      <c r="T102" s="7">
        <v>11162</v>
      </c>
      <c r="U102" s="2"/>
      <c r="V102" s="6">
        <f t="shared" si="74"/>
        <v>5.8202197625713261E-3</v>
      </c>
      <c r="W102" s="2"/>
      <c r="X102" s="7">
        <f t="shared" si="75"/>
        <v>-36991.949999999997</v>
      </c>
      <c r="Y102" s="2"/>
      <c r="Z102" s="6">
        <f t="shared" si="76"/>
        <v>-3.3140969360329686</v>
      </c>
    </row>
    <row r="103" spans="1:26" s="24" customFormat="1" hidden="1" outlineLevel="2" x14ac:dyDescent="0.25">
      <c r="A103" s="29"/>
      <c r="B103" s="11" t="str">
        <f>CONCATENATE("          ", "6243", " - ", "PAPER SUPPLIES")</f>
        <v xml:space="preserve">          6243 - PAPER SUPPLIES</v>
      </c>
      <c r="C103" s="11"/>
      <c r="D103" s="7">
        <v>3366.47</v>
      </c>
      <c r="E103" s="2"/>
      <c r="F103" s="6">
        <f t="shared" si="69"/>
        <v>2.1408539950001564E-2</v>
      </c>
      <c r="G103" s="2"/>
      <c r="H103" s="7">
        <v>756</v>
      </c>
      <c r="I103" s="2"/>
      <c r="J103" s="6">
        <f t="shared" si="70"/>
        <v>2.4780141797478062E-3</v>
      </c>
      <c r="K103" s="2"/>
      <c r="L103" s="7">
        <f t="shared" si="71"/>
        <v>2610.4699999999998</v>
      </c>
      <c r="M103" s="2"/>
      <c r="N103" s="6">
        <f t="shared" si="72"/>
        <v>3.4530026455026452</v>
      </c>
      <c r="O103" s="11"/>
      <c r="P103" s="7">
        <v>15346.16</v>
      </c>
      <c r="Q103" s="2"/>
      <c r="R103" s="6">
        <f t="shared" si="73"/>
        <v>1.8473460885797668E-2</v>
      </c>
      <c r="S103" s="2"/>
      <c r="T103" s="7">
        <v>6148</v>
      </c>
      <c r="U103" s="2"/>
      <c r="V103" s="6">
        <f t="shared" si="74"/>
        <v>3.2057616108482809E-3</v>
      </c>
      <c r="W103" s="2"/>
      <c r="X103" s="7">
        <f t="shared" si="75"/>
        <v>9198.16</v>
      </c>
      <c r="Y103" s="2"/>
      <c r="Z103" s="6">
        <f t="shared" si="76"/>
        <v>1.4961223162003903</v>
      </c>
    </row>
    <row r="104" spans="1:26" s="24" customFormat="1" hidden="1" outlineLevel="2" x14ac:dyDescent="0.25">
      <c r="A104" s="29"/>
      <c r="B104" s="11" t="str">
        <f>CONCATENATE("          ", "6244", " - ", "SAFETY SUPPLY EXPENSE")</f>
        <v xml:space="preserve">          6244 - SAFETY SUPPLY EXPENSE</v>
      </c>
      <c r="C104" s="11"/>
      <c r="D104" s="7"/>
      <c r="E104" s="2"/>
      <c r="F104" s="6">
        <f t="shared" si="69"/>
        <v>0</v>
      </c>
      <c r="G104" s="2"/>
      <c r="H104" s="7">
        <v>120</v>
      </c>
      <c r="I104" s="2"/>
      <c r="J104" s="6">
        <f t="shared" si="70"/>
        <v>3.9333558408695336E-4</v>
      </c>
      <c r="K104" s="2"/>
      <c r="L104" s="7">
        <f t="shared" si="71"/>
        <v>-120</v>
      </c>
      <c r="M104" s="2"/>
      <c r="N104" s="6">
        <f t="shared" si="72"/>
        <v>-1</v>
      </c>
      <c r="O104" s="11"/>
      <c r="P104" s="7"/>
      <c r="Q104" s="2"/>
      <c r="R104" s="6">
        <f t="shared" si="73"/>
        <v>0</v>
      </c>
      <c r="S104" s="2"/>
      <c r="T104" s="7">
        <v>800</v>
      </c>
      <c r="U104" s="2"/>
      <c r="V104" s="6">
        <f t="shared" si="74"/>
        <v>4.1714529744284721E-4</v>
      </c>
      <c r="W104" s="2"/>
      <c r="X104" s="7">
        <f t="shared" si="75"/>
        <v>-800</v>
      </c>
      <c r="Y104" s="2"/>
      <c r="Z104" s="6">
        <f t="shared" si="76"/>
        <v>-1</v>
      </c>
    </row>
    <row r="105" spans="1:26" s="24" customFormat="1" hidden="1" outlineLevel="2" x14ac:dyDescent="0.25">
      <c r="A105" s="29"/>
      <c r="B105" s="11" t="str">
        <f>CONCATENATE("          ", "6245", " - ", "PRINTING")</f>
        <v xml:space="preserve">          6245 - PRINTING</v>
      </c>
      <c r="C105" s="11"/>
      <c r="D105" s="7"/>
      <c r="E105" s="2"/>
      <c r="F105" s="6">
        <f t="shared" si="69"/>
        <v>0</v>
      </c>
      <c r="G105" s="2"/>
      <c r="H105" s="7">
        <v>150</v>
      </c>
      <c r="I105" s="2"/>
      <c r="J105" s="6">
        <f t="shared" si="70"/>
        <v>4.9166948010869176E-4</v>
      </c>
      <c r="K105" s="2"/>
      <c r="L105" s="7">
        <f t="shared" si="71"/>
        <v>-150</v>
      </c>
      <c r="M105" s="2"/>
      <c r="N105" s="6">
        <f t="shared" si="72"/>
        <v>-1</v>
      </c>
      <c r="O105" s="11"/>
      <c r="P105" s="7"/>
      <c r="Q105" s="2"/>
      <c r="R105" s="6">
        <f t="shared" si="73"/>
        <v>0</v>
      </c>
      <c r="S105" s="2"/>
      <c r="T105" s="7">
        <v>1900</v>
      </c>
      <c r="U105" s="2"/>
      <c r="V105" s="6">
        <f t="shared" si="74"/>
        <v>9.9072008142676209E-4</v>
      </c>
      <c r="W105" s="2"/>
      <c r="X105" s="7">
        <f t="shared" si="75"/>
        <v>-1900</v>
      </c>
      <c r="Y105" s="2"/>
      <c r="Z105" s="6">
        <f t="shared" si="76"/>
        <v>-1</v>
      </c>
    </row>
    <row r="106" spans="1:26" s="24" customFormat="1" hidden="1" outlineLevel="2" x14ac:dyDescent="0.25">
      <c r="A106" s="29"/>
      <c r="B106" s="11" t="str">
        <f>CONCATENATE("          ", "6246", " - ", "REPLACEMENTS")</f>
        <v xml:space="preserve">          6246 - REPLACEMENTS</v>
      </c>
      <c r="C106" s="11"/>
      <c r="D106" s="7"/>
      <c r="E106" s="2"/>
      <c r="F106" s="6">
        <f t="shared" si="69"/>
        <v>0</v>
      </c>
      <c r="G106" s="2"/>
      <c r="H106" s="7">
        <v>0</v>
      </c>
      <c r="I106" s="2"/>
      <c r="J106" s="6">
        <f t="shared" si="70"/>
        <v>0</v>
      </c>
      <c r="K106" s="2"/>
      <c r="L106" s="7">
        <f t="shared" si="71"/>
        <v>0</v>
      </c>
      <c r="M106" s="2"/>
      <c r="N106" s="6">
        <f t="shared" si="72"/>
        <v>0</v>
      </c>
      <c r="O106" s="11"/>
      <c r="P106" s="7"/>
      <c r="Q106" s="2"/>
      <c r="R106" s="6">
        <f t="shared" si="73"/>
        <v>0</v>
      </c>
      <c r="S106" s="2"/>
      <c r="T106" s="7">
        <v>0</v>
      </c>
      <c r="U106" s="2"/>
      <c r="V106" s="6">
        <f t="shared" si="74"/>
        <v>0</v>
      </c>
      <c r="W106" s="2"/>
      <c r="X106" s="7">
        <f t="shared" si="75"/>
        <v>0</v>
      </c>
      <c r="Y106" s="2"/>
      <c r="Z106" s="6">
        <f t="shared" si="76"/>
        <v>0</v>
      </c>
    </row>
    <row r="107" spans="1:26" s="24" customFormat="1" hidden="1" outlineLevel="2" x14ac:dyDescent="0.25">
      <c r="A107" s="29"/>
      <c r="B107" s="11" t="str">
        <f>CONCATENATE("          ", "6247", " - ", "STORE SUPPLIES")</f>
        <v xml:space="preserve">          6247 - STORE SUPPLIES</v>
      </c>
      <c r="C107" s="11"/>
      <c r="D107" s="7"/>
      <c r="E107" s="2"/>
      <c r="F107" s="6">
        <f t="shared" si="69"/>
        <v>0</v>
      </c>
      <c r="G107" s="2"/>
      <c r="H107" s="7">
        <v>18</v>
      </c>
      <c r="I107" s="2"/>
      <c r="J107" s="6">
        <f t="shared" si="70"/>
        <v>5.9000337613043009E-5</v>
      </c>
      <c r="K107" s="2"/>
      <c r="L107" s="7">
        <f t="shared" si="71"/>
        <v>-18</v>
      </c>
      <c r="M107" s="2"/>
      <c r="N107" s="6">
        <f t="shared" si="72"/>
        <v>-1</v>
      </c>
      <c r="O107" s="11"/>
      <c r="P107" s="7"/>
      <c r="Q107" s="2"/>
      <c r="R107" s="6">
        <f t="shared" si="73"/>
        <v>0</v>
      </c>
      <c r="S107" s="2"/>
      <c r="T107" s="7">
        <v>501</v>
      </c>
      <c r="U107" s="2"/>
      <c r="V107" s="6">
        <f t="shared" si="74"/>
        <v>2.6123724252358308E-4</v>
      </c>
      <c r="W107" s="2"/>
      <c r="X107" s="7">
        <f t="shared" si="75"/>
        <v>-501</v>
      </c>
      <c r="Y107" s="2"/>
      <c r="Z107" s="6">
        <f t="shared" si="76"/>
        <v>-1</v>
      </c>
    </row>
    <row r="108" spans="1:26" s="24" customFormat="1" hidden="1" outlineLevel="2" x14ac:dyDescent="0.25">
      <c r="A108" s="29"/>
      <c r="B108" s="11" t="str">
        <f>CONCATENATE("          ", "6248", " - ", "UNIFORMS")</f>
        <v xml:space="preserve">          6248 - UNIFORMS</v>
      </c>
      <c r="C108" s="11"/>
      <c r="D108" s="7"/>
      <c r="E108" s="2"/>
      <c r="F108" s="6">
        <f t="shared" si="69"/>
        <v>0</v>
      </c>
      <c r="G108" s="2"/>
      <c r="H108" s="7">
        <v>500</v>
      </c>
      <c r="I108" s="2"/>
      <c r="J108" s="6">
        <f t="shared" si="70"/>
        <v>1.6388982670289725E-3</v>
      </c>
      <c r="K108" s="2"/>
      <c r="L108" s="7">
        <f t="shared" si="71"/>
        <v>-500</v>
      </c>
      <c r="M108" s="2"/>
      <c r="N108" s="6">
        <f t="shared" si="72"/>
        <v>-1</v>
      </c>
      <c r="O108" s="11"/>
      <c r="P108" s="7">
        <v>4500.59</v>
      </c>
      <c r="Q108" s="2"/>
      <c r="R108" s="6">
        <f t="shared" si="73"/>
        <v>5.4177379440858257E-3</v>
      </c>
      <c r="S108" s="2"/>
      <c r="T108" s="7">
        <v>7350</v>
      </c>
      <c r="U108" s="2"/>
      <c r="V108" s="6">
        <f t="shared" si="74"/>
        <v>3.832522420256159E-3</v>
      </c>
      <c r="W108" s="2"/>
      <c r="X108" s="7">
        <f t="shared" si="75"/>
        <v>-2849.41</v>
      </c>
      <c r="Y108" s="2"/>
      <c r="Z108" s="6">
        <f t="shared" si="76"/>
        <v>-0.38767482993197278</v>
      </c>
    </row>
    <row r="109" spans="1:26" s="28" customFormat="1" outlineLevel="1" collapsed="1" x14ac:dyDescent="0.25">
      <c r="A109" s="27"/>
      <c r="B109" s="14" t="str">
        <f>CONCATENATE("     ","Telephone/Data Lines                              ")</f>
        <v xml:space="preserve">     Telephone/Data Lines                              </v>
      </c>
      <c r="C109" s="14"/>
      <c r="D109" s="1">
        <f>SUM(OSRRefD22_20x_0)</f>
        <v>1091.0999999999999</v>
      </c>
      <c r="E109" s="1"/>
      <c r="F109" s="5">
        <f t="shared" ref="F109:F111" si="77">IF(D$12=0,0,D109/D$12)</f>
        <v>6.9386799643088174E-3</v>
      </c>
      <c r="G109" s="1"/>
      <c r="H109" s="1">
        <f>SUM(OSRRefH22_20x_0)</f>
        <v>1109</v>
      </c>
      <c r="I109" s="1"/>
      <c r="J109" s="5">
        <f t="shared" ref="J109:J111" si="78">IF(H$12=0,0,H109/H$12)</f>
        <v>3.6350763562702608E-3</v>
      </c>
      <c r="K109" s="1"/>
      <c r="L109" s="1">
        <f t="shared" ref="L109:L111" si="79">+D109-H109</f>
        <v>-17.900000000000091</v>
      </c>
      <c r="M109" s="1"/>
      <c r="N109" s="5">
        <f t="shared" ref="N109:N111" si="80">IF(H109=0,0,L109/H109)</f>
        <v>-1.6140667267808918E-2</v>
      </c>
      <c r="O109" s="14"/>
      <c r="P109" s="1">
        <f>SUM(OSRRefP22_20x_0)</f>
        <v>8434.59</v>
      </c>
      <c r="Q109" s="1"/>
      <c r="R109" s="5">
        <f t="shared" ref="R109:R111" si="81">IF(P$12=0,0,P109/P$12)</f>
        <v>1.0153423947928352E-2</v>
      </c>
      <c r="S109" s="1"/>
      <c r="T109" s="1">
        <f>SUM(OSRRefT22_20x_0)</f>
        <v>6402</v>
      </c>
      <c r="U109" s="1"/>
      <c r="V109" s="5">
        <f t="shared" ref="V109:V111" si="82">IF(T$12=0,0,T109/T$12)</f>
        <v>3.3382052427863851E-3</v>
      </c>
      <c r="W109" s="1"/>
      <c r="X109" s="1">
        <f t="shared" ref="X109:X111" si="83">+P109-T109</f>
        <v>2032.5900000000001</v>
      </c>
      <c r="Y109" s="1"/>
      <c r="Z109" s="5">
        <f t="shared" ref="Z109:Z111" si="84">IF(T109=0,0,X109/T109)</f>
        <v>0.31749297094657919</v>
      </c>
    </row>
    <row r="110" spans="1:26" s="24" customFormat="1" hidden="1" outlineLevel="2" x14ac:dyDescent="0.25">
      <c r="A110" s="29"/>
      <c r="B110" s="11" t="str">
        <f>CONCATENATE("          ", "6303", " - ", "DATA PHONE LINES")</f>
        <v xml:space="preserve">          6303 - DATA PHONE LINES</v>
      </c>
      <c r="C110" s="11"/>
      <c r="D110" s="7"/>
      <c r="E110" s="2"/>
      <c r="F110" s="6">
        <f t="shared" si="77"/>
        <v>0</v>
      </c>
      <c r="G110" s="2"/>
      <c r="H110" s="7">
        <v>634</v>
      </c>
      <c r="I110" s="2"/>
      <c r="J110" s="6">
        <f t="shared" si="78"/>
        <v>2.0781230025927371E-3</v>
      </c>
      <c r="K110" s="2"/>
      <c r="L110" s="7">
        <f t="shared" si="79"/>
        <v>-634</v>
      </c>
      <c r="M110" s="2"/>
      <c r="N110" s="6">
        <f t="shared" si="80"/>
        <v>-1</v>
      </c>
      <c r="O110" s="11"/>
      <c r="P110" s="7"/>
      <c r="Q110" s="2"/>
      <c r="R110" s="6">
        <f t="shared" si="81"/>
        <v>0</v>
      </c>
      <c r="S110" s="2"/>
      <c r="T110" s="7">
        <v>3852</v>
      </c>
      <c r="U110" s="2"/>
      <c r="V110" s="6">
        <f t="shared" si="82"/>
        <v>2.0085546071873096E-3</v>
      </c>
      <c r="W110" s="2"/>
      <c r="X110" s="7">
        <f t="shared" si="83"/>
        <v>-3852</v>
      </c>
      <c r="Y110" s="2"/>
      <c r="Z110" s="6">
        <f t="shared" si="84"/>
        <v>-1</v>
      </c>
    </row>
    <row r="111" spans="1:26" s="24" customFormat="1" hidden="1" outlineLevel="2" x14ac:dyDescent="0.25">
      <c r="A111" s="29"/>
      <c r="B111" s="11" t="str">
        <f>CONCATENATE("          ", "6309", " - ", "TELEPHONE")</f>
        <v xml:space="preserve">          6309 - TELEPHONE</v>
      </c>
      <c r="C111" s="11"/>
      <c r="D111" s="7">
        <v>1091.0999999999999</v>
      </c>
      <c r="E111" s="2"/>
      <c r="F111" s="6">
        <f t="shared" si="77"/>
        <v>6.9386799643088174E-3</v>
      </c>
      <c r="G111" s="2"/>
      <c r="H111" s="7">
        <v>475</v>
      </c>
      <c r="I111" s="2"/>
      <c r="J111" s="6">
        <f t="shared" si="78"/>
        <v>1.5569533536775239E-3</v>
      </c>
      <c r="K111" s="2"/>
      <c r="L111" s="7">
        <f t="shared" si="79"/>
        <v>616.09999999999991</v>
      </c>
      <c r="M111" s="2"/>
      <c r="N111" s="6">
        <f t="shared" si="80"/>
        <v>1.2970526315789472</v>
      </c>
      <c r="O111" s="11"/>
      <c r="P111" s="7">
        <v>8434.59</v>
      </c>
      <c r="Q111" s="2"/>
      <c r="R111" s="6">
        <f t="shared" si="81"/>
        <v>1.0153423947928352E-2</v>
      </c>
      <c r="S111" s="2"/>
      <c r="T111" s="7">
        <v>2550</v>
      </c>
      <c r="U111" s="2"/>
      <c r="V111" s="6">
        <f t="shared" si="82"/>
        <v>1.3296506355990755E-3</v>
      </c>
      <c r="W111" s="2"/>
      <c r="X111" s="7">
        <f t="shared" si="83"/>
        <v>5884.59</v>
      </c>
      <c r="Y111" s="2"/>
      <c r="Z111" s="6">
        <f t="shared" si="84"/>
        <v>2.3076823529411765</v>
      </c>
    </row>
    <row r="112" spans="1:26" s="28" customFormat="1" outlineLevel="1" collapsed="1" x14ac:dyDescent="0.25">
      <c r="A112" s="27"/>
      <c r="B112" s="14" t="str">
        <f>CONCATENATE("     ","Training                                          ")</f>
        <v xml:space="preserve">     Training                                          </v>
      </c>
      <c r="C112" s="14"/>
      <c r="D112" s="1">
        <f>SUM(OSRRefD22_21x_0)</f>
        <v>0</v>
      </c>
      <c r="E112" s="1"/>
      <c r="F112" s="5">
        <f t="shared" ref="F112:F117" si="85">IF(D$12=0,0,D112/D$12)</f>
        <v>0</v>
      </c>
      <c r="G112" s="1"/>
      <c r="H112" s="1">
        <f>SUM(OSRRefH22_21x_0)</f>
        <v>750</v>
      </c>
      <c r="I112" s="1"/>
      <c r="J112" s="5">
        <f t="shared" ref="J112:J117" si="86">IF(H$12=0,0,H112/H$12)</f>
        <v>2.4583474005434587E-3</v>
      </c>
      <c r="K112" s="1"/>
      <c r="L112" s="1">
        <f t="shared" ref="L112:L117" si="87">+D112-H112</f>
        <v>-750</v>
      </c>
      <c r="M112" s="1"/>
      <c r="N112" s="5">
        <f t="shared" ref="N112:N117" si="88">IF(H112=0,0,L112/H112)</f>
        <v>-1</v>
      </c>
      <c r="O112" s="14"/>
      <c r="P112" s="1">
        <f>SUM(OSRRefP22_21x_0)</f>
        <v>1135</v>
      </c>
      <c r="Q112" s="1"/>
      <c r="R112" s="5">
        <f t="shared" ref="R112:R117" si="89">IF(P$12=0,0,P112/P$12)</f>
        <v>1.366294767249941E-3</v>
      </c>
      <c r="S112" s="1"/>
      <c r="T112" s="1">
        <f>SUM(OSRRefT22_21x_0)</f>
        <v>4150</v>
      </c>
      <c r="U112" s="1"/>
      <c r="V112" s="5">
        <f t="shared" ref="V112:V117" si="90">IF(T$12=0,0,T112/T$12)</f>
        <v>2.1639412304847701E-3</v>
      </c>
      <c r="W112" s="1"/>
      <c r="X112" s="1">
        <f t="shared" ref="X112:X117" si="91">+P112-T112</f>
        <v>-3015</v>
      </c>
      <c r="Y112" s="1"/>
      <c r="Z112" s="5">
        <f t="shared" ref="Z112:Z117" si="92">IF(T112=0,0,X112/T112)</f>
        <v>-0.72650602409638554</v>
      </c>
    </row>
    <row r="113" spans="1:26" s="24" customFormat="1" hidden="1" outlineLevel="2" x14ac:dyDescent="0.25">
      <c r="A113" s="29"/>
      <c r="B113" s="11" t="str">
        <f>CONCATENATE("          ", "6376", " - ", "TRAINING")</f>
        <v xml:space="preserve">          6376 - TRAINING</v>
      </c>
      <c r="C113" s="11"/>
      <c r="D113" s="7"/>
      <c r="E113" s="2"/>
      <c r="F113" s="6">
        <f t="shared" si="85"/>
        <v>0</v>
      </c>
      <c r="G113" s="2"/>
      <c r="H113" s="7">
        <v>750</v>
      </c>
      <c r="I113" s="2"/>
      <c r="J113" s="6">
        <f t="shared" si="86"/>
        <v>2.4583474005434587E-3</v>
      </c>
      <c r="K113" s="2"/>
      <c r="L113" s="7">
        <f t="shared" si="87"/>
        <v>-750</v>
      </c>
      <c r="M113" s="2"/>
      <c r="N113" s="6">
        <f t="shared" si="88"/>
        <v>-1</v>
      </c>
      <c r="O113" s="11"/>
      <c r="P113" s="7">
        <v>1135</v>
      </c>
      <c r="Q113" s="2"/>
      <c r="R113" s="6">
        <f t="shared" si="89"/>
        <v>1.366294767249941E-3</v>
      </c>
      <c r="S113" s="2"/>
      <c r="T113" s="7">
        <v>4150</v>
      </c>
      <c r="U113" s="2"/>
      <c r="V113" s="6">
        <f t="shared" si="90"/>
        <v>2.1639412304847701E-3</v>
      </c>
      <c r="W113" s="2"/>
      <c r="X113" s="7">
        <f t="shared" si="91"/>
        <v>-3015</v>
      </c>
      <c r="Y113" s="2"/>
      <c r="Z113" s="6">
        <f t="shared" si="92"/>
        <v>-0.72650602409638554</v>
      </c>
    </row>
    <row r="114" spans="1:26" s="28" customFormat="1" outlineLevel="1" collapsed="1" x14ac:dyDescent="0.25">
      <c r="A114" s="27"/>
      <c r="B114" s="14" t="str">
        <f>CONCATENATE("     ","Travel                                            ")</f>
        <v xml:space="preserve">     Travel                                            </v>
      </c>
      <c r="C114" s="14"/>
      <c r="D114" s="1">
        <f>SUM(OSRRefD22_22x_0)</f>
        <v>0</v>
      </c>
      <c r="E114" s="1"/>
      <c r="F114" s="5">
        <f t="shared" si="85"/>
        <v>0</v>
      </c>
      <c r="G114" s="1"/>
      <c r="H114" s="1">
        <f>SUM(OSRRefH22_22x_0)</f>
        <v>300</v>
      </c>
      <c r="I114" s="1"/>
      <c r="J114" s="5">
        <f t="shared" si="86"/>
        <v>9.8333896021738352E-4</v>
      </c>
      <c r="K114" s="1"/>
      <c r="L114" s="1">
        <f t="shared" si="87"/>
        <v>-300</v>
      </c>
      <c r="M114" s="1"/>
      <c r="N114" s="5">
        <f t="shared" si="88"/>
        <v>-1</v>
      </c>
      <c r="O114" s="14"/>
      <c r="P114" s="1">
        <f>SUM(OSRRefP22_22x_0)</f>
        <v>332.21</v>
      </c>
      <c r="Q114" s="1"/>
      <c r="R114" s="5">
        <f t="shared" si="89"/>
        <v>3.9990906134634613E-4</v>
      </c>
      <c r="S114" s="1"/>
      <c r="T114" s="1">
        <f>SUM(OSRRefT22_22x_0)</f>
        <v>1800</v>
      </c>
      <c r="U114" s="1"/>
      <c r="V114" s="5">
        <f t="shared" si="90"/>
        <v>9.3857691924640631E-4</v>
      </c>
      <c r="W114" s="1"/>
      <c r="X114" s="1">
        <f t="shared" si="91"/>
        <v>-1467.79</v>
      </c>
      <c r="Y114" s="1"/>
      <c r="Z114" s="5">
        <f t="shared" si="92"/>
        <v>-0.81543888888888882</v>
      </c>
    </row>
    <row r="115" spans="1:26" s="24" customFormat="1" hidden="1" outlineLevel="2" x14ac:dyDescent="0.25">
      <c r="A115" s="29"/>
      <c r="B115" s="11" t="str">
        <f>CONCATENATE("          ", "6292", " - ", "TRAVEL/CONFERENCE")</f>
        <v xml:space="preserve">          6292 - TRAVEL/CONFERENCE</v>
      </c>
      <c r="C115" s="11"/>
      <c r="D115" s="7"/>
      <c r="E115" s="2"/>
      <c r="F115" s="6">
        <f t="shared" si="85"/>
        <v>0</v>
      </c>
      <c r="G115" s="2"/>
      <c r="H115" s="7">
        <v>300</v>
      </c>
      <c r="I115" s="2"/>
      <c r="J115" s="6">
        <f t="shared" si="86"/>
        <v>9.8333896021738352E-4</v>
      </c>
      <c r="K115" s="2"/>
      <c r="L115" s="7">
        <f t="shared" si="87"/>
        <v>-300</v>
      </c>
      <c r="M115" s="2"/>
      <c r="N115" s="6">
        <f t="shared" si="88"/>
        <v>-1</v>
      </c>
      <c r="O115" s="11"/>
      <c r="P115" s="7"/>
      <c r="Q115" s="2"/>
      <c r="R115" s="6">
        <f t="shared" si="89"/>
        <v>0</v>
      </c>
      <c r="S115" s="2"/>
      <c r="T115" s="7">
        <v>1800</v>
      </c>
      <c r="U115" s="2"/>
      <c r="V115" s="6">
        <f t="shared" si="90"/>
        <v>9.3857691924640631E-4</v>
      </c>
      <c r="W115" s="2"/>
      <c r="X115" s="7">
        <f t="shared" si="91"/>
        <v>-1800</v>
      </c>
      <c r="Y115" s="2"/>
      <c r="Z115" s="6">
        <f t="shared" si="92"/>
        <v>-1</v>
      </c>
    </row>
    <row r="116" spans="1:26" s="24" customFormat="1" hidden="1" outlineLevel="2" x14ac:dyDescent="0.25">
      <c r="A116" s="29"/>
      <c r="B116" s="11" t="str">
        <f>CONCATENATE("          ", "6294", " - ", "TRAVEL OPERATIONAL")</f>
        <v xml:space="preserve">          6294 - TRAVEL OPERATIONAL</v>
      </c>
      <c r="C116" s="11"/>
      <c r="D116" s="7"/>
      <c r="E116" s="2"/>
      <c r="F116" s="6">
        <f t="shared" si="85"/>
        <v>0</v>
      </c>
      <c r="G116" s="2"/>
      <c r="H116" s="7"/>
      <c r="I116" s="2"/>
      <c r="J116" s="6">
        <f t="shared" si="86"/>
        <v>0</v>
      </c>
      <c r="K116" s="2"/>
      <c r="L116" s="7">
        <f t="shared" si="87"/>
        <v>0</v>
      </c>
      <c r="M116" s="2"/>
      <c r="N116" s="6">
        <f t="shared" si="88"/>
        <v>0</v>
      </c>
      <c r="O116" s="11"/>
      <c r="P116" s="7"/>
      <c r="Q116" s="2"/>
      <c r="R116" s="6">
        <f t="shared" si="89"/>
        <v>0</v>
      </c>
      <c r="S116" s="2"/>
      <c r="T116" s="7">
        <v>0</v>
      </c>
      <c r="U116" s="2"/>
      <c r="V116" s="6">
        <f t="shared" si="90"/>
        <v>0</v>
      </c>
      <c r="W116" s="2"/>
      <c r="X116" s="7">
        <f t="shared" si="91"/>
        <v>0</v>
      </c>
      <c r="Y116" s="2"/>
      <c r="Z116" s="6">
        <f t="shared" si="92"/>
        <v>0</v>
      </c>
    </row>
    <row r="117" spans="1:26" s="24" customFormat="1" hidden="1" outlineLevel="2" x14ac:dyDescent="0.25">
      <c r="A117" s="29"/>
      <c r="B117" s="11" t="str">
        <f>CONCATENATE("          ", "6298", " - ", "VEHICLE MILEAGE")</f>
        <v xml:space="preserve">          6298 - VEHICLE MILEAGE</v>
      </c>
      <c r="C117" s="11"/>
      <c r="D117" s="7"/>
      <c r="E117" s="2"/>
      <c r="F117" s="6">
        <f t="shared" si="85"/>
        <v>0</v>
      </c>
      <c r="G117" s="2"/>
      <c r="H117" s="7"/>
      <c r="I117" s="2"/>
      <c r="J117" s="6">
        <f t="shared" si="86"/>
        <v>0</v>
      </c>
      <c r="K117" s="2"/>
      <c r="L117" s="7">
        <f t="shared" si="87"/>
        <v>0</v>
      </c>
      <c r="M117" s="2"/>
      <c r="N117" s="6">
        <f t="shared" si="88"/>
        <v>0</v>
      </c>
      <c r="O117" s="11"/>
      <c r="P117" s="7">
        <v>332.21</v>
      </c>
      <c r="Q117" s="2"/>
      <c r="R117" s="6">
        <f t="shared" si="89"/>
        <v>3.9990906134634613E-4</v>
      </c>
      <c r="S117" s="2"/>
      <c r="T117" s="7"/>
      <c r="U117" s="2"/>
      <c r="V117" s="6">
        <f t="shared" si="90"/>
        <v>0</v>
      </c>
      <c r="W117" s="2"/>
      <c r="X117" s="7">
        <f t="shared" si="91"/>
        <v>332.21</v>
      </c>
      <c r="Y117" s="2"/>
      <c r="Z117" s="6">
        <f t="shared" si="92"/>
        <v>0</v>
      </c>
    </row>
    <row r="118" spans="1:26" s="28" customFormat="1" outlineLevel="1" collapsed="1" x14ac:dyDescent="0.25">
      <c r="A118" s="27"/>
      <c r="B118" s="14" t="str">
        <f>CONCATENATE("     ","Utilities                                         ")</f>
        <v xml:space="preserve">     Utilities                                         </v>
      </c>
      <c r="C118" s="14"/>
      <c r="D118" s="1">
        <f>SUM(OSRRefD22_23x_0)</f>
        <v>3660</v>
      </c>
      <c r="E118" s="1"/>
      <c r="F118" s="5">
        <f t="shared" ref="F118:F119" si="93">IF(D$12=0,0,D118/D$12)</f>
        <v>2.3275198120584983E-2</v>
      </c>
      <c r="G118" s="1"/>
      <c r="H118" s="1">
        <f>SUM(OSRRefH22_23x_0)</f>
        <v>3300</v>
      </c>
      <c r="I118" s="1"/>
      <c r="J118" s="5">
        <f t="shared" ref="J118:J119" si="94">IF(H$12=0,0,H118/H$12)</f>
        <v>1.0816728562391218E-2</v>
      </c>
      <c r="K118" s="1"/>
      <c r="L118" s="1">
        <f t="shared" ref="L118:L119" si="95">+D118-H118</f>
        <v>360</v>
      </c>
      <c r="M118" s="1"/>
      <c r="N118" s="5">
        <f t="shared" ref="N118:N119" si="96">IF(H118=0,0,L118/H118)</f>
        <v>0.10909090909090909</v>
      </c>
      <c r="O118" s="14"/>
      <c r="P118" s="1">
        <f>SUM(OSRRefP22_23x_0)</f>
        <v>992</v>
      </c>
      <c r="Q118" s="1"/>
      <c r="R118" s="5">
        <f t="shared" ref="R118:R119" si="97">IF(P$12=0,0,P118/P$12)</f>
        <v>1.1941536644158074E-3</v>
      </c>
      <c r="S118" s="1"/>
      <c r="T118" s="1">
        <f>SUM(OSRRefT22_23x_0)</f>
        <v>19800</v>
      </c>
      <c r="U118" s="1"/>
      <c r="V118" s="5">
        <f t="shared" ref="V118:V119" si="98">IF(T$12=0,0,T118/T$12)</f>
        <v>1.0324346111710469E-2</v>
      </c>
      <c r="W118" s="1"/>
      <c r="X118" s="1">
        <f t="shared" ref="X118:X119" si="99">+P118-T118</f>
        <v>-18808</v>
      </c>
      <c r="Y118" s="1"/>
      <c r="Z118" s="5">
        <f t="shared" ref="Z118:Z119" si="100">IF(T118=0,0,X118/T118)</f>
        <v>-0.94989898989898991</v>
      </c>
    </row>
    <row r="119" spans="1:26" s="24" customFormat="1" hidden="1" outlineLevel="2" x14ac:dyDescent="0.25">
      <c r="A119" s="29"/>
      <c r="B119" s="11" t="str">
        <f>CONCATENATE("          ", "6274", " - ", "UTILITIES")</f>
        <v xml:space="preserve">          6274 - UTILITIES</v>
      </c>
      <c r="C119" s="11"/>
      <c r="D119" s="7">
        <v>3660</v>
      </c>
      <c r="E119" s="2"/>
      <c r="F119" s="6">
        <f t="shared" si="93"/>
        <v>2.3275198120584983E-2</v>
      </c>
      <c r="G119" s="2"/>
      <c r="H119" s="7">
        <v>3300</v>
      </c>
      <c r="I119" s="2"/>
      <c r="J119" s="6">
        <f t="shared" si="94"/>
        <v>1.0816728562391218E-2</v>
      </c>
      <c r="K119" s="2"/>
      <c r="L119" s="7">
        <f t="shared" si="95"/>
        <v>360</v>
      </c>
      <c r="M119" s="2"/>
      <c r="N119" s="6">
        <f t="shared" si="96"/>
        <v>0.10909090909090909</v>
      </c>
      <c r="O119" s="11"/>
      <c r="P119" s="7">
        <v>992</v>
      </c>
      <c r="Q119" s="2"/>
      <c r="R119" s="6">
        <f t="shared" si="97"/>
        <v>1.1941536644158074E-3</v>
      </c>
      <c r="S119" s="2"/>
      <c r="T119" s="7">
        <v>19800</v>
      </c>
      <c r="U119" s="2"/>
      <c r="V119" s="6">
        <f t="shared" si="98"/>
        <v>1.0324346111710469E-2</v>
      </c>
      <c r="W119" s="2"/>
      <c r="X119" s="7">
        <f t="shared" si="99"/>
        <v>-18808</v>
      </c>
      <c r="Y119" s="2"/>
      <c r="Z119" s="6">
        <f t="shared" si="100"/>
        <v>-0.94989898989898991</v>
      </c>
    </row>
    <row r="120" spans="1:26" s="53" customFormat="1" x14ac:dyDescent="0.25">
      <c r="A120" s="36"/>
      <c r="B120" s="36"/>
      <c r="C120" s="36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6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collapsed="1" x14ac:dyDescent="0.25">
      <c r="A121" s="10"/>
      <c r="B121" s="26" t="s">
        <v>0</v>
      </c>
      <c r="C121" s="10"/>
      <c r="D121" s="4">
        <f>SUM(OSRRefD25x_0)</f>
        <v>11120.800000000001</v>
      </c>
      <c r="E121" s="4"/>
      <c r="F121" s="12">
        <f t="shared" ref="F121:F125" si="101">IF(D$12=0,0,D121/D$12)</f>
        <v>7.0720989961585115E-2</v>
      </c>
      <c r="G121" s="4"/>
      <c r="H121" s="4">
        <f>SUM(OSRRefH25x_0)</f>
        <v>8053</v>
      </c>
      <c r="I121" s="4"/>
      <c r="J121" s="12">
        <f t="shared" ref="J121:J125" si="102">IF(H$12=0,0,H121/H$12)</f>
        <v>2.6396095488768631E-2</v>
      </c>
      <c r="K121" s="4"/>
      <c r="L121" s="4">
        <f t="shared" ref="L121:L125" si="103">+D121-H121</f>
        <v>3067.8000000000011</v>
      </c>
      <c r="M121" s="4"/>
      <c r="N121" s="12">
        <f t="shared" ref="N121:N125" si="104">IF(H121=0,0,L121/H121)</f>
        <v>0.38095119831118851</v>
      </c>
      <c r="O121" s="10"/>
      <c r="P121" s="4">
        <f>SUM(OSRRefP25x_0)</f>
        <v>15371.47</v>
      </c>
      <c r="Q121" s="4"/>
      <c r="R121" s="12">
        <f t="shared" ref="R121:R125" si="105">IF(P$12=0,0,P121/P$12)</f>
        <v>1.8503928657215372E-2</v>
      </c>
      <c r="S121" s="4"/>
      <c r="T121" s="4">
        <f>SUM(OSRRefT25x_0)</f>
        <v>27403</v>
      </c>
      <c r="U121" s="4"/>
      <c r="V121" s="12">
        <f t="shared" ref="V121:V125" si="106">IF(T$12=0,0,T121/T$12)</f>
        <v>1.4288790732282928E-2</v>
      </c>
      <c r="W121" s="4"/>
      <c r="X121" s="4">
        <f t="shared" ref="X121:X125" si="107">+P121-T121</f>
        <v>-12031.53</v>
      </c>
      <c r="Y121" s="4"/>
      <c r="Z121" s="12">
        <f t="shared" ref="Z121:Z125" si="108">IF(T121=0,0,X121/T121)</f>
        <v>-0.43905886216837575</v>
      </c>
    </row>
    <row r="122" spans="1:26" s="24" customFormat="1" hidden="1" outlineLevel="1" x14ac:dyDescent="0.25">
      <c r="A122" s="51"/>
      <c r="B122" s="11" t="str">
        <f>CONCATENATE("          ", "9150", " - ", "MISC. INCOME")</f>
        <v xml:space="preserve">          9150 - MISC. INCOME</v>
      </c>
      <c r="C122" s="11"/>
      <c r="D122" s="2">
        <f>--804.28</f>
        <v>804.28</v>
      </c>
      <c r="E122" s="2"/>
      <c r="F122" s="22">
        <f t="shared" si="101"/>
        <v>5.1146929902798057E-3</v>
      </c>
      <c r="G122" s="2"/>
      <c r="H122" s="2">
        <v>2164</v>
      </c>
      <c r="I122" s="2"/>
      <c r="J122" s="22">
        <f t="shared" si="102"/>
        <v>7.093151699701393E-3</v>
      </c>
      <c r="K122" s="2"/>
      <c r="L122" s="2">
        <f t="shared" si="103"/>
        <v>-1359.72</v>
      </c>
      <c r="M122" s="2"/>
      <c r="N122" s="22">
        <f t="shared" si="104"/>
        <v>-0.62833641404805918</v>
      </c>
      <c r="O122" s="11"/>
      <c r="P122" s="2">
        <f>--1728.05</f>
        <v>1728.05</v>
      </c>
      <c r="Q122" s="2"/>
      <c r="R122" s="22">
        <f t="shared" si="105"/>
        <v>2.0801988304372339E-3</v>
      </c>
      <c r="S122" s="2"/>
      <c r="T122" s="2">
        <v>11350</v>
      </c>
      <c r="U122" s="2"/>
      <c r="V122" s="22">
        <f t="shared" si="106"/>
        <v>5.9182489074703949E-3</v>
      </c>
      <c r="W122" s="2"/>
      <c r="X122" s="2">
        <f t="shared" si="107"/>
        <v>-9621.9500000000007</v>
      </c>
      <c r="Y122" s="2"/>
      <c r="Z122" s="22">
        <f t="shared" si="108"/>
        <v>-0.84774889867841419</v>
      </c>
    </row>
    <row r="123" spans="1:26" s="24" customFormat="1" hidden="1" outlineLevel="1" x14ac:dyDescent="0.25">
      <c r="A123" s="51"/>
      <c r="B123" s="11" t="str">
        <f>CONCATENATE("          ", "9151", " - ", "MISC. INCOME")</f>
        <v xml:space="preserve">          9151 - MISC. INCOME</v>
      </c>
      <c r="C123" s="11"/>
      <c r="D123" s="2">
        <f>0</f>
        <v>0</v>
      </c>
      <c r="E123" s="2"/>
      <c r="F123" s="22">
        <f t="shared" si="101"/>
        <v>0</v>
      </c>
      <c r="G123" s="2"/>
      <c r="H123" s="2">
        <v>2712</v>
      </c>
      <c r="I123" s="2"/>
      <c r="J123" s="22">
        <f t="shared" si="102"/>
        <v>8.8893842003651465E-3</v>
      </c>
      <c r="K123" s="2"/>
      <c r="L123" s="2">
        <f t="shared" si="103"/>
        <v>-2712</v>
      </c>
      <c r="M123" s="2"/>
      <c r="N123" s="22">
        <f t="shared" si="104"/>
        <v>-1</v>
      </c>
      <c r="O123" s="11"/>
      <c r="P123" s="2">
        <f>0</f>
        <v>0</v>
      </c>
      <c r="Q123" s="2"/>
      <c r="R123" s="22">
        <f t="shared" si="105"/>
        <v>0</v>
      </c>
      <c r="S123" s="2"/>
      <c r="T123" s="2">
        <v>11130</v>
      </c>
      <c r="U123" s="2"/>
      <c r="V123" s="22">
        <f t="shared" si="106"/>
        <v>5.8035339506736124E-3</v>
      </c>
      <c r="W123" s="2"/>
      <c r="X123" s="2">
        <f t="shared" si="107"/>
        <v>-11130</v>
      </c>
      <c r="Y123" s="2"/>
      <c r="Z123" s="22">
        <f t="shared" si="108"/>
        <v>-1</v>
      </c>
    </row>
    <row r="124" spans="1:26" s="24" customFormat="1" hidden="1" outlineLevel="1" x14ac:dyDescent="0.25">
      <c r="A124" s="51"/>
      <c r="B124" s="11" t="str">
        <f>CONCATENATE("          ", "9160", " - ", "MISC. INCOME")</f>
        <v xml:space="preserve">          9160 - MISC. INCOME</v>
      </c>
      <c r="C124" s="11"/>
      <c r="D124" s="2">
        <f>--10000</f>
        <v>10000</v>
      </c>
      <c r="E124" s="2"/>
      <c r="F124" s="22">
        <f t="shared" si="101"/>
        <v>6.359343748793711E-2</v>
      </c>
      <c r="G124" s="2"/>
      <c r="H124" s="2">
        <v>3177</v>
      </c>
      <c r="I124" s="2"/>
      <c r="J124" s="22">
        <f t="shared" si="102"/>
        <v>1.0413559588702092E-2</v>
      </c>
      <c r="K124" s="2"/>
      <c r="L124" s="2">
        <f t="shared" si="103"/>
        <v>6823</v>
      </c>
      <c r="M124" s="2"/>
      <c r="N124" s="22">
        <f t="shared" si="104"/>
        <v>2.1476235442241109</v>
      </c>
      <c r="O124" s="11"/>
      <c r="P124" s="2">
        <f>--12328.25</f>
        <v>12328.25</v>
      </c>
      <c r="Q124" s="2"/>
      <c r="R124" s="22">
        <f t="shared" si="105"/>
        <v>1.484054930779655E-2</v>
      </c>
      <c r="S124" s="2"/>
      <c r="T124" s="2">
        <v>4923</v>
      </c>
      <c r="U124" s="2"/>
      <c r="V124" s="22">
        <f t="shared" si="106"/>
        <v>2.567007874138921E-3</v>
      </c>
      <c r="W124" s="2"/>
      <c r="X124" s="2">
        <f t="shared" si="107"/>
        <v>7405.25</v>
      </c>
      <c r="Y124" s="2"/>
      <c r="Z124" s="22">
        <f t="shared" si="108"/>
        <v>1.5042149096079627</v>
      </c>
    </row>
    <row r="125" spans="1:26" s="24" customFormat="1" hidden="1" outlineLevel="1" x14ac:dyDescent="0.25">
      <c r="A125" s="51"/>
      <c r="B125" s="11" t="str">
        <f>CONCATENATE("          ", "9165", " - ", "OTHER INCOME")</f>
        <v xml:space="preserve">          9165 - OTHER INCOME</v>
      </c>
      <c r="C125" s="11"/>
      <c r="D125" s="2">
        <f>--316.52</f>
        <v>316.52</v>
      </c>
      <c r="E125" s="2"/>
      <c r="F125" s="22">
        <f t="shared" si="101"/>
        <v>2.0128594833681854E-3</v>
      </c>
      <c r="G125" s="2"/>
      <c r="H125" s="2"/>
      <c r="I125" s="2"/>
      <c r="J125" s="22">
        <f t="shared" si="102"/>
        <v>0</v>
      </c>
      <c r="K125" s="2"/>
      <c r="L125" s="2">
        <f t="shared" si="103"/>
        <v>316.52</v>
      </c>
      <c r="M125" s="2"/>
      <c r="N125" s="22">
        <f t="shared" si="104"/>
        <v>0</v>
      </c>
      <c r="O125" s="11"/>
      <c r="P125" s="2">
        <f>--1315.17</f>
        <v>1315.17</v>
      </c>
      <c r="Q125" s="2"/>
      <c r="R125" s="22">
        <f t="shared" si="105"/>
        <v>1.5831805189815901E-3</v>
      </c>
      <c r="S125" s="2"/>
      <c r="T125" s="2"/>
      <c r="U125" s="2"/>
      <c r="V125" s="22">
        <f t="shared" si="106"/>
        <v>0</v>
      </c>
      <c r="W125" s="2"/>
      <c r="X125" s="2">
        <f t="shared" si="107"/>
        <v>1315.17</v>
      </c>
      <c r="Y125" s="2"/>
      <c r="Z125" s="22">
        <f t="shared" si="108"/>
        <v>0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10"/>
      <c r="B127" s="25" t="s">
        <v>3</v>
      </c>
      <c r="C127" s="25"/>
      <c r="D127" s="21">
        <f>+D27-D29+D121</f>
        <v>-234522.9899999999</v>
      </c>
      <c r="E127" s="13"/>
      <c r="F127" s="19">
        <f>IF(D$12=0,0,D127/D$12)</f>
        <v>-1.4914123104049095</v>
      </c>
      <c r="G127" s="13"/>
      <c r="H127" s="21">
        <f>+H27-H29+H121</f>
        <v>-222933.03361537872</v>
      </c>
      <c r="I127" s="13"/>
      <c r="J127" s="19">
        <f>IF(H$12=0,0,H127/H$12)</f>
        <v>-0.73072912491151165</v>
      </c>
      <c r="K127" s="16"/>
      <c r="L127" s="21">
        <f>+D127-H127</f>
        <v>-11589.956384621182</v>
      </c>
      <c r="M127" s="16"/>
      <c r="N127" s="19">
        <f>IF(H127=0,0,L127/H127)</f>
        <v>5.1988510615331551E-2</v>
      </c>
      <c r="O127" s="26"/>
      <c r="P127" s="21">
        <f>+P27-P29+P121</f>
        <v>-1501942.9299999992</v>
      </c>
      <c r="Q127" s="13"/>
      <c r="R127" s="19">
        <f>IF(P$12=0,0,P127/P$12)</f>
        <v>-1.8080147717771307</v>
      </c>
      <c r="S127" s="13"/>
      <c r="T127" s="21">
        <f>+T27-T29+T121</f>
        <v>-1341519.9212976315</v>
      </c>
      <c r="U127" s="13"/>
      <c r="V127" s="19">
        <f>IF(T$12=0,0,T127/T$12)</f>
        <v>-0.69951090824400686</v>
      </c>
      <c r="W127" s="16"/>
      <c r="X127" s="21">
        <f>+P127-T127</f>
        <v>-160423.00870236778</v>
      </c>
      <c r="Y127" s="16"/>
      <c r="Z127" s="19">
        <f>IF(T127=0,0,X127/T127)</f>
        <v>0.1195830238191268</v>
      </c>
    </row>
    <row r="128" spans="1:26" x14ac:dyDescent="0.25">
      <c r="A128" s="9"/>
      <c r="B128" s="10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52"/>
      <c r="B129" s="10" t="s">
        <v>14</v>
      </c>
      <c r="C129" s="10"/>
      <c r="D129" s="4">
        <v>46686.049999999996</v>
      </c>
      <c r="E129" s="4"/>
      <c r="F129" s="12">
        <f>IF(D$12=0,0,D129/D$12)</f>
        <v>0.29689264022337059</v>
      </c>
      <c r="G129" s="4"/>
      <c r="H129" s="4">
        <v>76161</v>
      </c>
      <c r="I129" s="4"/>
      <c r="J129" s="12">
        <f>IF(H$12=0,0,H129/H$12)</f>
        <v>0.24964026183038715</v>
      </c>
      <c r="K129" s="4"/>
      <c r="L129" s="4">
        <f>+D129-H129</f>
        <v>-29474.950000000004</v>
      </c>
      <c r="M129" s="4"/>
      <c r="N129" s="12">
        <f>IF(H129=0,0,L129/H129)</f>
        <v>-0.3870084426412469</v>
      </c>
      <c r="O129" s="10"/>
      <c r="P129" s="4">
        <v>153699.64000000001</v>
      </c>
      <c r="Q129" s="4"/>
      <c r="R129" s="12">
        <f>IF(P$12=0,0,P129/P$12)</f>
        <v>0.18502115758607907</v>
      </c>
      <c r="S129" s="4"/>
      <c r="T129" s="4">
        <v>363788</v>
      </c>
      <c r="U129" s="4"/>
      <c r="V129" s="12">
        <f>IF(T$12=0,0,T129/T$12)</f>
        <v>0.18969056683267313</v>
      </c>
      <c r="W129" s="4"/>
      <c r="X129" s="4">
        <f>+P129-T129</f>
        <v>-210088.36</v>
      </c>
      <c r="Y129" s="4"/>
      <c r="Z129" s="12">
        <f>IF(T129=0,0,X129/T129)</f>
        <v>-0.57750217159444506</v>
      </c>
    </row>
    <row r="130" spans="1:26" x14ac:dyDescent="0.25">
      <c r="A130" s="9"/>
      <c r="B130" s="10"/>
      <c r="C130" s="10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O130" s="10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5" t="s">
        <v>4</v>
      </c>
      <c r="C131" s="25"/>
      <c r="D131" s="34">
        <f>+D127-D129</f>
        <v>-281209.03999999992</v>
      </c>
      <c r="E131" s="13"/>
      <c r="F131" s="31">
        <f>IF(D$12=0,0,D131/D$12)</f>
        <v>-1.7883049506282802</v>
      </c>
      <c r="G131" s="13"/>
      <c r="H131" s="34">
        <f>+H127-H129</f>
        <v>-299094.03361537872</v>
      </c>
      <c r="I131" s="13"/>
      <c r="J131" s="31">
        <f>IF(H$12=0,0,H131/H$12)</f>
        <v>-0.98036938674189888</v>
      </c>
      <c r="K131" s="16"/>
      <c r="L131" s="34">
        <f>D131-H131</f>
        <v>17884.9936153788</v>
      </c>
      <c r="M131" s="16"/>
      <c r="N131" s="31">
        <f>IF(H131=0,0,L131/H131)</f>
        <v>-5.9797226307690528E-2</v>
      </c>
      <c r="O131" s="26"/>
      <c r="P131" s="34">
        <f>+P127-P129</f>
        <v>-1655642.5699999994</v>
      </c>
      <c r="Q131" s="13"/>
      <c r="R131" s="31">
        <f>IF(P$12=0,0,P131/P$12)</f>
        <v>-1.9930359293632098</v>
      </c>
      <c r="S131" s="13"/>
      <c r="T131" s="34">
        <f>+T127-T129</f>
        <v>-1705307.9212976315</v>
      </c>
      <c r="U131" s="13"/>
      <c r="V131" s="31">
        <f>IF(T$12=0,0,T131/T$12)</f>
        <v>-0.88920147507668001</v>
      </c>
      <c r="W131" s="16"/>
      <c r="X131" s="34">
        <f>P131-T131</f>
        <v>49665.351297632093</v>
      </c>
      <c r="Y131" s="16"/>
      <c r="Z131" s="31">
        <f>IF(T131=0,0,X131/T131)</f>
        <v>-2.9123978536286808E-2</v>
      </c>
    </row>
    <row r="132" spans="1:26" ht="15.75" thickTop="1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x14ac:dyDescent="0.25">
      <c r="A133" s="9"/>
      <c r="B133" s="9"/>
      <c r="C133" s="9"/>
      <c r="D133" s="3"/>
      <c r="E133" s="3"/>
      <c r="F133" s="8"/>
      <c r="G133" s="3"/>
      <c r="H133" s="3"/>
      <c r="I133" s="3"/>
      <c r="J133" s="8"/>
      <c r="K133" s="3"/>
      <c r="L133" s="3"/>
      <c r="M133" s="3"/>
      <c r="N133" s="8"/>
      <c r="P133" s="3"/>
      <c r="Q133" s="3"/>
      <c r="R133" s="8"/>
      <c r="S133" s="3"/>
      <c r="T133" s="3"/>
      <c r="U133" s="3"/>
      <c r="V133" s="8"/>
      <c r="W133" s="3"/>
      <c r="X133" s="3"/>
      <c r="Y133" s="3"/>
      <c r="Z133" s="8"/>
    </row>
    <row r="134" spans="1:26" s="23" customFormat="1" ht="15.75" thickBot="1" x14ac:dyDescent="0.3">
      <c r="A134" s="10"/>
      <c r="B134" s="25" t="s">
        <v>5</v>
      </c>
      <c r="C134" s="25"/>
      <c r="D134" s="33">
        <f>SUM(D131:D133)</f>
        <v>-281209.03999999992</v>
      </c>
      <c r="E134" s="13"/>
      <c r="F134" s="32">
        <f>IF(D$12=0,0,D134/D$12)</f>
        <v>-1.7883049506282802</v>
      </c>
      <c r="G134" s="13"/>
      <c r="H134" s="33">
        <f>SUM(H131:H133)</f>
        <v>-299094.03361537872</v>
      </c>
      <c r="I134" s="13"/>
      <c r="J134" s="32">
        <f>IF(H$12=0,0,H134/H$12)</f>
        <v>-0.98036938674189888</v>
      </c>
      <c r="K134" s="16"/>
      <c r="L134" s="33">
        <f>+D134-H134</f>
        <v>17884.9936153788</v>
      </c>
      <c r="M134" s="16"/>
      <c r="N134" s="32">
        <f>IF(H134=0,0,L134/H134)</f>
        <v>-5.9797226307690528E-2</v>
      </c>
      <c r="O134" s="26"/>
      <c r="P134" s="33">
        <f>SUM(P131:P133)</f>
        <v>-1655642.5699999994</v>
      </c>
      <c r="Q134" s="13"/>
      <c r="R134" s="32">
        <f>IF(P$12=0,0,P134/P$12)</f>
        <v>-1.9930359293632098</v>
      </c>
      <c r="S134" s="13"/>
      <c r="T134" s="33">
        <f>SUM(T131:T133)</f>
        <v>-1705307.9212976315</v>
      </c>
      <c r="U134" s="13"/>
      <c r="V134" s="32">
        <f>IF(T$12=0,0,T134/T$12)</f>
        <v>-0.88920147507668001</v>
      </c>
      <c r="W134" s="16"/>
      <c r="X134" s="33">
        <f>+P134-T134</f>
        <v>49665.351297632093</v>
      </c>
      <c r="Y134" s="16"/>
      <c r="Z134" s="32">
        <f>IF(T134=0,0,X134/T134)</f>
        <v>-2.9123978536286808E-2</v>
      </c>
    </row>
    <row r="135" spans="1:26" ht="15.75" thickTop="1" x14ac:dyDescent="0.25">
      <c r="A135" s="9"/>
      <c r="C135" s="9"/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25">
      <c r="A136" s="9"/>
      <c r="B136" s="63">
        <v>44209.518174456018</v>
      </c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  <row r="137" spans="1:26" x14ac:dyDescent="0.25">
      <c r="A137" s="9"/>
      <c r="B137" s="60" t="s">
        <v>314</v>
      </c>
      <c r="D137" s="18"/>
      <c r="E137" s="18"/>
      <c r="G137" s="18"/>
      <c r="H137" s="18"/>
      <c r="I137" s="18"/>
      <c r="J137" s="43"/>
      <c r="K137" s="18"/>
      <c r="L137" s="18"/>
      <c r="M137" s="18"/>
      <c r="P137" s="18"/>
      <c r="Q137" s="18"/>
      <c r="R137" s="43"/>
      <c r="S137" s="18"/>
      <c r="T137" s="18"/>
      <c r="U137" s="18"/>
      <c r="V137" s="43"/>
      <c r="W137" s="18"/>
      <c r="X137" s="18"/>
    </row>
    <row r="138" spans="1:26" x14ac:dyDescent="0.25">
      <c r="A138" s="9"/>
      <c r="B138" s="58"/>
      <c r="D138" s="18"/>
      <c r="E138" s="18"/>
      <c r="G138" s="18"/>
      <c r="H138" s="18"/>
      <c r="I138" s="18"/>
      <c r="J138" s="43"/>
      <c r="K138" s="18"/>
      <c r="L138" s="18"/>
      <c r="M138" s="18"/>
      <c r="P138" s="18"/>
      <c r="Q138" s="18"/>
      <c r="R138" s="43"/>
      <c r="S138" s="18"/>
      <c r="T138" s="18"/>
      <c r="U138" s="18"/>
      <c r="V138" s="43"/>
      <c r="W138" s="18"/>
      <c r="X138" s="18"/>
    </row>
    <row r="139" spans="1:26" x14ac:dyDescent="0.25">
      <c r="D139" s="18"/>
      <c r="E139" s="18"/>
      <c r="G139" s="18"/>
      <c r="H139" s="18"/>
      <c r="I139" s="18"/>
      <c r="J139" s="43"/>
      <c r="K139" s="18"/>
      <c r="L139" s="18"/>
      <c r="M139" s="18"/>
      <c r="P139" s="18"/>
      <c r="Q139" s="18"/>
      <c r="R139" s="43"/>
      <c r="S139" s="18"/>
      <c r="T139" s="18"/>
      <c r="U139" s="18"/>
      <c r="V139" s="43"/>
      <c r="W139" s="18"/>
      <c r="X139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3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313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72170.009999999995</v>
      </c>
      <c r="E12" s="4"/>
      <c r="F12" s="12"/>
      <c r="G12" s="4"/>
      <c r="H12" s="4">
        <f>SUM(OSRRefH13x_0)</f>
        <v>37202</v>
      </c>
      <c r="I12" s="4"/>
      <c r="J12" s="12"/>
      <c r="K12" s="4"/>
      <c r="L12" s="4">
        <f t="shared" ref="L12:L21" si="0">+D12-H12</f>
        <v>34968.009999999995</v>
      </c>
      <c r="M12" s="4"/>
      <c r="N12" s="12">
        <f t="shared" ref="N12:N21" si="1">IF(H12=0,0,L12/H12)</f>
        <v>0.93994973388527481</v>
      </c>
      <c r="O12" s="10"/>
      <c r="P12" s="4">
        <f>SUM(OSRRefP13x_0)</f>
        <v>196800.47000000003</v>
      </c>
      <c r="Q12" s="4"/>
      <c r="R12" s="12"/>
      <c r="S12" s="4"/>
      <c r="T12" s="4">
        <f>SUM(OSRRefT13x_0)</f>
        <v>275449</v>
      </c>
      <c r="U12" s="4"/>
      <c r="V12" s="12"/>
      <c r="W12" s="4"/>
      <c r="X12" s="4">
        <f t="shared" ref="X12:X21" si="2">+P12-T12</f>
        <v>-78648.52999999997</v>
      </c>
      <c r="Y12" s="4"/>
      <c r="Z12" s="12">
        <f t="shared" ref="Z12:Z21" si="3">IF(T12=0,0,X12/T12)</f>
        <v>-0.28552846443443242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6435</v>
      </c>
      <c r="I13" s="2"/>
      <c r="J13" s="22"/>
      <c r="K13" s="2"/>
      <c r="L13" s="2">
        <f t="shared" si="0"/>
        <v>-6435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44071</v>
      </c>
      <c r="U13" s="2"/>
      <c r="V13" s="22"/>
      <c r="W13" s="2"/>
      <c r="X13" s="2">
        <f t="shared" si="2"/>
        <v>-44071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"4032", " - ", "TAXABLE SALES-JUICE")</f>
        <v xml:space="preserve">          4032 - TAXABLE SALES-JUICE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--444.59</f>
        <v>444.59</v>
      </c>
      <c r="Q14" s="2"/>
      <c r="R14" s="22"/>
      <c r="S14" s="2"/>
      <c r="T14" s="2"/>
      <c r="U14" s="2"/>
      <c r="V14" s="22"/>
      <c r="W14" s="2"/>
      <c r="X14" s="2">
        <f t="shared" si="2"/>
        <v>444.59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"4051", " - ", "TAXABLE SALES-FOOD")</f>
        <v xml:space="preserve">          4051 - TAXABLE SALES-FOOD</v>
      </c>
      <c r="C15" s="11"/>
      <c r="D15" s="2">
        <f>--5713.27</f>
        <v>5713.27</v>
      </c>
      <c r="E15" s="2"/>
      <c r="F15" s="22"/>
      <c r="G15" s="2"/>
      <c r="H15" s="2"/>
      <c r="I15" s="2"/>
      <c r="J15" s="22"/>
      <c r="K15" s="2"/>
      <c r="L15" s="2">
        <f t="shared" si="0"/>
        <v>5713.27</v>
      </c>
      <c r="M15" s="2"/>
      <c r="N15" s="22">
        <f t="shared" si="1"/>
        <v>0</v>
      </c>
      <c r="O15" s="11"/>
      <c r="P15" s="2">
        <f>--22964.48</f>
        <v>22964.48</v>
      </c>
      <c r="Q15" s="2"/>
      <c r="R15" s="22"/>
      <c r="S15" s="2"/>
      <c r="T15" s="2"/>
      <c r="U15" s="2"/>
      <c r="V15" s="22"/>
      <c r="W15" s="2"/>
      <c r="X15" s="2">
        <f t="shared" si="2"/>
        <v>22964.48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"4052", " - ", "TAXABLE SALES-FOOD")</f>
        <v xml:space="preserve">          4052 - TAXABLE SALES-FOOD</v>
      </c>
      <c r="C16" s="11"/>
      <c r="D16" s="2">
        <f>--62378.23</f>
        <v>62378.23</v>
      </c>
      <c r="E16" s="2"/>
      <c r="F16" s="22"/>
      <c r="G16" s="2"/>
      <c r="H16" s="2"/>
      <c r="I16" s="2"/>
      <c r="J16" s="22"/>
      <c r="K16" s="2"/>
      <c r="L16" s="2">
        <f t="shared" si="0"/>
        <v>62378.23</v>
      </c>
      <c r="M16" s="2"/>
      <c r="N16" s="22">
        <f t="shared" si="1"/>
        <v>0</v>
      </c>
      <c r="O16" s="11"/>
      <c r="P16" s="2">
        <f>--148103.39</f>
        <v>148103.39000000001</v>
      </c>
      <c r="Q16" s="2"/>
      <c r="R16" s="22"/>
      <c r="S16" s="2"/>
      <c r="T16" s="2"/>
      <c r="U16" s="2"/>
      <c r="V16" s="22"/>
      <c r="W16" s="2"/>
      <c r="X16" s="2">
        <f t="shared" si="2"/>
        <v>148103.39000000001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"4058", " - ", "TAXABLE SALES-FOOD")</f>
        <v xml:space="preserve">          4058 - TAXABLE SALES-FOOD</v>
      </c>
      <c r="C17" s="11"/>
      <c r="D17" s="2">
        <f t="shared" ref="D17:D19" si="5">0</f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--974.91</f>
        <v>974.91</v>
      </c>
      <c r="Q17" s="2"/>
      <c r="R17" s="22"/>
      <c r="S17" s="2"/>
      <c r="T17" s="2"/>
      <c r="U17" s="2"/>
      <c r="V17" s="22"/>
      <c r="W17" s="2"/>
      <c r="X17" s="2">
        <f t="shared" si="2"/>
        <v>974.91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"4100", " - ", "NON-TAXABLE SALES")</f>
        <v xml:space="preserve">          4100 - NON-TAXABLE SALES</v>
      </c>
      <c r="C18" s="11"/>
      <c r="D18" s="2">
        <f t="shared" si="5"/>
        <v>0</v>
      </c>
      <c r="E18" s="2"/>
      <c r="F18" s="22"/>
      <c r="G18" s="2"/>
      <c r="H18" s="2">
        <v>30767</v>
      </c>
      <c r="I18" s="2"/>
      <c r="J18" s="22"/>
      <c r="K18" s="2"/>
      <c r="L18" s="2">
        <f t="shared" si="0"/>
        <v>-30767</v>
      </c>
      <c r="M18" s="2"/>
      <c r="N18" s="22">
        <f t="shared" si="1"/>
        <v>-1</v>
      </c>
      <c r="O18" s="11"/>
      <c r="P18" s="2">
        <f>0</f>
        <v>0</v>
      </c>
      <c r="Q18" s="2"/>
      <c r="R18" s="22"/>
      <c r="S18" s="2"/>
      <c r="T18" s="2">
        <v>231378</v>
      </c>
      <c r="U18" s="2"/>
      <c r="V18" s="22"/>
      <c r="W18" s="2"/>
      <c r="X18" s="2">
        <f t="shared" si="2"/>
        <v>-231378</v>
      </c>
      <c r="Y18" s="2"/>
      <c r="Z18" s="22">
        <f t="shared" si="3"/>
        <v>-1</v>
      </c>
    </row>
    <row r="19" spans="1:26" s="24" customFormat="1" hidden="1" outlineLevel="1" x14ac:dyDescent="0.25">
      <c r="A19" s="51"/>
      <c r="B19" s="11" t="str">
        <f>CONCATENATE("          ", "4132", " - ", "NON-TAXABLE SALES-JUICE")</f>
        <v xml:space="preserve">          4132 - NON-TAXABLE SALES-JUICE</v>
      </c>
      <c r="C19" s="11"/>
      <c r="D19" s="2">
        <f t="shared" si="5"/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--2031.88</f>
        <v>2031.88</v>
      </c>
      <c r="Q19" s="2"/>
      <c r="R19" s="22"/>
      <c r="S19" s="2"/>
      <c r="T19" s="2"/>
      <c r="U19" s="2"/>
      <c r="V19" s="22"/>
      <c r="W19" s="2"/>
      <c r="X19" s="2">
        <f t="shared" si="2"/>
        <v>2031.88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"4151", " - ", "NON-TAXABLE SALES-FOOD")</f>
        <v xml:space="preserve">          4151 - NON-TAXABLE SALES-FOOD</v>
      </c>
      <c r="C20" s="11"/>
      <c r="D20" s="2">
        <f>--4078.51</f>
        <v>4078.51</v>
      </c>
      <c r="E20" s="2"/>
      <c r="F20" s="22"/>
      <c r="G20" s="2"/>
      <c r="H20" s="2"/>
      <c r="I20" s="2"/>
      <c r="J20" s="22"/>
      <c r="K20" s="2"/>
      <c r="L20" s="2">
        <f t="shared" si="0"/>
        <v>4078.51</v>
      </c>
      <c r="M20" s="2"/>
      <c r="N20" s="22">
        <f t="shared" si="1"/>
        <v>0</v>
      </c>
      <c r="O20" s="11"/>
      <c r="P20" s="2">
        <f>--22171.22</f>
        <v>22171.22</v>
      </c>
      <c r="Q20" s="2"/>
      <c r="R20" s="22"/>
      <c r="S20" s="2"/>
      <c r="T20" s="2"/>
      <c r="U20" s="2"/>
      <c r="V20" s="22"/>
      <c r="W20" s="2"/>
      <c r="X20" s="2">
        <f t="shared" si="2"/>
        <v>22171.22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"4153", " - ", "NON-TAXABLE SALES-FOOD")</f>
        <v xml:space="preserve">          4153 - NON-TAXABLE SALES-FOOD</v>
      </c>
      <c r="C21" s="11"/>
      <c r="D21" s="2">
        <f>0</f>
        <v>0</v>
      </c>
      <c r="E21" s="2"/>
      <c r="F21" s="22"/>
      <c r="G21" s="2"/>
      <c r="H21" s="2"/>
      <c r="I21" s="2"/>
      <c r="J21" s="22"/>
      <c r="K21" s="2"/>
      <c r="L21" s="2">
        <f t="shared" si="0"/>
        <v>0</v>
      </c>
      <c r="M21" s="2"/>
      <c r="N21" s="22">
        <f t="shared" si="1"/>
        <v>0</v>
      </c>
      <c r="O21" s="11"/>
      <c r="P21" s="2">
        <f>--110</f>
        <v>110</v>
      </c>
      <c r="Q21" s="2"/>
      <c r="R21" s="22"/>
      <c r="S21" s="2"/>
      <c r="T21" s="2"/>
      <c r="U21" s="2"/>
      <c r="V21" s="22"/>
      <c r="W21" s="2"/>
      <c r="X21" s="2">
        <f t="shared" si="2"/>
        <v>110</v>
      </c>
      <c r="Y21" s="2"/>
      <c r="Z21" s="22">
        <f t="shared" si="3"/>
        <v>0</v>
      </c>
    </row>
    <row r="22" spans="1:26" x14ac:dyDescent="0.2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25">
      <c r="A23" s="10"/>
      <c r="B23" s="26" t="s">
        <v>8</v>
      </c>
      <c r="C23" s="10"/>
      <c r="D23" s="4">
        <f>SUM(OSRRefD16x_0)</f>
        <v>4487.45</v>
      </c>
      <c r="E23" s="4"/>
      <c r="F23" s="12">
        <f t="shared" ref="F23:F26" si="6">IF(D$12=0,0,D23/D$12)</f>
        <v>6.2178874576849862E-2</v>
      </c>
      <c r="G23" s="4"/>
      <c r="H23" s="4">
        <f>SUM(OSRRefH16x_0)</f>
        <v>15146</v>
      </c>
      <c r="I23" s="4"/>
      <c r="J23" s="12">
        <f t="shared" ref="J23:J26" si="7">IF(H$12=0,0,H23/H$12)</f>
        <v>0.40712864899736573</v>
      </c>
      <c r="K23" s="4"/>
      <c r="L23" s="4">
        <f t="shared" ref="L23:L26" si="8">+D23-H23</f>
        <v>-10658.55</v>
      </c>
      <c r="M23" s="4"/>
      <c r="N23" s="12">
        <f t="shared" ref="N23:N26" si="9">IF(H23=0,0,L23/H23)</f>
        <v>-0.70372045424534524</v>
      </c>
      <c r="O23" s="10"/>
      <c r="P23" s="4">
        <f>SUM(OSRRefP16x_0)</f>
        <v>27986.189999999995</v>
      </c>
      <c r="Q23" s="4"/>
      <c r="R23" s="12">
        <f t="shared" ref="R23:R26" si="10">IF(P$12=0,0,P23/P$12)</f>
        <v>0.14220591038222619</v>
      </c>
      <c r="S23" s="4"/>
      <c r="T23" s="4">
        <f>SUM(OSRRefT16x_0)</f>
        <v>108266</v>
      </c>
      <c r="U23" s="4"/>
      <c r="V23" s="12">
        <f t="shared" ref="V23:V26" si="11">IF(T$12=0,0,T23/T$12)</f>
        <v>0.39305279743255556</v>
      </c>
      <c r="W23" s="4"/>
      <c r="X23" s="4">
        <f t="shared" ref="X23:X26" si="12">+P23-T23</f>
        <v>-80279.81</v>
      </c>
      <c r="Y23" s="4"/>
      <c r="Z23" s="12">
        <f t="shared" ref="Z23:Z26" si="13">IF(T23=0,0,X23/T23)</f>
        <v>-0.74150527404725397</v>
      </c>
    </row>
    <row r="24" spans="1:26" s="24" customFormat="1" hidden="1" outlineLevel="1" x14ac:dyDescent="0.25">
      <c r="A24" s="51"/>
      <c r="B24" s="11" t="str">
        <f>CONCATENATE("          ", "5000", " - ", "PURCHASES @ COST")</f>
        <v xml:space="preserve">          5000 - PURCHASES @ COST</v>
      </c>
      <c r="C24" s="11"/>
      <c r="D24" s="2"/>
      <c r="E24" s="2"/>
      <c r="F24" s="22">
        <f t="shared" si="6"/>
        <v>0</v>
      </c>
      <c r="G24" s="2"/>
      <c r="H24" s="2">
        <v>15146</v>
      </c>
      <c r="I24" s="2"/>
      <c r="J24" s="22">
        <f t="shared" si="7"/>
        <v>0.40712864899736573</v>
      </c>
      <c r="K24" s="2"/>
      <c r="L24" s="2">
        <f t="shared" si="8"/>
        <v>-15146</v>
      </c>
      <c r="M24" s="2"/>
      <c r="N24" s="22">
        <f t="shared" si="9"/>
        <v>-1</v>
      </c>
      <c r="O24" s="11"/>
      <c r="P24" s="2"/>
      <c r="Q24" s="2"/>
      <c r="R24" s="22">
        <f t="shared" si="10"/>
        <v>0</v>
      </c>
      <c r="S24" s="2"/>
      <c r="T24" s="2">
        <v>108266</v>
      </c>
      <c r="U24" s="2"/>
      <c r="V24" s="22">
        <f t="shared" si="11"/>
        <v>0.39305279743255556</v>
      </c>
      <c r="W24" s="2"/>
      <c r="X24" s="2">
        <f t="shared" si="12"/>
        <v>-108266</v>
      </c>
      <c r="Y24" s="2"/>
      <c r="Z24" s="22">
        <f t="shared" si="13"/>
        <v>-1</v>
      </c>
    </row>
    <row r="25" spans="1:26" s="24" customFormat="1" hidden="1" outlineLevel="1" x14ac:dyDescent="0.25">
      <c r="A25" s="51"/>
      <c r="B25" s="11" t="str">
        <f>CONCATENATE("          ", "5053", " - ", "PURCHASES @ COST-FOOD")</f>
        <v xml:space="preserve">          5053 - PURCHASES @ COST-FOOD</v>
      </c>
      <c r="C25" s="11"/>
      <c r="D25" s="2">
        <v>2122.4499999999998</v>
      </c>
      <c r="E25" s="2"/>
      <c r="F25" s="22">
        <f t="shared" si="6"/>
        <v>2.9409030149781051E-2</v>
      </c>
      <c r="G25" s="2"/>
      <c r="H25" s="2"/>
      <c r="I25" s="2"/>
      <c r="J25" s="22">
        <f t="shared" si="7"/>
        <v>0</v>
      </c>
      <c r="K25" s="2"/>
      <c r="L25" s="2">
        <f t="shared" si="8"/>
        <v>2122.4499999999998</v>
      </c>
      <c r="M25" s="2"/>
      <c r="N25" s="22">
        <f t="shared" si="9"/>
        <v>0</v>
      </c>
      <c r="O25" s="11"/>
      <c r="P25" s="2">
        <v>10744.22</v>
      </c>
      <c r="Q25" s="2"/>
      <c r="R25" s="22">
        <f t="shared" si="10"/>
        <v>5.459448343797145E-2</v>
      </c>
      <c r="S25" s="2"/>
      <c r="T25" s="2"/>
      <c r="U25" s="2"/>
      <c r="V25" s="22">
        <f t="shared" si="11"/>
        <v>0</v>
      </c>
      <c r="W25" s="2"/>
      <c r="X25" s="2">
        <f t="shared" si="12"/>
        <v>10744.22</v>
      </c>
      <c r="Y25" s="2"/>
      <c r="Z25" s="22">
        <f t="shared" si="13"/>
        <v>0</v>
      </c>
    </row>
    <row r="26" spans="1:26" s="24" customFormat="1" hidden="1" outlineLevel="1" x14ac:dyDescent="0.25">
      <c r="A26" s="51"/>
      <c r="B26" s="11" t="str">
        <f>CONCATENATE("          ", "5059", " - ", "PURCHASES @ COST-FOOD")</f>
        <v xml:space="preserve">          5059 - PURCHASES @ COST-FOOD</v>
      </c>
      <c r="C26" s="11"/>
      <c r="D26" s="2">
        <v>2365</v>
      </c>
      <c r="E26" s="2"/>
      <c r="F26" s="22">
        <f t="shared" si="6"/>
        <v>3.276984442706881E-2</v>
      </c>
      <c r="G26" s="2"/>
      <c r="H26" s="2"/>
      <c r="I26" s="2"/>
      <c r="J26" s="22">
        <f t="shared" si="7"/>
        <v>0</v>
      </c>
      <c r="K26" s="2"/>
      <c r="L26" s="2">
        <f t="shared" si="8"/>
        <v>2365</v>
      </c>
      <c r="M26" s="2"/>
      <c r="N26" s="22">
        <f t="shared" si="9"/>
        <v>0</v>
      </c>
      <c r="O26" s="11"/>
      <c r="P26" s="2">
        <v>17241.969999999998</v>
      </c>
      <c r="Q26" s="2"/>
      <c r="R26" s="22">
        <f t="shared" si="10"/>
        <v>8.7611426944254736E-2</v>
      </c>
      <c r="S26" s="2"/>
      <c r="T26" s="2"/>
      <c r="U26" s="2"/>
      <c r="V26" s="22">
        <f t="shared" si="11"/>
        <v>0</v>
      </c>
      <c r="W26" s="2"/>
      <c r="X26" s="2">
        <f t="shared" si="12"/>
        <v>17241.969999999998</v>
      </c>
      <c r="Y26" s="2"/>
      <c r="Z26" s="22">
        <f t="shared" si="13"/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5" t="s">
        <v>6</v>
      </c>
      <c r="C28" s="25"/>
      <c r="D28" s="21">
        <f>D12-D23</f>
        <v>67682.559999999998</v>
      </c>
      <c r="E28" s="13"/>
      <c r="F28" s="19">
        <f>IF(D$12=0,0,D28/D$12)</f>
        <v>0.93782112542315021</v>
      </c>
      <c r="G28" s="13"/>
      <c r="H28" s="21">
        <f>H12-H23</f>
        <v>22056</v>
      </c>
      <c r="I28" s="13"/>
      <c r="J28" s="19">
        <f>IF(H$12=0,0,H28/H$12)</f>
        <v>0.59287135100263422</v>
      </c>
      <c r="K28" s="16"/>
      <c r="L28" s="21">
        <f>+D28-H28</f>
        <v>45626.559999999998</v>
      </c>
      <c r="M28" s="16"/>
      <c r="N28" s="19">
        <f>IF(H28=0,0,L28/H28)</f>
        <v>2.0686688429452302</v>
      </c>
      <c r="O28" s="26"/>
      <c r="P28" s="21">
        <f>P12-P23</f>
        <v>168814.28000000003</v>
      </c>
      <c r="Q28" s="13"/>
      <c r="R28" s="19">
        <f>IF(P$12=0,0,P28/P$12)</f>
        <v>0.85779408961777381</v>
      </c>
      <c r="S28" s="13"/>
      <c r="T28" s="21">
        <f>T12-T23</f>
        <v>167183</v>
      </c>
      <c r="U28" s="13"/>
      <c r="V28" s="19">
        <f>IF(T$12=0,0,T28/T$12)</f>
        <v>0.60694720256744439</v>
      </c>
      <c r="W28" s="16"/>
      <c r="X28" s="21">
        <f>+P28-T28</f>
        <v>1631.2800000000279</v>
      </c>
      <c r="Y28" s="16"/>
      <c r="Z28" s="19">
        <f>IF(T28=0,0,X28/T28)</f>
        <v>9.7574514155149023E-3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6" t="s">
        <v>9</v>
      </c>
      <c r="C30" s="10"/>
      <c r="D30" s="20">
        <f>SUM(OSRRefD22x_0)</f>
        <v>136040.57</v>
      </c>
      <c r="E30" s="20"/>
      <c r="F30" s="30">
        <f t="shared" ref="F30:F40" si="14">IF(D$12=0,0,D30/D$12)</f>
        <v>1.8850014015516974</v>
      </c>
      <c r="G30" s="20"/>
      <c r="H30" s="20">
        <f>SUM(OSRRefH22x_0)</f>
        <v>156765.31733090256</v>
      </c>
      <c r="I30" s="20"/>
      <c r="J30" s="30">
        <f t="shared" ref="J30:J40" si="15">IF(H$12=0,0,H30/H$12)</f>
        <v>4.2138948801382332</v>
      </c>
      <c r="K30" s="4"/>
      <c r="L30" s="20">
        <f t="shared" ref="L30:L40" si="16">+D30-H30</f>
        <v>-20724.747330902552</v>
      </c>
      <c r="M30" s="4"/>
      <c r="N30" s="30">
        <f t="shared" ref="N30:N40" si="17">IF(H30=0,0,L30/H30)</f>
        <v>-0.1322023753963158</v>
      </c>
      <c r="O30" s="10"/>
      <c r="P30" s="20">
        <f>SUM(OSRRefP22x_0)</f>
        <v>846853.37</v>
      </c>
      <c r="Q30" s="20"/>
      <c r="R30" s="30">
        <f t="shared" ref="R30:R40" si="18">IF(P$12=0,0,P30/P$12)</f>
        <v>4.3031064407518942</v>
      </c>
      <c r="S30" s="20"/>
      <c r="T30" s="20">
        <f>SUM(OSRRefT22x_0)</f>
        <v>957831.46844146145</v>
      </c>
      <c r="U30" s="20"/>
      <c r="V30" s="30">
        <f t="shared" ref="V30:V40" si="19">IF(T$12=0,0,T30/T$12)</f>
        <v>3.4773459640131619</v>
      </c>
      <c r="W30" s="4"/>
      <c r="X30" s="20">
        <f t="shared" ref="X30:X40" si="20">+P30-T30</f>
        <v>-110978.09844146145</v>
      </c>
      <c r="Y30" s="4"/>
      <c r="Z30" s="30">
        <f t="shared" ref="Z30:Z40" si="21">IF(T30=0,0,X30/T30)</f>
        <v>-0.11586390935979564</v>
      </c>
    </row>
    <row r="31" spans="1:26" s="28" customFormat="1" outlineLevel="1" collapsed="1" x14ac:dyDescent="0.25">
      <c r="A31" s="27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SUM(OSRRefD22_0x_0)</f>
        <v>20954.75</v>
      </c>
      <c r="E31" s="1"/>
      <c r="F31" s="5">
        <f t="shared" si="14"/>
        <v>0.29035259936918401</v>
      </c>
      <c r="G31" s="1"/>
      <c r="H31" s="1">
        <f>SUM(OSRRefH22_0x_0)</f>
        <v>19280.902305261538</v>
      </c>
      <c r="I31" s="1"/>
      <c r="J31" s="5">
        <f t="shared" si="15"/>
        <v>0.51827596111127194</v>
      </c>
      <c r="K31" s="1"/>
      <c r="L31" s="1">
        <f t="shared" si="16"/>
        <v>1673.8476947384625</v>
      </c>
      <c r="M31" s="1"/>
      <c r="N31" s="5">
        <f t="shared" si="17"/>
        <v>8.6813763600767202E-2</v>
      </c>
      <c r="O31" s="14"/>
      <c r="P31" s="1">
        <f>SUM(OSRRefP22_0x_0)</f>
        <v>166194.32999999999</v>
      </c>
      <c r="Q31" s="1"/>
      <c r="R31" s="5">
        <f t="shared" si="18"/>
        <v>0.84448136734632784</v>
      </c>
      <c r="S31" s="1"/>
      <c r="T31" s="1">
        <f>SUM(OSRRefT22_0x_0)</f>
        <v>126697.17744146156</v>
      </c>
      <c r="U31" s="1"/>
      <c r="V31" s="5">
        <f t="shared" si="19"/>
        <v>0.45996600982926628</v>
      </c>
      <c r="W31" s="1"/>
      <c r="X31" s="1">
        <f t="shared" si="20"/>
        <v>39497.152558538422</v>
      </c>
      <c r="Y31" s="1"/>
      <c r="Z31" s="5">
        <f t="shared" si="21"/>
        <v>0.31174453414155545</v>
      </c>
    </row>
    <row r="32" spans="1:26" s="24" customFormat="1" hidden="1" outlineLevel="2" x14ac:dyDescent="0.25">
      <c r="A32" s="29"/>
      <c r="B32" s="11" t="str">
        <f>CONCATENATE("          ", "6111", " - ", "F.I.C.A.")</f>
        <v xml:space="preserve">          6111 - F.I.C.A.</v>
      </c>
      <c r="C32" s="11"/>
      <c r="D32" s="7">
        <v>1575.88</v>
      </c>
      <c r="E32" s="2"/>
      <c r="F32" s="6">
        <f t="shared" si="14"/>
        <v>2.1835662763521859E-2</v>
      </c>
      <c r="G32" s="2"/>
      <c r="H32" s="7">
        <v>2306.5522695692307</v>
      </c>
      <c r="I32" s="2"/>
      <c r="J32" s="6">
        <f t="shared" si="15"/>
        <v>6.2000759893802236E-2</v>
      </c>
      <c r="K32" s="2"/>
      <c r="L32" s="7">
        <f t="shared" si="16"/>
        <v>-730.67226956923059</v>
      </c>
      <c r="M32" s="2"/>
      <c r="N32" s="6">
        <f t="shared" si="17"/>
        <v>-0.31678114526565238</v>
      </c>
      <c r="O32" s="11"/>
      <c r="P32" s="7">
        <v>19554.46</v>
      </c>
      <c r="Q32" s="2"/>
      <c r="R32" s="6">
        <f t="shared" si="18"/>
        <v>9.9361856198819015E-2</v>
      </c>
      <c r="S32" s="2"/>
      <c r="T32" s="7">
        <v>15871.671495000004</v>
      </c>
      <c r="U32" s="2"/>
      <c r="V32" s="6">
        <f t="shared" si="19"/>
        <v>5.7621089548337459E-2</v>
      </c>
      <c r="W32" s="2"/>
      <c r="X32" s="7">
        <f t="shared" si="20"/>
        <v>3682.788504999995</v>
      </c>
      <c r="Y32" s="2"/>
      <c r="Z32" s="6">
        <f t="shared" si="21"/>
        <v>0.23203532823623338</v>
      </c>
    </row>
    <row r="33" spans="1:26" s="24" customFormat="1" hidden="1" outlineLevel="2" x14ac:dyDescent="0.25">
      <c r="A33" s="29"/>
      <c r="B33" s="11" t="str">
        <f>CONCATENATE("          ", "6112", " - ", "COMPENSATION INSURANCE")</f>
        <v xml:space="preserve">          6112 - COMPENSATION INSURANCE</v>
      </c>
      <c r="C33" s="11"/>
      <c r="D33" s="7">
        <v>1146.3</v>
      </c>
      <c r="E33" s="2"/>
      <c r="F33" s="6">
        <f t="shared" si="14"/>
        <v>1.5883328823149672E-2</v>
      </c>
      <c r="G33" s="2"/>
      <c r="H33" s="7">
        <v>834.97385353846153</v>
      </c>
      <c r="I33" s="2"/>
      <c r="J33" s="6">
        <f t="shared" si="15"/>
        <v>2.2444327013022458E-2</v>
      </c>
      <c r="K33" s="2"/>
      <c r="L33" s="7">
        <f t="shared" si="16"/>
        <v>311.32614646153843</v>
      </c>
      <c r="M33" s="2"/>
      <c r="N33" s="6">
        <f t="shared" si="17"/>
        <v>0.37285735971515394</v>
      </c>
      <c r="O33" s="11"/>
      <c r="P33" s="7">
        <v>5787.37</v>
      </c>
      <c r="Q33" s="2"/>
      <c r="R33" s="6">
        <f t="shared" si="18"/>
        <v>2.9407297655335878E-2</v>
      </c>
      <c r="S33" s="2"/>
      <c r="T33" s="7">
        <v>5706.1410480000004</v>
      </c>
      <c r="U33" s="2"/>
      <c r="V33" s="6">
        <f t="shared" si="19"/>
        <v>2.0715780590962393E-2</v>
      </c>
      <c r="W33" s="2"/>
      <c r="X33" s="7">
        <f t="shared" si="20"/>
        <v>81.228951999999481</v>
      </c>
      <c r="Y33" s="2"/>
      <c r="Z33" s="6">
        <f t="shared" si="21"/>
        <v>1.4235356489911897E-2</v>
      </c>
    </row>
    <row r="34" spans="1:26" s="24" customFormat="1" hidden="1" outlineLevel="2" x14ac:dyDescent="0.25">
      <c r="A34" s="29"/>
      <c r="B34" s="11" t="str">
        <f>CONCATENATE("          ", "6113", " - ", "GROUP INSURANCE")</f>
        <v xml:space="preserve">          6113 - GROUP INSURANCE</v>
      </c>
      <c r="C34" s="11"/>
      <c r="D34" s="7">
        <v>11290.38</v>
      </c>
      <c r="E34" s="2"/>
      <c r="F34" s="6">
        <f t="shared" si="14"/>
        <v>0.15644143599259583</v>
      </c>
      <c r="G34" s="2"/>
      <c r="H34" s="7">
        <v>10490.07692307692</v>
      </c>
      <c r="I34" s="2"/>
      <c r="J34" s="6">
        <f t="shared" si="15"/>
        <v>0.28197615512813612</v>
      </c>
      <c r="K34" s="2"/>
      <c r="L34" s="7">
        <f t="shared" si="16"/>
        <v>800.30307692307906</v>
      </c>
      <c r="M34" s="2"/>
      <c r="N34" s="6">
        <f t="shared" si="17"/>
        <v>7.6291440262226062E-2</v>
      </c>
      <c r="O34" s="11"/>
      <c r="P34" s="7">
        <v>78999.570000000007</v>
      </c>
      <c r="Q34" s="2"/>
      <c r="R34" s="6">
        <f t="shared" si="18"/>
        <v>0.40141962059338576</v>
      </c>
      <c r="S34" s="2"/>
      <c r="T34" s="7">
        <v>67920.461538461532</v>
      </c>
      <c r="U34" s="2"/>
      <c r="V34" s="6">
        <f t="shared" si="19"/>
        <v>0.24658089714778972</v>
      </c>
      <c r="W34" s="2"/>
      <c r="X34" s="7">
        <f t="shared" si="20"/>
        <v>11079.108461538475</v>
      </c>
      <c r="Y34" s="2"/>
      <c r="Z34" s="6">
        <f t="shared" si="21"/>
        <v>0.1631188630139781</v>
      </c>
    </row>
    <row r="35" spans="1:26" s="24" customFormat="1" hidden="1" outlineLevel="2" x14ac:dyDescent="0.25">
      <c r="A35" s="29"/>
      <c r="B35" s="11" t="str">
        <f>CONCATENATE("          ", "6114", " - ", "STATE UNEMPLOYMENT INSURANCE")</f>
        <v xml:space="preserve">          6114 - STATE UNEMPLOYMENT INSURANCE</v>
      </c>
      <c r="C35" s="11"/>
      <c r="D35" s="7"/>
      <c r="E35" s="2"/>
      <c r="F35" s="6">
        <f t="shared" si="14"/>
        <v>0</v>
      </c>
      <c r="G35" s="2"/>
      <c r="H35" s="7">
        <v>104.899056</v>
      </c>
      <c r="I35" s="2"/>
      <c r="J35" s="6">
        <f t="shared" si="15"/>
        <v>2.8197154991667114E-3</v>
      </c>
      <c r="K35" s="2"/>
      <c r="L35" s="7">
        <f t="shared" si="16"/>
        <v>-104.899056</v>
      </c>
      <c r="M35" s="2"/>
      <c r="N35" s="6">
        <f t="shared" si="17"/>
        <v>-1</v>
      </c>
      <c r="O35" s="11"/>
      <c r="P35" s="7">
        <v>640.41999999999996</v>
      </c>
      <c r="Q35" s="2"/>
      <c r="R35" s="6">
        <f t="shared" si="18"/>
        <v>3.2541588950473536E-3</v>
      </c>
      <c r="S35" s="2"/>
      <c r="T35" s="7">
        <v>699.05524000000003</v>
      </c>
      <c r="U35" s="2"/>
      <c r="V35" s="6">
        <f t="shared" si="19"/>
        <v>2.537875396171342E-3</v>
      </c>
      <c r="W35" s="2"/>
      <c r="X35" s="7">
        <f t="shared" si="20"/>
        <v>-58.635240000000067</v>
      </c>
      <c r="Y35" s="2"/>
      <c r="Z35" s="6">
        <f t="shared" si="21"/>
        <v>-8.3877834890415906E-2</v>
      </c>
    </row>
    <row r="36" spans="1:26" s="24" customFormat="1" hidden="1" outlineLevel="2" x14ac:dyDescent="0.25">
      <c r="A36" s="29"/>
      <c r="B36" s="11" t="str">
        <f>CONCATENATE("          ", "6115", " - ", "P.E.R.S.")</f>
        <v xml:space="preserve">          6115 - P.E.R.S.</v>
      </c>
      <c r="C36" s="11"/>
      <c r="D36" s="7">
        <v>2748.35</v>
      </c>
      <c r="E36" s="2"/>
      <c r="F36" s="6">
        <f t="shared" si="14"/>
        <v>3.8081607581875079E-2</v>
      </c>
      <c r="G36" s="2"/>
      <c r="H36" s="7">
        <v>2222.5677261538458</v>
      </c>
      <c r="I36" s="2"/>
      <c r="J36" s="6">
        <f t="shared" si="15"/>
        <v>5.9743232249713611E-2</v>
      </c>
      <c r="K36" s="2"/>
      <c r="L36" s="7">
        <f t="shared" si="16"/>
        <v>525.78227384615411</v>
      </c>
      <c r="M36" s="2"/>
      <c r="N36" s="6">
        <f t="shared" si="17"/>
        <v>0.23656524283110172</v>
      </c>
      <c r="O36" s="11"/>
      <c r="P36" s="7">
        <v>25789.769999999997</v>
      </c>
      <c r="Q36" s="2"/>
      <c r="R36" s="6">
        <f t="shared" si="18"/>
        <v>0.13104526630449609</v>
      </c>
      <c r="S36" s="2"/>
      <c r="T36" s="7">
        <v>14446.690220000004</v>
      </c>
      <c r="U36" s="2"/>
      <c r="V36" s="6">
        <f t="shared" si="19"/>
        <v>5.244778605113834E-2</v>
      </c>
      <c r="W36" s="2"/>
      <c r="X36" s="7">
        <f t="shared" si="20"/>
        <v>11343.079779999993</v>
      </c>
      <c r="Y36" s="2"/>
      <c r="Z36" s="6">
        <f t="shared" si="21"/>
        <v>0.78516806322161103</v>
      </c>
    </row>
    <row r="37" spans="1:26" s="24" customFormat="1" hidden="1" outlineLevel="2" x14ac:dyDescent="0.25">
      <c r="A37" s="29"/>
      <c r="B37" s="11" t="str">
        <f>CONCATENATE("          ", "6116", " - ", "EDUCATIONAL BENEFITS")</f>
        <v xml:space="preserve">          6116 - EDUCATIONAL BENEFITS</v>
      </c>
      <c r="C37" s="11"/>
      <c r="D37" s="7"/>
      <c r="E37" s="2"/>
      <c r="F37" s="6">
        <f t="shared" si="14"/>
        <v>0</v>
      </c>
      <c r="G37" s="2"/>
      <c r="H37" s="7">
        <v>0</v>
      </c>
      <c r="I37" s="2"/>
      <c r="J37" s="6">
        <f t="shared" si="15"/>
        <v>0</v>
      </c>
      <c r="K37" s="2"/>
      <c r="L37" s="7">
        <f t="shared" si="16"/>
        <v>0</v>
      </c>
      <c r="M37" s="2"/>
      <c r="N37" s="6">
        <f t="shared" si="17"/>
        <v>0</v>
      </c>
      <c r="O37" s="11"/>
      <c r="P37" s="7"/>
      <c r="Q37" s="2"/>
      <c r="R37" s="6">
        <f t="shared" si="18"/>
        <v>0</v>
      </c>
      <c r="S37" s="2"/>
      <c r="T37" s="7">
        <v>0</v>
      </c>
      <c r="U37" s="2"/>
      <c r="V37" s="6">
        <f t="shared" si="19"/>
        <v>0</v>
      </c>
      <c r="W37" s="2"/>
      <c r="X37" s="7">
        <f t="shared" si="20"/>
        <v>0</v>
      </c>
      <c r="Y37" s="2"/>
      <c r="Z37" s="6">
        <f t="shared" si="21"/>
        <v>0</v>
      </c>
    </row>
    <row r="38" spans="1:26" s="24" customFormat="1" hidden="1" outlineLevel="2" x14ac:dyDescent="0.25">
      <c r="A38" s="29"/>
      <c r="B38" s="11" t="str">
        <f>CONCATENATE("          ", "6118", " - ", "VACATION")</f>
        <v xml:space="preserve">          6118 - VACATION</v>
      </c>
      <c r="C38" s="11"/>
      <c r="D38" s="7">
        <v>2400.38</v>
      </c>
      <c r="E38" s="2"/>
      <c r="F38" s="6">
        <f t="shared" si="14"/>
        <v>3.3260075757229356E-2</v>
      </c>
      <c r="G38" s="2"/>
      <c r="H38" s="7">
        <v>1833.2120769230801</v>
      </c>
      <c r="I38" s="2"/>
      <c r="J38" s="6">
        <f t="shared" si="15"/>
        <v>4.9277245226683516E-2</v>
      </c>
      <c r="K38" s="2"/>
      <c r="L38" s="7">
        <f t="shared" si="16"/>
        <v>567.16792307692003</v>
      </c>
      <c r="M38" s="2"/>
      <c r="N38" s="6">
        <f t="shared" si="17"/>
        <v>0.30938478434468547</v>
      </c>
      <c r="O38" s="11"/>
      <c r="P38" s="7">
        <v>19471.3</v>
      </c>
      <c r="Q38" s="2"/>
      <c r="R38" s="6">
        <f t="shared" si="18"/>
        <v>9.8939296232371785E-2</v>
      </c>
      <c r="S38" s="2"/>
      <c r="T38" s="7">
        <v>12257.83850000002</v>
      </c>
      <c r="U38" s="2"/>
      <c r="V38" s="6">
        <f t="shared" si="19"/>
        <v>4.4501299696132569E-2</v>
      </c>
      <c r="W38" s="2"/>
      <c r="X38" s="7">
        <f t="shared" si="20"/>
        <v>7213.4614999999794</v>
      </c>
      <c r="Y38" s="2"/>
      <c r="Z38" s="6">
        <f t="shared" si="21"/>
        <v>0.58847744649270484</v>
      </c>
    </row>
    <row r="39" spans="1:26" s="24" customFormat="1" hidden="1" outlineLevel="2" x14ac:dyDescent="0.25">
      <c r="A39" s="29"/>
      <c r="B39" s="11" t="str">
        <f>CONCATENATE("          ", "6119", " - ", "SICK LEAVE")</f>
        <v xml:space="preserve">          6119 - SICK LEAVE</v>
      </c>
      <c r="C39" s="11"/>
      <c r="D39" s="7">
        <v>1368.1</v>
      </c>
      <c r="E39" s="2"/>
      <c r="F39" s="6">
        <f t="shared" si="14"/>
        <v>1.8956627552081537E-2</v>
      </c>
      <c r="G39" s="2"/>
      <c r="H39" s="7">
        <v>963.62040000000002</v>
      </c>
      <c r="I39" s="2"/>
      <c r="J39" s="6">
        <f t="shared" si="15"/>
        <v>2.5902381592387506E-2</v>
      </c>
      <c r="K39" s="2"/>
      <c r="L39" s="7">
        <f t="shared" si="16"/>
        <v>404.47959999999989</v>
      </c>
      <c r="M39" s="2"/>
      <c r="N39" s="6">
        <f t="shared" si="17"/>
        <v>0.41974993472533362</v>
      </c>
      <c r="O39" s="11"/>
      <c r="P39" s="7">
        <v>11806.74</v>
      </c>
      <c r="Q39" s="2"/>
      <c r="R39" s="6">
        <f t="shared" si="18"/>
        <v>5.9993454283925225E-2</v>
      </c>
      <c r="S39" s="2"/>
      <c r="T39" s="7">
        <v>6645.3194000000003</v>
      </c>
      <c r="U39" s="2"/>
      <c r="V39" s="6">
        <f t="shared" si="19"/>
        <v>2.4125407607215855E-2</v>
      </c>
      <c r="W39" s="2"/>
      <c r="X39" s="7">
        <f t="shared" si="20"/>
        <v>5161.4205999999995</v>
      </c>
      <c r="Y39" s="2"/>
      <c r="Z39" s="6">
        <f t="shared" si="21"/>
        <v>0.77670015379546686</v>
      </c>
    </row>
    <row r="40" spans="1:26" s="24" customFormat="1" hidden="1" outlineLevel="2" x14ac:dyDescent="0.25">
      <c r="A40" s="29"/>
      <c r="B40" s="11" t="str">
        <f>CONCATENATE("          ", "6156", " - ", "EMPLOYEE MEALS")</f>
        <v xml:space="preserve">          6156 - EMPLOYEE MEALS</v>
      </c>
      <c r="C40" s="11"/>
      <c r="D40" s="7">
        <v>425.36</v>
      </c>
      <c r="E40" s="2"/>
      <c r="F40" s="6">
        <f t="shared" si="14"/>
        <v>5.8938608987306506E-3</v>
      </c>
      <c r="G40" s="2"/>
      <c r="H40" s="7">
        <v>525</v>
      </c>
      <c r="I40" s="2"/>
      <c r="J40" s="6">
        <f t="shared" si="15"/>
        <v>1.4112144508359766E-2</v>
      </c>
      <c r="K40" s="2"/>
      <c r="L40" s="7">
        <f t="shared" si="16"/>
        <v>-99.639999999999986</v>
      </c>
      <c r="M40" s="2"/>
      <c r="N40" s="6">
        <f t="shared" si="17"/>
        <v>-0.18979047619047618</v>
      </c>
      <c r="O40" s="11"/>
      <c r="P40" s="7">
        <v>4144.7</v>
      </c>
      <c r="Q40" s="2"/>
      <c r="R40" s="6">
        <f t="shared" si="18"/>
        <v>2.1060417182946763E-2</v>
      </c>
      <c r="S40" s="2"/>
      <c r="T40" s="7">
        <v>3150</v>
      </c>
      <c r="U40" s="2"/>
      <c r="V40" s="6">
        <f t="shared" si="19"/>
        <v>1.1435873791518576E-2</v>
      </c>
      <c r="W40" s="2"/>
      <c r="X40" s="7">
        <f t="shared" si="20"/>
        <v>994.69999999999982</v>
      </c>
      <c r="Y40" s="2"/>
      <c r="Z40" s="6">
        <f t="shared" si="21"/>
        <v>0.31577777777777771</v>
      </c>
    </row>
    <row r="41" spans="1:26" s="28" customFormat="1" outlineLevel="1" collapsed="1" x14ac:dyDescent="0.25">
      <c r="A41" s="27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24458.49</v>
      </c>
      <c r="E41" s="1"/>
      <c r="F41" s="5">
        <f t="shared" ref="F41:F51" si="22">IF(D$12=0,0,D41/D$12)</f>
        <v>0.33890101996660388</v>
      </c>
      <c r="G41" s="1"/>
      <c r="H41" s="1">
        <f>SUM(OSRRefH22_1x_0)</f>
        <v>37623.081692307693</v>
      </c>
      <c r="I41" s="1"/>
      <c r="J41" s="5">
        <f t="shared" ref="J41:J51" si="23">IF(H$12=0,0,H41/H$12)</f>
        <v>1.0113187917936588</v>
      </c>
      <c r="K41" s="1"/>
      <c r="L41" s="1">
        <f t="shared" ref="L41:L51" si="24">+D41-H41</f>
        <v>-13164.591692307691</v>
      </c>
      <c r="M41" s="1"/>
      <c r="N41" s="5">
        <f t="shared" ref="N41:N51" si="25">IF(H41=0,0,L41/H41)</f>
        <v>-0.3499073201916707</v>
      </c>
      <c r="O41" s="14"/>
      <c r="P41" s="1">
        <f>SUM(OSRRefP22_1x_0)</f>
        <v>220892.04</v>
      </c>
      <c r="Q41" s="1"/>
      <c r="R41" s="5">
        <f t="shared" ref="R41:R51" si="26">IF(P$12=0,0,P41/P$12)</f>
        <v>1.1224162218718277</v>
      </c>
      <c r="S41" s="1"/>
      <c r="T41" s="1">
        <f>SUM(OSRRefT22_1x_0)</f>
        <v>250594.29099999997</v>
      </c>
      <c r="U41" s="1"/>
      <c r="V41" s="5">
        <f t="shared" ref="V41:V51" si="27">IF(T$12=0,0,T41/T$12)</f>
        <v>0.9097665665876441</v>
      </c>
      <c r="W41" s="1"/>
      <c r="X41" s="1">
        <f t="shared" ref="X41:X51" si="28">+P41-T41</f>
        <v>-29702.25099999996</v>
      </c>
      <c r="Y41" s="1"/>
      <c r="Z41" s="5">
        <f t="shared" ref="Z41:Z51" si="29">IF(T41=0,0,X41/T41)</f>
        <v>-0.11852724529945483</v>
      </c>
    </row>
    <row r="42" spans="1:26" s="24" customFormat="1" hidden="1" outlineLevel="2" x14ac:dyDescent="0.25">
      <c r="A42" s="29"/>
      <c r="B42" s="11" t="str">
        <f>CONCATENATE("          ", "6001", " - ", "ADMINISTRATIVE SALARIES")</f>
        <v xml:space="preserve">          6001 - ADMINISTRATIVE SALARIES</v>
      </c>
      <c r="C42" s="11"/>
      <c r="D42" s="7">
        <v>8855.42</v>
      </c>
      <c r="E42" s="2"/>
      <c r="F42" s="6">
        <f t="shared" si="22"/>
        <v>0.12270221384201001</v>
      </c>
      <c r="G42" s="2"/>
      <c r="H42" s="7">
        <v>15250.00769230769</v>
      </c>
      <c r="I42" s="2"/>
      <c r="J42" s="6">
        <f t="shared" si="23"/>
        <v>0.40992440439513173</v>
      </c>
      <c r="K42" s="2"/>
      <c r="L42" s="7">
        <f t="shared" si="24"/>
        <v>-6394.5876923076903</v>
      </c>
      <c r="M42" s="2"/>
      <c r="N42" s="6">
        <f t="shared" si="25"/>
        <v>-0.4193170142158818</v>
      </c>
      <c r="O42" s="11"/>
      <c r="P42" s="7">
        <v>62679.80000000001</v>
      </c>
      <c r="Q42" s="2"/>
      <c r="R42" s="6">
        <f t="shared" si="26"/>
        <v>0.31849415806781356</v>
      </c>
      <c r="S42" s="2"/>
      <c r="T42" s="7">
        <v>99125.049999999959</v>
      </c>
      <c r="U42" s="2"/>
      <c r="V42" s="6">
        <f t="shared" si="27"/>
        <v>0.359867162342212</v>
      </c>
      <c r="W42" s="2"/>
      <c r="X42" s="7">
        <f t="shared" si="28"/>
        <v>-36445.249999999949</v>
      </c>
      <c r="Y42" s="2"/>
      <c r="Z42" s="6">
        <f t="shared" si="29"/>
        <v>-0.36766942362198013</v>
      </c>
    </row>
    <row r="43" spans="1:26" s="24" customFormat="1" hidden="1" outlineLevel="2" x14ac:dyDescent="0.25">
      <c r="A43" s="29"/>
      <c r="B43" s="11" t="str">
        <f>CONCATENATE("          ", "6002", " - ", "STAFF SALARIES")</f>
        <v xml:space="preserve">          6002 - STAFF SALARIES</v>
      </c>
      <c r="C43" s="11"/>
      <c r="D43" s="7">
        <v>12942.91</v>
      </c>
      <c r="E43" s="2"/>
      <c r="F43" s="6">
        <f t="shared" si="22"/>
        <v>0.17933917426365883</v>
      </c>
      <c r="G43" s="2"/>
      <c r="H43" s="7">
        <v>8287.7219999999998</v>
      </c>
      <c r="I43" s="2"/>
      <c r="J43" s="6">
        <f t="shared" si="23"/>
        <v>0.22277624858878553</v>
      </c>
      <c r="K43" s="2"/>
      <c r="L43" s="7">
        <f t="shared" si="24"/>
        <v>4655.1880000000001</v>
      </c>
      <c r="M43" s="2"/>
      <c r="N43" s="6">
        <f t="shared" si="25"/>
        <v>0.56169692950608141</v>
      </c>
      <c r="O43" s="11"/>
      <c r="P43" s="7">
        <v>132749.22999999998</v>
      </c>
      <c r="Q43" s="2"/>
      <c r="R43" s="6">
        <f t="shared" si="26"/>
        <v>0.67453715938788139</v>
      </c>
      <c r="S43" s="2"/>
      <c r="T43" s="7">
        <v>53870.192999999999</v>
      </c>
      <c r="U43" s="2"/>
      <c r="V43" s="6">
        <f t="shared" si="27"/>
        <v>0.19557229468976109</v>
      </c>
      <c r="W43" s="2"/>
      <c r="X43" s="7">
        <f t="shared" si="28"/>
        <v>78879.036999999982</v>
      </c>
      <c r="Y43" s="2"/>
      <c r="Z43" s="6">
        <f t="shared" si="29"/>
        <v>1.4642427028245468</v>
      </c>
    </row>
    <row r="44" spans="1:26" s="24" customFormat="1" hidden="1" outlineLevel="2" x14ac:dyDescent="0.25">
      <c r="A44" s="29"/>
      <c r="B44" s="11" t="str">
        <f>CONCATENATE("          ", "6003", " - ", "STAFF HOURLY-9 MONTH")</f>
        <v xml:space="preserve">          6003 - STAFF HOURLY-9 MONTH</v>
      </c>
      <c r="C44" s="11"/>
      <c r="D44" s="7"/>
      <c r="E44" s="2"/>
      <c r="F44" s="6">
        <f t="shared" si="22"/>
        <v>0</v>
      </c>
      <c r="G44" s="2"/>
      <c r="H44" s="7">
        <v>0</v>
      </c>
      <c r="I44" s="2"/>
      <c r="J44" s="6">
        <f t="shared" si="23"/>
        <v>0</v>
      </c>
      <c r="K44" s="2"/>
      <c r="L44" s="7">
        <f t="shared" si="24"/>
        <v>0</v>
      </c>
      <c r="M44" s="2"/>
      <c r="N44" s="6">
        <f t="shared" si="25"/>
        <v>0</v>
      </c>
      <c r="O44" s="11"/>
      <c r="P44" s="7"/>
      <c r="Q44" s="2"/>
      <c r="R44" s="6">
        <f t="shared" si="26"/>
        <v>0</v>
      </c>
      <c r="S44" s="2"/>
      <c r="T44" s="7">
        <v>0</v>
      </c>
      <c r="U44" s="2"/>
      <c r="V44" s="6">
        <f t="shared" si="27"/>
        <v>0</v>
      </c>
      <c r="W44" s="2"/>
      <c r="X44" s="7">
        <f t="shared" si="28"/>
        <v>0</v>
      </c>
      <c r="Y44" s="2"/>
      <c r="Z44" s="6">
        <f t="shared" si="29"/>
        <v>0</v>
      </c>
    </row>
    <row r="45" spans="1:26" s="24" customFormat="1" hidden="1" outlineLevel="2" x14ac:dyDescent="0.25">
      <c r="A45" s="29"/>
      <c r="B45" s="11" t="str">
        <f>CONCATENATE("          ", "6004", " - ", "STAFF HOURLY")</f>
        <v xml:space="preserve">          6004 - STAFF HOURLY</v>
      </c>
      <c r="C45" s="11"/>
      <c r="D45" s="7">
        <v>2426.3000000000002</v>
      </c>
      <c r="E45" s="2"/>
      <c r="F45" s="6">
        <f t="shared" si="22"/>
        <v>3.3619227709681627E-2</v>
      </c>
      <c r="G45" s="2"/>
      <c r="H45" s="7">
        <v>4097.62</v>
      </c>
      <c r="I45" s="2"/>
      <c r="J45" s="6">
        <f t="shared" si="23"/>
        <v>0.1101451534863717</v>
      </c>
      <c r="K45" s="2"/>
      <c r="L45" s="7">
        <f t="shared" si="24"/>
        <v>-1671.3199999999997</v>
      </c>
      <c r="M45" s="2"/>
      <c r="N45" s="6">
        <f t="shared" si="25"/>
        <v>-0.40787579131300605</v>
      </c>
      <c r="O45" s="11"/>
      <c r="P45" s="7">
        <v>20524.63</v>
      </c>
      <c r="Q45" s="2"/>
      <c r="R45" s="6">
        <f t="shared" si="26"/>
        <v>0.10429157003537642</v>
      </c>
      <c r="S45" s="2"/>
      <c r="T45" s="7">
        <v>34135.369999999995</v>
      </c>
      <c r="U45" s="2"/>
      <c r="V45" s="6">
        <f t="shared" si="27"/>
        <v>0.12392628036406012</v>
      </c>
      <c r="W45" s="2"/>
      <c r="X45" s="7">
        <f t="shared" si="28"/>
        <v>-13610.739999999994</v>
      </c>
      <c r="Y45" s="2"/>
      <c r="Z45" s="6">
        <f t="shared" si="29"/>
        <v>-0.39872835712634713</v>
      </c>
    </row>
    <row r="46" spans="1:26" s="24" customFormat="1" hidden="1" outlineLevel="2" x14ac:dyDescent="0.25">
      <c r="A46" s="29"/>
      <c r="B46" s="11" t="str">
        <f>CONCATENATE("          ", "6005", " - ", "TEMPORARY WAGES-HOURLY")</f>
        <v xml:space="preserve">          6005 - TEMPORARY WAGES-HOURLY</v>
      </c>
      <c r="C46" s="11"/>
      <c r="D46" s="7">
        <v>233.86</v>
      </c>
      <c r="E46" s="2"/>
      <c r="F46" s="6">
        <f t="shared" si="22"/>
        <v>3.2404041512534088E-3</v>
      </c>
      <c r="G46" s="2"/>
      <c r="H46" s="7">
        <v>4488.8919999999998</v>
      </c>
      <c r="I46" s="2"/>
      <c r="J46" s="6">
        <f t="shared" si="23"/>
        <v>0.12066265254556206</v>
      </c>
      <c r="K46" s="2"/>
      <c r="L46" s="7">
        <f t="shared" si="24"/>
        <v>-4255.0320000000002</v>
      </c>
      <c r="M46" s="2"/>
      <c r="N46" s="6">
        <f t="shared" si="25"/>
        <v>-0.94790251135469517</v>
      </c>
      <c r="O46" s="11"/>
      <c r="P46" s="7">
        <v>4868.67</v>
      </c>
      <c r="Q46" s="2"/>
      <c r="R46" s="6">
        <f t="shared" si="26"/>
        <v>2.4739117747025703E-2</v>
      </c>
      <c r="S46" s="2"/>
      <c r="T46" s="7">
        <v>28299.518</v>
      </c>
      <c r="U46" s="2"/>
      <c r="V46" s="6">
        <f t="shared" si="27"/>
        <v>0.10273959244724069</v>
      </c>
      <c r="W46" s="2"/>
      <c r="X46" s="7">
        <f t="shared" si="28"/>
        <v>-23430.847999999998</v>
      </c>
      <c r="Y46" s="2"/>
      <c r="Z46" s="6">
        <f t="shared" si="29"/>
        <v>-0.82795926064889158</v>
      </c>
    </row>
    <row r="47" spans="1:26" s="24" customFormat="1" hidden="1" outlineLevel="2" x14ac:dyDescent="0.25">
      <c r="A47" s="29"/>
      <c r="B47" s="11" t="str">
        <f>CONCATENATE("          ", "6006", " - ", "TEMPORARY PART TIME")</f>
        <v xml:space="preserve">          6006 - TEMPORARY PART TIME</v>
      </c>
      <c r="C47" s="11"/>
      <c r="D47" s="7"/>
      <c r="E47" s="2"/>
      <c r="F47" s="6">
        <f t="shared" si="22"/>
        <v>0</v>
      </c>
      <c r="G47" s="2"/>
      <c r="H47" s="7">
        <v>0</v>
      </c>
      <c r="I47" s="2"/>
      <c r="J47" s="6">
        <f t="shared" si="23"/>
        <v>0</v>
      </c>
      <c r="K47" s="2"/>
      <c r="L47" s="7">
        <f t="shared" si="24"/>
        <v>0</v>
      </c>
      <c r="M47" s="2"/>
      <c r="N47" s="6">
        <f t="shared" si="25"/>
        <v>0</v>
      </c>
      <c r="O47" s="11"/>
      <c r="P47" s="7"/>
      <c r="Q47" s="2"/>
      <c r="R47" s="6">
        <f t="shared" si="26"/>
        <v>0</v>
      </c>
      <c r="S47" s="2"/>
      <c r="T47" s="7">
        <v>0</v>
      </c>
      <c r="U47" s="2"/>
      <c r="V47" s="6">
        <f t="shared" si="27"/>
        <v>0</v>
      </c>
      <c r="W47" s="2"/>
      <c r="X47" s="7">
        <f t="shared" si="28"/>
        <v>0</v>
      </c>
      <c r="Y47" s="2"/>
      <c r="Z47" s="6">
        <f t="shared" si="29"/>
        <v>0</v>
      </c>
    </row>
    <row r="48" spans="1:26" s="24" customFormat="1" hidden="1" outlineLevel="2" x14ac:dyDescent="0.25">
      <c r="A48" s="29"/>
      <c r="B48" s="11" t="str">
        <f>CONCATENATE("          ", "6007", " - ", "STUDENT HOURLY")</f>
        <v xml:space="preserve">          6007 - STUDENT HOURLY</v>
      </c>
      <c r="C48" s="11"/>
      <c r="D48" s="7"/>
      <c r="E48" s="2"/>
      <c r="F48" s="6">
        <f t="shared" si="22"/>
        <v>0</v>
      </c>
      <c r="G48" s="2"/>
      <c r="H48" s="7">
        <v>0</v>
      </c>
      <c r="I48" s="2"/>
      <c r="J48" s="6">
        <f t="shared" si="23"/>
        <v>0</v>
      </c>
      <c r="K48" s="2"/>
      <c r="L48" s="7">
        <f t="shared" si="24"/>
        <v>0</v>
      </c>
      <c r="M48" s="2"/>
      <c r="N48" s="6">
        <f t="shared" si="25"/>
        <v>0</v>
      </c>
      <c r="O48" s="11"/>
      <c r="P48" s="7">
        <v>69.709999999999994</v>
      </c>
      <c r="Q48" s="2"/>
      <c r="R48" s="6">
        <f t="shared" si="26"/>
        <v>3.5421663373060025E-4</v>
      </c>
      <c r="S48" s="2"/>
      <c r="T48" s="7">
        <v>3202.94</v>
      </c>
      <c r="U48" s="2"/>
      <c r="V48" s="6">
        <f t="shared" si="27"/>
        <v>1.1628069079938573E-2</v>
      </c>
      <c r="W48" s="2"/>
      <c r="X48" s="7">
        <f t="shared" si="28"/>
        <v>-3133.23</v>
      </c>
      <c r="Y48" s="2"/>
      <c r="Z48" s="6">
        <f t="shared" si="29"/>
        <v>-0.97823562102318495</v>
      </c>
    </row>
    <row r="49" spans="1:26" s="24" customFormat="1" hidden="1" outlineLevel="2" x14ac:dyDescent="0.25">
      <c r="A49" s="29"/>
      <c r="B49" s="11" t="str">
        <f>CONCATENATE("          ", "6008", " - ", "STUDENT HOURLY-FICA EXEMPT")</f>
        <v xml:space="preserve">          6008 - STUDENT HOURLY-FICA EXEMPT</v>
      </c>
      <c r="C49" s="11"/>
      <c r="D49" s="7"/>
      <c r="E49" s="2"/>
      <c r="F49" s="6">
        <f t="shared" si="22"/>
        <v>0</v>
      </c>
      <c r="G49" s="2"/>
      <c r="H49" s="7">
        <v>5498.84</v>
      </c>
      <c r="I49" s="2"/>
      <c r="J49" s="6">
        <f t="shared" si="23"/>
        <v>0.14781033277780764</v>
      </c>
      <c r="K49" s="2"/>
      <c r="L49" s="7">
        <f t="shared" si="24"/>
        <v>-5498.84</v>
      </c>
      <c r="M49" s="2"/>
      <c r="N49" s="6">
        <f t="shared" si="25"/>
        <v>-1</v>
      </c>
      <c r="O49" s="11"/>
      <c r="P49" s="7"/>
      <c r="Q49" s="2"/>
      <c r="R49" s="6">
        <f t="shared" si="26"/>
        <v>0</v>
      </c>
      <c r="S49" s="2"/>
      <c r="T49" s="7">
        <v>31961.219999999998</v>
      </c>
      <c r="U49" s="2"/>
      <c r="V49" s="6">
        <f t="shared" si="27"/>
        <v>0.11603316766443152</v>
      </c>
      <c r="W49" s="2"/>
      <c r="X49" s="7">
        <f t="shared" si="28"/>
        <v>-31961.219999999998</v>
      </c>
      <c r="Y49" s="2"/>
      <c r="Z49" s="6">
        <f t="shared" si="29"/>
        <v>-1</v>
      </c>
    </row>
    <row r="50" spans="1:26" s="24" customFormat="1" hidden="1" outlineLevel="2" x14ac:dyDescent="0.25">
      <c r="A50" s="29"/>
      <c r="B50" s="11" t="str">
        <f>CONCATENATE("          ", "6009", " - ", "TEMPORARY-SEASONAL")</f>
        <v xml:space="preserve">          6009 - TEMPORARY-SEASONAL</v>
      </c>
      <c r="C50" s="11"/>
      <c r="D50" s="7"/>
      <c r="E50" s="2"/>
      <c r="F50" s="6">
        <f t="shared" si="22"/>
        <v>0</v>
      </c>
      <c r="G50" s="2"/>
      <c r="H50" s="7">
        <v>0</v>
      </c>
      <c r="I50" s="2"/>
      <c r="J50" s="6">
        <f t="shared" si="23"/>
        <v>0</v>
      </c>
      <c r="K50" s="2"/>
      <c r="L50" s="7">
        <f t="shared" si="24"/>
        <v>0</v>
      </c>
      <c r="M50" s="2"/>
      <c r="N50" s="6">
        <f t="shared" si="25"/>
        <v>0</v>
      </c>
      <c r="O50" s="11"/>
      <c r="P50" s="7"/>
      <c r="Q50" s="2"/>
      <c r="R50" s="6">
        <f t="shared" si="26"/>
        <v>0</v>
      </c>
      <c r="S50" s="2"/>
      <c r="T50" s="7">
        <v>0</v>
      </c>
      <c r="U50" s="2"/>
      <c r="V50" s="6">
        <f t="shared" si="27"/>
        <v>0</v>
      </c>
      <c r="W50" s="2"/>
      <c r="X50" s="7">
        <f t="shared" si="28"/>
        <v>0</v>
      </c>
      <c r="Y50" s="2"/>
      <c r="Z50" s="6">
        <f t="shared" si="29"/>
        <v>0</v>
      </c>
    </row>
    <row r="51" spans="1:26" s="24" customFormat="1" hidden="1" outlineLevel="2" x14ac:dyDescent="0.25">
      <c r="A51" s="29"/>
      <c r="B51" s="11" t="str">
        <f>CONCATENATE("          ", "6010", " - ", "GRATUITY")</f>
        <v xml:space="preserve">          6010 - GRATUITY</v>
      </c>
      <c r="C51" s="11"/>
      <c r="D51" s="7"/>
      <c r="E51" s="2"/>
      <c r="F51" s="6">
        <f t="shared" si="22"/>
        <v>0</v>
      </c>
      <c r="G51" s="2"/>
      <c r="H51" s="7">
        <v>0</v>
      </c>
      <c r="I51" s="2"/>
      <c r="J51" s="6">
        <f t="shared" si="23"/>
        <v>0</v>
      </c>
      <c r="K51" s="2"/>
      <c r="L51" s="7">
        <f t="shared" si="24"/>
        <v>0</v>
      </c>
      <c r="M51" s="2"/>
      <c r="N51" s="6">
        <f t="shared" si="25"/>
        <v>0</v>
      </c>
      <c r="O51" s="11"/>
      <c r="P51" s="7"/>
      <c r="Q51" s="2"/>
      <c r="R51" s="6">
        <f t="shared" si="26"/>
        <v>0</v>
      </c>
      <c r="S51" s="2"/>
      <c r="T51" s="7">
        <v>0</v>
      </c>
      <c r="U51" s="2"/>
      <c r="V51" s="6">
        <f t="shared" si="27"/>
        <v>0</v>
      </c>
      <c r="W51" s="2"/>
      <c r="X51" s="7">
        <f t="shared" si="28"/>
        <v>0</v>
      </c>
      <c r="Y51" s="2"/>
      <c r="Z51" s="6">
        <f t="shared" si="29"/>
        <v>0</v>
      </c>
    </row>
    <row r="52" spans="1:26" s="28" customFormat="1" outlineLevel="1" collapsed="1" x14ac:dyDescent="0.25">
      <c r="A52" s="27"/>
      <c r="B52" s="14" t="str">
        <f>CONCATENATE("     ","Advertising/Promo                                 ")</f>
        <v xml:space="preserve">     Advertising/Promo                                 </v>
      </c>
      <c r="C52" s="14"/>
      <c r="D52" s="1">
        <f>SUM(OSRRefD22_2x_0)</f>
        <v>7.42</v>
      </c>
      <c r="E52" s="1"/>
      <c r="F52" s="5">
        <f t="shared" ref="F52:F61" si="30">IF(D$12=0,0,D52/D$12)</f>
        <v>1.0281278885786493E-4</v>
      </c>
      <c r="G52" s="1"/>
      <c r="H52" s="1">
        <f>SUM(OSRRefH22_2x_0)</f>
        <v>830</v>
      </c>
      <c r="I52" s="1"/>
      <c r="J52" s="5">
        <f t="shared" ref="J52:J61" si="31">IF(H$12=0,0,H52/H$12)</f>
        <v>2.2310628460835438E-2</v>
      </c>
      <c r="K52" s="1"/>
      <c r="L52" s="1">
        <f t="shared" ref="L52:L61" si="32">+D52-H52</f>
        <v>-822.58</v>
      </c>
      <c r="M52" s="1"/>
      <c r="N52" s="5">
        <f t="shared" ref="N52:N61" si="33">IF(H52=0,0,L52/H52)</f>
        <v>-0.99106024096385548</v>
      </c>
      <c r="O52" s="14"/>
      <c r="P52" s="1">
        <f>SUM(OSRRefP22_2x_0)</f>
        <v>133.94999999999999</v>
      </c>
      <c r="Q52" s="1"/>
      <c r="R52" s="5">
        <f t="shared" ref="R52:R61" si="34">IF(P$12=0,0,P52/P$12)</f>
        <v>6.8063861839354331E-4</v>
      </c>
      <c r="S52" s="1"/>
      <c r="T52" s="1">
        <f>SUM(OSRRefT22_2x_0)</f>
        <v>5512</v>
      </c>
      <c r="U52" s="1"/>
      <c r="V52" s="5">
        <f t="shared" ref="V52:V61" si="35">IF(T$12=0,0,T52/T$12)</f>
        <v>2.0010963917095361E-2</v>
      </c>
      <c r="W52" s="1"/>
      <c r="X52" s="1">
        <f t="shared" ref="X52:X61" si="36">+P52-T52</f>
        <v>-5378.05</v>
      </c>
      <c r="Y52" s="1"/>
      <c r="Z52" s="5">
        <f t="shared" ref="Z52:Z61" si="37">IF(T52=0,0,X52/T52)</f>
        <v>-0.97569847605224969</v>
      </c>
    </row>
    <row r="53" spans="1:26" s="24" customFormat="1" hidden="1" outlineLevel="2" x14ac:dyDescent="0.25">
      <c r="A53" s="29"/>
      <c r="B53" s="11" t="str">
        <f>CONCATENATE("          ", "6362", " - ", "ADVERTISING EXPENSE")</f>
        <v xml:space="preserve">          6362 - ADVERTISING EXPENSE</v>
      </c>
      <c r="C53" s="11"/>
      <c r="D53" s="7">
        <v>7.42</v>
      </c>
      <c r="E53" s="2"/>
      <c r="F53" s="6">
        <f t="shared" si="30"/>
        <v>1.0281278885786493E-4</v>
      </c>
      <c r="G53" s="2"/>
      <c r="H53" s="7">
        <v>830</v>
      </c>
      <c r="I53" s="2"/>
      <c r="J53" s="6">
        <f t="shared" si="31"/>
        <v>2.2310628460835438E-2</v>
      </c>
      <c r="K53" s="2"/>
      <c r="L53" s="7">
        <f t="shared" si="32"/>
        <v>-822.58</v>
      </c>
      <c r="M53" s="2"/>
      <c r="N53" s="6">
        <f t="shared" si="33"/>
        <v>-0.99106024096385548</v>
      </c>
      <c r="O53" s="11"/>
      <c r="P53" s="7">
        <v>133.94999999999999</v>
      </c>
      <c r="Q53" s="2"/>
      <c r="R53" s="6">
        <f t="shared" si="34"/>
        <v>6.8063861839354331E-4</v>
      </c>
      <c r="S53" s="2"/>
      <c r="T53" s="7">
        <v>5512</v>
      </c>
      <c r="U53" s="2"/>
      <c r="V53" s="6">
        <f t="shared" si="35"/>
        <v>2.0010963917095361E-2</v>
      </c>
      <c r="W53" s="2"/>
      <c r="X53" s="7">
        <f t="shared" si="36"/>
        <v>-5378.05</v>
      </c>
      <c r="Y53" s="2"/>
      <c r="Z53" s="6">
        <f t="shared" si="37"/>
        <v>-0.97569847605224969</v>
      </c>
    </row>
    <row r="54" spans="1:26" s="28" customFormat="1" outlineLevel="1" collapsed="1" x14ac:dyDescent="0.25">
      <c r="A54" s="27"/>
      <c r="B54" s="14" t="str">
        <f>CONCATENATE("     ","Bad Debts/Over/Short                              ")</f>
        <v xml:space="preserve">     Bad Debts/Over/Short                              </v>
      </c>
      <c r="C54" s="14"/>
      <c r="D54" s="1">
        <f>SUM(OSRRefD22_3x_0)</f>
        <v>1.74</v>
      </c>
      <c r="E54" s="1"/>
      <c r="F54" s="5">
        <f t="shared" si="30"/>
        <v>2.4109737548879378E-5</v>
      </c>
      <c r="G54" s="1"/>
      <c r="H54" s="1">
        <f>SUM(OSRRefH22_3x_0)</f>
        <v>13</v>
      </c>
      <c r="I54" s="1"/>
      <c r="J54" s="5">
        <f t="shared" si="31"/>
        <v>3.4944357830224182E-4</v>
      </c>
      <c r="K54" s="1"/>
      <c r="L54" s="1">
        <f t="shared" si="32"/>
        <v>-11.26</v>
      </c>
      <c r="M54" s="1"/>
      <c r="N54" s="5">
        <f t="shared" si="33"/>
        <v>-0.86615384615384616</v>
      </c>
      <c r="O54" s="14"/>
      <c r="P54" s="1">
        <f>SUM(OSRRefP22_3x_0)</f>
        <v>12.1</v>
      </c>
      <c r="Q54" s="1"/>
      <c r="R54" s="5">
        <f t="shared" si="34"/>
        <v>6.1483593001581739E-5</v>
      </c>
      <c r="S54" s="1"/>
      <c r="T54" s="1">
        <f>SUM(OSRRefT22_3x_0)</f>
        <v>114</v>
      </c>
      <c r="U54" s="1"/>
      <c r="V54" s="5">
        <f t="shared" si="35"/>
        <v>4.1386971816924367E-4</v>
      </c>
      <c r="W54" s="1"/>
      <c r="X54" s="1">
        <f t="shared" si="36"/>
        <v>-101.9</v>
      </c>
      <c r="Y54" s="1"/>
      <c r="Z54" s="5">
        <f t="shared" si="37"/>
        <v>-0.89385964912280702</v>
      </c>
    </row>
    <row r="55" spans="1:26" s="24" customFormat="1" hidden="1" outlineLevel="2" x14ac:dyDescent="0.25">
      <c r="A55" s="29"/>
      <c r="B55" s="11" t="str">
        <f>CONCATENATE("          ", "6272", " - ", "CASH (OVER/SHORT)")</f>
        <v xml:space="preserve">          6272 - CASH (OVER/SHORT)</v>
      </c>
      <c r="C55" s="11"/>
      <c r="D55" s="7">
        <v>1.74</v>
      </c>
      <c r="E55" s="2"/>
      <c r="F55" s="6">
        <f t="shared" si="30"/>
        <v>2.4109737548879378E-5</v>
      </c>
      <c r="G55" s="2"/>
      <c r="H55" s="7">
        <v>13</v>
      </c>
      <c r="I55" s="2"/>
      <c r="J55" s="6">
        <f t="shared" si="31"/>
        <v>3.4944357830224182E-4</v>
      </c>
      <c r="K55" s="2"/>
      <c r="L55" s="7">
        <f t="shared" si="32"/>
        <v>-11.26</v>
      </c>
      <c r="M55" s="2"/>
      <c r="N55" s="6">
        <f t="shared" si="33"/>
        <v>-0.86615384615384616</v>
      </c>
      <c r="O55" s="11"/>
      <c r="P55" s="7">
        <v>12.1</v>
      </c>
      <c r="Q55" s="2"/>
      <c r="R55" s="6">
        <f t="shared" si="34"/>
        <v>6.1483593001581739E-5</v>
      </c>
      <c r="S55" s="2"/>
      <c r="T55" s="7">
        <v>114</v>
      </c>
      <c r="U55" s="2"/>
      <c r="V55" s="6">
        <f t="shared" si="35"/>
        <v>4.1386971816924367E-4</v>
      </c>
      <c r="W55" s="2"/>
      <c r="X55" s="7">
        <f t="shared" si="36"/>
        <v>-101.9</v>
      </c>
      <c r="Y55" s="2"/>
      <c r="Z55" s="6">
        <f t="shared" si="37"/>
        <v>-0.89385964912280702</v>
      </c>
    </row>
    <row r="56" spans="1:26" s="28" customFormat="1" outlineLevel="1" collapsed="1" x14ac:dyDescent="0.25">
      <c r="A56" s="27"/>
      <c r="B56" s="14" t="str">
        <f>CONCATENATE("     ","Bank/card Fees                                    ")</f>
        <v xml:space="preserve">     Bank/card Fees                                    </v>
      </c>
      <c r="C56" s="14"/>
      <c r="D56" s="1">
        <f>SUM(OSRRefD22_4x_0)</f>
        <v>913.56</v>
      </c>
      <c r="E56" s="1"/>
      <c r="F56" s="5">
        <f t="shared" si="30"/>
        <v>1.2658443583421978E-2</v>
      </c>
      <c r="G56" s="1"/>
      <c r="H56" s="1">
        <f>SUM(OSRRefH22_4x_0)</f>
        <v>6995</v>
      </c>
      <c r="I56" s="1"/>
      <c r="J56" s="5">
        <f t="shared" si="31"/>
        <v>0.1880275254018601</v>
      </c>
      <c r="K56" s="1"/>
      <c r="L56" s="1">
        <f t="shared" si="32"/>
        <v>-6081.4400000000005</v>
      </c>
      <c r="M56" s="1"/>
      <c r="N56" s="5">
        <f t="shared" si="33"/>
        <v>-0.8693981415296641</v>
      </c>
      <c r="O56" s="14"/>
      <c r="P56" s="1">
        <f>SUM(OSRRefP22_4x_0)</f>
        <v>4168.09</v>
      </c>
      <c r="Q56" s="1"/>
      <c r="R56" s="5">
        <f t="shared" si="34"/>
        <v>2.1179268525120899E-2</v>
      </c>
      <c r="S56" s="1"/>
      <c r="T56" s="1">
        <f>SUM(OSRRefT22_4x_0)</f>
        <v>39645</v>
      </c>
      <c r="U56" s="1"/>
      <c r="V56" s="5">
        <f t="shared" si="35"/>
        <v>0.14392864014754092</v>
      </c>
      <c r="W56" s="1"/>
      <c r="X56" s="1">
        <f t="shared" si="36"/>
        <v>-35476.910000000003</v>
      </c>
      <c r="Y56" s="1"/>
      <c r="Z56" s="5">
        <f t="shared" si="37"/>
        <v>-0.89486467398158664</v>
      </c>
    </row>
    <row r="57" spans="1:26" s="24" customFormat="1" hidden="1" outlineLevel="2" x14ac:dyDescent="0.25">
      <c r="A57" s="29"/>
      <c r="B57" s="11" t="str">
        <f>CONCATENATE("          ", "6381", " - ", "BANK/CREDIT CARD FEES")</f>
        <v xml:space="preserve">          6381 - BANK/CREDIT CARD FEES</v>
      </c>
      <c r="C57" s="11"/>
      <c r="D57" s="7">
        <v>913.56</v>
      </c>
      <c r="E57" s="2"/>
      <c r="F57" s="6">
        <f t="shared" si="30"/>
        <v>1.2658443583421978E-2</v>
      </c>
      <c r="G57" s="2"/>
      <c r="H57" s="7">
        <v>6995</v>
      </c>
      <c r="I57" s="2"/>
      <c r="J57" s="6">
        <f t="shared" si="31"/>
        <v>0.1880275254018601</v>
      </c>
      <c r="K57" s="2"/>
      <c r="L57" s="7">
        <f t="shared" si="32"/>
        <v>-6081.4400000000005</v>
      </c>
      <c r="M57" s="2"/>
      <c r="N57" s="6">
        <f t="shared" si="33"/>
        <v>-0.8693981415296641</v>
      </c>
      <c r="O57" s="11"/>
      <c r="P57" s="7">
        <v>4168.09</v>
      </c>
      <c r="Q57" s="2"/>
      <c r="R57" s="6">
        <f t="shared" si="34"/>
        <v>2.1179268525120899E-2</v>
      </c>
      <c r="S57" s="2"/>
      <c r="T57" s="7">
        <v>39645</v>
      </c>
      <c r="U57" s="2"/>
      <c r="V57" s="6">
        <f t="shared" si="35"/>
        <v>0.14392864014754092</v>
      </c>
      <c r="W57" s="2"/>
      <c r="X57" s="7">
        <f t="shared" si="36"/>
        <v>-35476.910000000003</v>
      </c>
      <c r="Y57" s="2"/>
      <c r="Z57" s="6">
        <f t="shared" si="37"/>
        <v>-0.89486467398158664</v>
      </c>
    </row>
    <row r="58" spans="1:26" s="28" customFormat="1" outlineLevel="1" collapsed="1" x14ac:dyDescent="0.25">
      <c r="A58" s="27"/>
      <c r="B58" s="14" t="str">
        <f>CONCATENATE("     ","Depreciation                                      ")</f>
        <v xml:space="preserve">     Depreciation                                      </v>
      </c>
      <c r="C58" s="14"/>
      <c r="D58" s="1">
        <f>SUM(OSRRefD22_5x_0)</f>
        <v>45872.85</v>
      </c>
      <c r="E58" s="1"/>
      <c r="F58" s="5">
        <f t="shared" si="30"/>
        <v>0.63562205409144323</v>
      </c>
      <c r="G58" s="1"/>
      <c r="H58" s="1">
        <f>SUM(OSRRefH22_5x_0)</f>
        <v>46280</v>
      </c>
      <c r="I58" s="1"/>
      <c r="J58" s="5">
        <f t="shared" si="31"/>
        <v>1.2440191387559809</v>
      </c>
      <c r="K58" s="1"/>
      <c r="L58" s="1">
        <f t="shared" si="32"/>
        <v>-407.15000000000146</v>
      </c>
      <c r="M58" s="1"/>
      <c r="N58" s="5">
        <f t="shared" si="33"/>
        <v>-8.7975367329300221E-3</v>
      </c>
      <c r="O58" s="14"/>
      <c r="P58" s="1">
        <f>SUM(OSRRefP22_5x_0)</f>
        <v>278241.90000000002</v>
      </c>
      <c r="Q58" s="1"/>
      <c r="R58" s="5">
        <f t="shared" si="34"/>
        <v>1.413827416164199</v>
      </c>
      <c r="S58" s="1"/>
      <c r="T58" s="1">
        <f>SUM(OSRRefT22_5x_0)</f>
        <v>280732</v>
      </c>
      <c r="U58" s="1"/>
      <c r="V58" s="5">
        <f t="shared" si="35"/>
        <v>1.0191795940446327</v>
      </c>
      <c r="W58" s="1"/>
      <c r="X58" s="1">
        <f t="shared" si="36"/>
        <v>-2490.0999999999767</v>
      </c>
      <c r="Y58" s="1"/>
      <c r="Z58" s="5">
        <f t="shared" si="37"/>
        <v>-8.8700255047517804E-3</v>
      </c>
    </row>
    <row r="59" spans="1:26" s="24" customFormat="1" hidden="1" outlineLevel="2" x14ac:dyDescent="0.25">
      <c r="A59" s="29"/>
      <c r="B59" s="11" t="str">
        <f>CONCATENATE("          ", "6321", " - ", "BUILDING DEPRECIATION")</f>
        <v xml:space="preserve">          6321 - BUILDING DEPRECIATION</v>
      </c>
      <c r="C59" s="11"/>
      <c r="D59" s="7">
        <v>28664</v>
      </c>
      <c r="E59" s="2"/>
      <c r="F59" s="6">
        <f t="shared" si="30"/>
        <v>0.39717328569027499</v>
      </c>
      <c r="G59" s="2"/>
      <c r="H59" s="7"/>
      <c r="I59" s="2"/>
      <c r="J59" s="6">
        <f t="shared" si="31"/>
        <v>0</v>
      </c>
      <c r="K59" s="2"/>
      <c r="L59" s="7">
        <f t="shared" si="32"/>
        <v>28664</v>
      </c>
      <c r="M59" s="2"/>
      <c r="N59" s="6">
        <f t="shared" si="33"/>
        <v>0</v>
      </c>
      <c r="O59" s="11"/>
      <c r="P59" s="7">
        <v>172768.19</v>
      </c>
      <c r="Q59" s="2"/>
      <c r="R59" s="6">
        <f t="shared" si="34"/>
        <v>0.87788504773387976</v>
      </c>
      <c r="S59" s="2"/>
      <c r="T59" s="7"/>
      <c r="U59" s="2"/>
      <c r="V59" s="6">
        <f t="shared" si="35"/>
        <v>0</v>
      </c>
      <c r="W59" s="2"/>
      <c r="X59" s="7">
        <f t="shared" si="36"/>
        <v>172768.19</v>
      </c>
      <c r="Y59" s="2"/>
      <c r="Z59" s="6">
        <f t="shared" si="37"/>
        <v>0</v>
      </c>
    </row>
    <row r="60" spans="1:26" s="24" customFormat="1" hidden="1" outlineLevel="2" x14ac:dyDescent="0.25">
      <c r="A60" s="29"/>
      <c r="B60" s="11" t="str">
        <f>CONCATENATE("          ", "6322", " - ", "EQUIPMENT DEPRECIATION EXPENSE")</f>
        <v xml:space="preserve">          6322 - EQUIPMENT DEPRECIATION EXPENSE</v>
      </c>
      <c r="C60" s="11"/>
      <c r="D60" s="7">
        <v>17208.849999999999</v>
      </c>
      <c r="E60" s="2"/>
      <c r="F60" s="6">
        <f t="shared" si="30"/>
        <v>0.2384487684011683</v>
      </c>
      <c r="G60" s="2"/>
      <c r="H60" s="7">
        <v>45730</v>
      </c>
      <c r="I60" s="2"/>
      <c r="J60" s="6">
        <f t="shared" si="31"/>
        <v>1.2292349873662707</v>
      </c>
      <c r="K60" s="2"/>
      <c r="L60" s="7">
        <f t="shared" si="32"/>
        <v>-28521.15</v>
      </c>
      <c r="M60" s="2"/>
      <c r="N60" s="6">
        <f t="shared" si="33"/>
        <v>-0.62368576426853273</v>
      </c>
      <c r="O60" s="11"/>
      <c r="P60" s="7">
        <v>105473.70999999999</v>
      </c>
      <c r="Q60" s="2"/>
      <c r="R60" s="6">
        <f t="shared" si="34"/>
        <v>0.53594236843031917</v>
      </c>
      <c r="S60" s="2"/>
      <c r="T60" s="7">
        <v>277432</v>
      </c>
      <c r="U60" s="2"/>
      <c r="V60" s="6">
        <f t="shared" si="35"/>
        <v>1.0071991548344703</v>
      </c>
      <c r="W60" s="2"/>
      <c r="X60" s="7">
        <f t="shared" si="36"/>
        <v>-171958.29</v>
      </c>
      <c r="Y60" s="2"/>
      <c r="Z60" s="6">
        <f t="shared" si="37"/>
        <v>-0.61982139767582689</v>
      </c>
    </row>
    <row r="61" spans="1:26" s="24" customFormat="1" hidden="1" outlineLevel="2" x14ac:dyDescent="0.25">
      <c r="A61" s="29"/>
      <c r="B61" s="11" t="str">
        <f>CONCATENATE("          ", "6326", " - ", "VEHICLES DEPRECIATION EXPENSE")</f>
        <v xml:space="preserve">          6326 - VEHICLES DEPRECIATION EXPENSE</v>
      </c>
      <c r="C61" s="11"/>
      <c r="D61" s="7"/>
      <c r="E61" s="2"/>
      <c r="F61" s="6">
        <f t="shared" si="30"/>
        <v>0</v>
      </c>
      <c r="G61" s="2"/>
      <c r="H61" s="7">
        <v>550</v>
      </c>
      <c r="I61" s="2"/>
      <c r="J61" s="6">
        <f t="shared" si="31"/>
        <v>1.478415138971023E-2</v>
      </c>
      <c r="K61" s="2"/>
      <c r="L61" s="7">
        <f t="shared" si="32"/>
        <v>-550</v>
      </c>
      <c r="M61" s="2"/>
      <c r="N61" s="6">
        <f t="shared" si="33"/>
        <v>-1</v>
      </c>
      <c r="O61" s="11"/>
      <c r="P61" s="7"/>
      <c r="Q61" s="2"/>
      <c r="R61" s="6">
        <f t="shared" si="34"/>
        <v>0</v>
      </c>
      <c r="S61" s="2"/>
      <c r="T61" s="7">
        <v>3300</v>
      </c>
      <c r="U61" s="2"/>
      <c r="V61" s="6">
        <f t="shared" si="35"/>
        <v>1.1980439210162317E-2</v>
      </c>
      <c r="W61" s="2"/>
      <c r="X61" s="7">
        <f t="shared" si="36"/>
        <v>-3300</v>
      </c>
      <c r="Y61" s="2"/>
      <c r="Z61" s="6">
        <f t="shared" si="37"/>
        <v>-1</v>
      </c>
    </row>
    <row r="62" spans="1:26" s="28" customFormat="1" outlineLevel="1" collapsed="1" x14ac:dyDescent="0.25">
      <c r="A62" s="27"/>
      <c r="B62" s="14" t="str">
        <f>CONCATENATE("     ","Employees' Appreciation                           ")</f>
        <v xml:space="preserve">     Employees' Appreciation                           </v>
      </c>
      <c r="C62" s="14"/>
      <c r="D62" s="1">
        <f>SUM(OSRRefD22_6x_0)</f>
        <v>10</v>
      </c>
      <c r="E62" s="1"/>
      <c r="F62" s="5">
        <f t="shared" ref="F62:F68" si="38">IF(D$12=0,0,D62/D$12)</f>
        <v>1.385617100510309E-4</v>
      </c>
      <c r="G62" s="1"/>
      <c r="H62" s="1">
        <f>SUM(OSRRefH22_6x_0)</f>
        <v>150</v>
      </c>
      <c r="I62" s="1"/>
      <c r="J62" s="5">
        <f t="shared" ref="J62:J68" si="39">IF(H$12=0,0,H62/H$12)</f>
        <v>4.03204128810279E-3</v>
      </c>
      <c r="K62" s="1"/>
      <c r="L62" s="1">
        <f t="shared" ref="L62:L68" si="40">+D62-H62</f>
        <v>-140</v>
      </c>
      <c r="M62" s="1"/>
      <c r="N62" s="5">
        <f t="shared" ref="N62:N68" si="41">IF(H62=0,0,L62/H62)</f>
        <v>-0.93333333333333335</v>
      </c>
      <c r="O62" s="14"/>
      <c r="P62" s="1">
        <f>SUM(OSRRefP22_6x_0)</f>
        <v>10</v>
      </c>
      <c r="Q62" s="1"/>
      <c r="R62" s="5">
        <f t="shared" ref="R62:R68" si="42">IF(P$12=0,0,P62/P$12)</f>
        <v>5.0812886778166734E-5</v>
      </c>
      <c r="S62" s="1"/>
      <c r="T62" s="1">
        <f>SUM(OSRRefT22_6x_0)</f>
        <v>150</v>
      </c>
      <c r="U62" s="1"/>
      <c r="V62" s="5">
        <f t="shared" ref="V62:V68" si="43">IF(T$12=0,0,T62/T$12)</f>
        <v>5.4456541864374164E-4</v>
      </c>
      <c r="W62" s="1"/>
      <c r="X62" s="1">
        <f t="shared" ref="X62:X68" si="44">+P62-T62</f>
        <v>-140</v>
      </c>
      <c r="Y62" s="1"/>
      <c r="Z62" s="5">
        <f t="shared" ref="Z62:Z68" si="45">IF(T62=0,0,X62/T62)</f>
        <v>-0.93333333333333335</v>
      </c>
    </row>
    <row r="63" spans="1:26" s="24" customFormat="1" hidden="1" outlineLevel="2" x14ac:dyDescent="0.25">
      <c r="A63" s="29"/>
      <c r="B63" s="11" t="str">
        <f>CONCATENATE("          ", "6277", " - ", "EMPLOYEE APPRECIATION")</f>
        <v xml:space="preserve">          6277 - EMPLOYEE APPRECIATION</v>
      </c>
      <c r="C63" s="11"/>
      <c r="D63" s="7">
        <v>10</v>
      </c>
      <c r="E63" s="2"/>
      <c r="F63" s="6">
        <f t="shared" si="38"/>
        <v>1.385617100510309E-4</v>
      </c>
      <c r="G63" s="2"/>
      <c r="H63" s="7">
        <v>150</v>
      </c>
      <c r="I63" s="2"/>
      <c r="J63" s="6">
        <f t="shared" si="39"/>
        <v>4.03204128810279E-3</v>
      </c>
      <c r="K63" s="2"/>
      <c r="L63" s="7">
        <f t="shared" si="40"/>
        <v>-140</v>
      </c>
      <c r="M63" s="2"/>
      <c r="N63" s="6">
        <f t="shared" si="41"/>
        <v>-0.93333333333333335</v>
      </c>
      <c r="O63" s="11"/>
      <c r="P63" s="7">
        <v>10</v>
      </c>
      <c r="Q63" s="2"/>
      <c r="R63" s="6">
        <f t="shared" si="42"/>
        <v>5.0812886778166734E-5</v>
      </c>
      <c r="S63" s="2"/>
      <c r="T63" s="7">
        <v>150</v>
      </c>
      <c r="U63" s="2"/>
      <c r="V63" s="6">
        <f t="shared" si="43"/>
        <v>5.4456541864374164E-4</v>
      </c>
      <c r="W63" s="2"/>
      <c r="X63" s="7">
        <f t="shared" si="44"/>
        <v>-140</v>
      </c>
      <c r="Y63" s="2"/>
      <c r="Z63" s="6">
        <f t="shared" si="45"/>
        <v>-0.93333333333333335</v>
      </c>
    </row>
    <row r="64" spans="1:26" s="28" customFormat="1" outlineLevel="1" collapsed="1" x14ac:dyDescent="0.25">
      <c r="A64" s="27"/>
      <c r="B64" s="14" t="str">
        <f>CONCATENATE("     ","Equipment Rental                                  ")</f>
        <v xml:space="preserve">     Equipment Rental                                  </v>
      </c>
      <c r="C64" s="14"/>
      <c r="D64" s="1">
        <f>SUM(OSRRefD22_7x_0)</f>
        <v>386.08</v>
      </c>
      <c r="E64" s="1"/>
      <c r="F64" s="5">
        <f t="shared" si="38"/>
        <v>5.349590501650201E-3</v>
      </c>
      <c r="G64" s="1"/>
      <c r="H64" s="1">
        <f>SUM(OSRRefH22_7x_0)</f>
        <v>449.33333333333297</v>
      </c>
      <c r="I64" s="1"/>
      <c r="J64" s="5">
        <f t="shared" si="39"/>
        <v>1.2078203680805682E-2</v>
      </c>
      <c r="K64" s="1"/>
      <c r="L64" s="1">
        <f t="shared" si="40"/>
        <v>-63.253333333332989</v>
      </c>
      <c r="M64" s="1"/>
      <c r="N64" s="5">
        <f t="shared" si="41"/>
        <v>-0.14077151335311508</v>
      </c>
      <c r="O64" s="14"/>
      <c r="P64" s="1">
        <f>SUM(OSRRefP22_7x_0)</f>
        <v>4461.7700000000004</v>
      </c>
      <c r="Q64" s="1"/>
      <c r="R64" s="5">
        <f t="shared" si="42"/>
        <v>2.2671541384022099E-2</v>
      </c>
      <c r="S64" s="1"/>
      <c r="T64" s="1">
        <f>SUM(OSRRefT22_7x_0)</f>
        <v>2356.9999999999977</v>
      </c>
      <c r="U64" s="1"/>
      <c r="V64" s="5">
        <f t="shared" si="43"/>
        <v>8.5569379449553194E-3</v>
      </c>
      <c r="W64" s="1"/>
      <c r="X64" s="1">
        <f t="shared" si="44"/>
        <v>2104.7700000000027</v>
      </c>
      <c r="Y64" s="1"/>
      <c r="Z64" s="5">
        <f t="shared" si="45"/>
        <v>0.89298684768774061</v>
      </c>
    </row>
    <row r="65" spans="1:26" s="24" customFormat="1" hidden="1" outlineLevel="2" x14ac:dyDescent="0.25">
      <c r="A65" s="29"/>
      <c r="B65" s="11" t="str">
        <f>CONCATENATE("          ", "6351", " - ", "EQUIPMENT RENTAL")</f>
        <v xml:space="preserve">          6351 - EQUIPMENT RENTAL</v>
      </c>
      <c r="C65" s="11"/>
      <c r="D65" s="7">
        <v>386.08</v>
      </c>
      <c r="E65" s="2"/>
      <c r="F65" s="6">
        <f t="shared" si="38"/>
        <v>5.349590501650201E-3</v>
      </c>
      <c r="G65" s="2"/>
      <c r="H65" s="7">
        <v>449.33333333333297</v>
      </c>
      <c r="I65" s="2"/>
      <c r="J65" s="6">
        <f t="shared" si="39"/>
        <v>1.2078203680805682E-2</v>
      </c>
      <c r="K65" s="2"/>
      <c r="L65" s="7">
        <f t="shared" si="40"/>
        <v>-63.253333333332989</v>
      </c>
      <c r="M65" s="2"/>
      <c r="N65" s="6">
        <f t="shared" si="41"/>
        <v>-0.14077151335311508</v>
      </c>
      <c r="O65" s="11"/>
      <c r="P65" s="7">
        <v>4461.7700000000004</v>
      </c>
      <c r="Q65" s="2"/>
      <c r="R65" s="6">
        <f t="shared" si="42"/>
        <v>2.2671541384022099E-2</v>
      </c>
      <c r="S65" s="2"/>
      <c r="T65" s="7">
        <v>2356.9999999999977</v>
      </c>
      <c r="U65" s="2"/>
      <c r="V65" s="6">
        <f t="shared" si="43"/>
        <v>8.5569379449553194E-3</v>
      </c>
      <c r="W65" s="2"/>
      <c r="X65" s="7">
        <f t="shared" si="44"/>
        <v>2104.7700000000027</v>
      </c>
      <c r="Y65" s="2"/>
      <c r="Z65" s="6">
        <f t="shared" si="45"/>
        <v>0.89298684768774061</v>
      </c>
    </row>
    <row r="66" spans="1:26" s="28" customFormat="1" outlineLevel="1" collapsed="1" x14ac:dyDescent="0.25">
      <c r="A66" s="27"/>
      <c r="B66" s="14" t="str">
        <f>CONCATENATE("     ","Freight out/Postage                               ")</f>
        <v xml:space="preserve">     Freight out/Postage                               </v>
      </c>
      <c r="C66" s="14"/>
      <c r="D66" s="1">
        <f>SUM(OSRRefD22_8x_0)</f>
        <v>3.93</v>
      </c>
      <c r="E66" s="1"/>
      <c r="F66" s="5">
        <f t="shared" si="38"/>
        <v>5.4454752050055149E-5</v>
      </c>
      <c r="G66" s="1"/>
      <c r="H66" s="1">
        <f>SUM(OSRRefH22_8x_0)</f>
        <v>0</v>
      </c>
      <c r="I66" s="1"/>
      <c r="J66" s="5">
        <f t="shared" si="39"/>
        <v>0</v>
      </c>
      <c r="K66" s="1"/>
      <c r="L66" s="1">
        <f t="shared" si="40"/>
        <v>3.93</v>
      </c>
      <c r="M66" s="1"/>
      <c r="N66" s="5">
        <f t="shared" si="41"/>
        <v>0</v>
      </c>
      <c r="O66" s="14"/>
      <c r="P66" s="1">
        <f>SUM(OSRRefP22_8x_0)</f>
        <v>103.85000000000001</v>
      </c>
      <c r="Q66" s="1"/>
      <c r="R66" s="5">
        <f t="shared" si="42"/>
        <v>5.276918291912615E-4</v>
      </c>
      <c r="S66" s="1"/>
      <c r="T66" s="1">
        <f>SUM(OSRRefT22_8x_0)</f>
        <v>0</v>
      </c>
      <c r="U66" s="1"/>
      <c r="V66" s="5">
        <f t="shared" si="43"/>
        <v>0</v>
      </c>
      <c r="W66" s="1"/>
      <c r="X66" s="1">
        <f t="shared" si="44"/>
        <v>103.85000000000001</v>
      </c>
      <c r="Y66" s="1"/>
      <c r="Z66" s="5">
        <f t="shared" si="45"/>
        <v>0</v>
      </c>
    </row>
    <row r="67" spans="1:26" s="24" customFormat="1" hidden="1" outlineLevel="2" x14ac:dyDescent="0.25">
      <c r="A67" s="29"/>
      <c r="B67" s="11" t="str">
        <f>CONCATENATE("          ", "6305", " - ", "FREIGHT OUT")</f>
        <v xml:space="preserve">          6305 - FREIGHT OUT</v>
      </c>
      <c r="C67" s="11"/>
      <c r="D67" s="7">
        <v>3.93</v>
      </c>
      <c r="E67" s="2"/>
      <c r="F67" s="6">
        <f t="shared" si="38"/>
        <v>5.4454752050055149E-5</v>
      </c>
      <c r="G67" s="2"/>
      <c r="H67" s="7"/>
      <c r="I67" s="2"/>
      <c r="J67" s="6">
        <f t="shared" si="39"/>
        <v>0</v>
      </c>
      <c r="K67" s="2"/>
      <c r="L67" s="7">
        <f t="shared" si="40"/>
        <v>3.93</v>
      </c>
      <c r="M67" s="2"/>
      <c r="N67" s="6">
        <f t="shared" si="41"/>
        <v>0</v>
      </c>
      <c r="O67" s="11"/>
      <c r="P67" s="7">
        <v>109.26</v>
      </c>
      <c r="Q67" s="2"/>
      <c r="R67" s="6">
        <f t="shared" si="42"/>
        <v>5.5518160093824976E-4</v>
      </c>
      <c r="S67" s="2"/>
      <c r="T67" s="7"/>
      <c r="U67" s="2"/>
      <c r="V67" s="6">
        <f t="shared" si="43"/>
        <v>0</v>
      </c>
      <c r="W67" s="2"/>
      <c r="X67" s="7">
        <f t="shared" si="44"/>
        <v>109.26</v>
      </c>
      <c r="Y67" s="2"/>
      <c r="Z67" s="6">
        <f t="shared" si="45"/>
        <v>0</v>
      </c>
    </row>
    <row r="68" spans="1:26" s="24" customFormat="1" hidden="1" outlineLevel="2" x14ac:dyDescent="0.25">
      <c r="A68" s="29"/>
      <c r="B68" s="11" t="str">
        <f>CONCATENATE("          ", "6307", " - ", "POSTAGE")</f>
        <v xml:space="preserve">          6307 - POSTAGE</v>
      </c>
      <c r="C68" s="11"/>
      <c r="D68" s="7"/>
      <c r="E68" s="2"/>
      <c r="F68" s="6">
        <f t="shared" si="38"/>
        <v>0</v>
      </c>
      <c r="G68" s="2"/>
      <c r="H68" s="7"/>
      <c r="I68" s="2"/>
      <c r="J68" s="6">
        <f t="shared" si="39"/>
        <v>0</v>
      </c>
      <c r="K68" s="2"/>
      <c r="L68" s="7">
        <f t="shared" si="40"/>
        <v>0</v>
      </c>
      <c r="M68" s="2"/>
      <c r="N68" s="6">
        <f t="shared" si="41"/>
        <v>0</v>
      </c>
      <c r="O68" s="11"/>
      <c r="P68" s="7">
        <v>-5.41</v>
      </c>
      <c r="Q68" s="2"/>
      <c r="R68" s="6">
        <f t="shared" si="42"/>
        <v>-2.7489771746988202E-5</v>
      </c>
      <c r="S68" s="2"/>
      <c r="T68" s="7"/>
      <c r="U68" s="2"/>
      <c r="V68" s="6">
        <f t="shared" si="43"/>
        <v>0</v>
      </c>
      <c r="W68" s="2"/>
      <c r="X68" s="7">
        <f t="shared" si="44"/>
        <v>-5.41</v>
      </c>
      <c r="Y68" s="2"/>
      <c r="Z68" s="6">
        <f t="shared" si="45"/>
        <v>0</v>
      </c>
    </row>
    <row r="69" spans="1:26" s="28" customFormat="1" outlineLevel="1" collapsed="1" x14ac:dyDescent="0.25">
      <c r="A69" s="27"/>
      <c r="B69" s="14" t="str">
        <f>CONCATENATE("     ","General                                           ")</f>
        <v xml:space="preserve">     General                                           </v>
      </c>
      <c r="C69" s="14"/>
      <c r="D69" s="1">
        <f>SUM(OSRRefD22_9x_0)</f>
        <v>1745.38</v>
      </c>
      <c r="E69" s="1"/>
      <c r="F69" s="5">
        <f t="shared" ref="F69:F81" si="46">IF(D$12=0,0,D69/D$12)</f>
        <v>2.4184283748886832E-2</v>
      </c>
      <c r="G69" s="1"/>
      <c r="H69" s="1">
        <f>SUM(OSRRefH22_9x_0)</f>
        <v>455</v>
      </c>
      <c r="I69" s="1"/>
      <c r="J69" s="5">
        <f t="shared" ref="J69:J81" si="47">IF(H$12=0,0,H69/H$12)</f>
        <v>1.2230525240578464E-2</v>
      </c>
      <c r="K69" s="1"/>
      <c r="L69" s="1">
        <f t="shared" ref="L69:L81" si="48">+D69-H69</f>
        <v>1290.3800000000001</v>
      </c>
      <c r="M69" s="1"/>
      <c r="N69" s="5">
        <f t="shared" ref="N69:N81" si="49">IF(H69=0,0,L69/H69)</f>
        <v>2.8360000000000003</v>
      </c>
      <c r="O69" s="14"/>
      <c r="P69" s="1">
        <f>SUM(OSRRefP22_9x_0)</f>
        <v>7890.93</v>
      </c>
      <c r="Q69" s="1"/>
      <c r="R69" s="5">
        <f t="shared" ref="R69:R81" si="50">IF(P$12=0,0,P69/P$12)</f>
        <v>4.0096093266443922E-2</v>
      </c>
      <c r="S69" s="1"/>
      <c r="T69" s="1">
        <f>SUM(OSRRefT22_9x_0)</f>
        <v>7960</v>
      </c>
      <c r="U69" s="1"/>
      <c r="V69" s="5">
        <f t="shared" ref="V69:V81" si="51">IF(T$12=0,0,T69/T$12)</f>
        <v>2.8898271549361226E-2</v>
      </c>
      <c r="W69" s="1"/>
      <c r="X69" s="1">
        <f t="shared" ref="X69:X81" si="52">+P69-T69</f>
        <v>-69.069999999999709</v>
      </c>
      <c r="Y69" s="1"/>
      <c r="Z69" s="5">
        <f t="shared" ref="Z69:Z81" si="53">IF(T69=0,0,X69/T69)</f>
        <v>-8.6771356783919232E-3</v>
      </c>
    </row>
    <row r="70" spans="1:26" s="24" customFormat="1" hidden="1" outlineLevel="2" x14ac:dyDescent="0.25">
      <c r="A70" s="29"/>
      <c r="B70" s="11" t="str">
        <f>CONCATENATE("          ", "6279", " - ", "GENERAL EXPENSE")</f>
        <v xml:space="preserve">          6279 - GENERAL EXPENSE</v>
      </c>
      <c r="C70" s="11"/>
      <c r="D70" s="7">
        <v>1745.38</v>
      </c>
      <c r="E70" s="2"/>
      <c r="F70" s="6">
        <f t="shared" si="46"/>
        <v>2.4184283748886832E-2</v>
      </c>
      <c r="G70" s="2"/>
      <c r="H70" s="7">
        <v>455</v>
      </c>
      <c r="I70" s="2"/>
      <c r="J70" s="6">
        <f t="shared" si="47"/>
        <v>1.2230525240578464E-2</v>
      </c>
      <c r="K70" s="2"/>
      <c r="L70" s="7">
        <f t="shared" si="48"/>
        <v>1290.3800000000001</v>
      </c>
      <c r="M70" s="2"/>
      <c r="N70" s="6">
        <f t="shared" si="49"/>
        <v>2.8360000000000003</v>
      </c>
      <c r="O70" s="11"/>
      <c r="P70" s="7">
        <v>7890.93</v>
      </c>
      <c r="Q70" s="2"/>
      <c r="R70" s="6">
        <f t="shared" si="50"/>
        <v>4.0096093266443922E-2</v>
      </c>
      <c r="S70" s="2"/>
      <c r="T70" s="7">
        <v>7960</v>
      </c>
      <c r="U70" s="2"/>
      <c r="V70" s="6">
        <f t="shared" si="51"/>
        <v>2.8898271549361226E-2</v>
      </c>
      <c r="W70" s="2"/>
      <c r="X70" s="7">
        <f t="shared" si="52"/>
        <v>-69.069999999999709</v>
      </c>
      <c r="Y70" s="2"/>
      <c r="Z70" s="6">
        <f t="shared" si="53"/>
        <v>-8.6771356783919232E-3</v>
      </c>
    </row>
    <row r="71" spans="1:26" s="28" customFormat="1" outlineLevel="1" collapsed="1" x14ac:dyDescent="0.25">
      <c r="A71" s="27"/>
      <c r="B71" s="14" t="str">
        <f>CONCATENATE("     ","Insurance                                         ")</f>
        <v xml:space="preserve">     Insurance                                         </v>
      </c>
      <c r="C71" s="14"/>
      <c r="D71" s="1">
        <f>SUM(OSRRefD22_10x_0)</f>
        <v>4483.67</v>
      </c>
      <c r="E71" s="1"/>
      <c r="F71" s="5">
        <f t="shared" si="46"/>
        <v>6.2126498250450572E-2</v>
      </c>
      <c r="G71" s="1"/>
      <c r="H71" s="1">
        <f>SUM(OSRRefH22_10x_0)</f>
        <v>4835</v>
      </c>
      <c r="I71" s="1"/>
      <c r="J71" s="5">
        <f t="shared" si="47"/>
        <v>0.12996613085317993</v>
      </c>
      <c r="K71" s="1"/>
      <c r="L71" s="1">
        <f t="shared" si="48"/>
        <v>-351.32999999999993</v>
      </c>
      <c r="M71" s="1"/>
      <c r="N71" s="5">
        <f t="shared" si="49"/>
        <v>-7.2663908996897605E-2</v>
      </c>
      <c r="O71" s="14"/>
      <c r="P71" s="1">
        <f>SUM(OSRRefP22_10x_0)</f>
        <v>33014.019999999997</v>
      </c>
      <c r="Q71" s="1"/>
      <c r="R71" s="5">
        <f t="shared" si="50"/>
        <v>0.16775376603521319</v>
      </c>
      <c r="S71" s="1"/>
      <c r="T71" s="1">
        <f>SUM(OSRRefT22_10x_0)</f>
        <v>29010</v>
      </c>
      <c r="U71" s="1"/>
      <c r="V71" s="5">
        <f t="shared" si="51"/>
        <v>0.10531895196569964</v>
      </c>
      <c r="W71" s="1"/>
      <c r="X71" s="1">
        <f t="shared" si="52"/>
        <v>4004.0199999999968</v>
      </c>
      <c r="Y71" s="1"/>
      <c r="Z71" s="5">
        <f t="shared" si="53"/>
        <v>0.13802206135815226</v>
      </c>
    </row>
    <row r="72" spans="1:26" s="24" customFormat="1" hidden="1" outlineLevel="2" x14ac:dyDescent="0.25">
      <c r="A72" s="29"/>
      <c r="B72" s="11" t="str">
        <f>CONCATENATE("          ", "6314", " - ", "LIABILITY INSURANCE")</f>
        <v xml:space="preserve">          6314 - LIABILITY INSURANCE</v>
      </c>
      <c r="C72" s="11"/>
      <c r="D72" s="7">
        <v>4483.67</v>
      </c>
      <c r="E72" s="2"/>
      <c r="F72" s="6">
        <f t="shared" si="46"/>
        <v>6.2126498250450572E-2</v>
      </c>
      <c r="G72" s="2"/>
      <c r="H72" s="7">
        <v>4835</v>
      </c>
      <c r="I72" s="2"/>
      <c r="J72" s="6">
        <f t="shared" si="47"/>
        <v>0.12996613085317993</v>
      </c>
      <c r="K72" s="2"/>
      <c r="L72" s="7">
        <f t="shared" si="48"/>
        <v>-351.32999999999993</v>
      </c>
      <c r="M72" s="2"/>
      <c r="N72" s="6">
        <f t="shared" si="49"/>
        <v>-7.2663908996897605E-2</v>
      </c>
      <c r="O72" s="11"/>
      <c r="P72" s="7">
        <v>33014.019999999997</v>
      </c>
      <c r="Q72" s="2"/>
      <c r="R72" s="6">
        <f t="shared" si="50"/>
        <v>0.16775376603521319</v>
      </c>
      <c r="S72" s="2"/>
      <c r="T72" s="7">
        <v>29010</v>
      </c>
      <c r="U72" s="2"/>
      <c r="V72" s="6">
        <f t="shared" si="51"/>
        <v>0.10531895196569964</v>
      </c>
      <c r="W72" s="2"/>
      <c r="X72" s="7">
        <f t="shared" si="52"/>
        <v>4004.0199999999968</v>
      </c>
      <c r="Y72" s="2"/>
      <c r="Z72" s="6">
        <f t="shared" si="53"/>
        <v>0.13802206135815226</v>
      </c>
    </row>
    <row r="73" spans="1:26" s="28" customFormat="1" outlineLevel="1" collapsed="1" x14ac:dyDescent="0.25">
      <c r="A73" s="27"/>
      <c r="B73" s="14" t="str">
        <f>CONCATENATE("     ","Interest                                          ")</f>
        <v xml:space="preserve">     Interest                                          </v>
      </c>
      <c r="C73" s="14"/>
      <c r="D73" s="1">
        <f>SUM(OSRRefD22_11x_0)</f>
        <v>11554</v>
      </c>
      <c r="E73" s="1"/>
      <c r="F73" s="5">
        <f t="shared" si="46"/>
        <v>0.16009419979296111</v>
      </c>
      <c r="G73" s="1"/>
      <c r="H73" s="1">
        <f>SUM(OSRRefH22_11x_0)</f>
        <v>11554</v>
      </c>
      <c r="I73" s="1"/>
      <c r="J73" s="5">
        <f t="shared" si="47"/>
        <v>0.31057470028493089</v>
      </c>
      <c r="K73" s="1"/>
      <c r="L73" s="1">
        <f t="shared" si="48"/>
        <v>0</v>
      </c>
      <c r="M73" s="1"/>
      <c r="N73" s="5">
        <f t="shared" si="49"/>
        <v>0</v>
      </c>
      <c r="O73" s="14"/>
      <c r="P73" s="1">
        <f>SUM(OSRRefP22_11x_0)</f>
        <v>68575</v>
      </c>
      <c r="Q73" s="1"/>
      <c r="R73" s="5">
        <f t="shared" si="50"/>
        <v>0.34844937108127838</v>
      </c>
      <c r="S73" s="1"/>
      <c r="T73" s="1">
        <f>SUM(OSRRefT22_11x_0)</f>
        <v>69324</v>
      </c>
      <c r="U73" s="1"/>
      <c r="V73" s="5">
        <f t="shared" si="51"/>
        <v>0.25167635388039167</v>
      </c>
      <c r="W73" s="1"/>
      <c r="X73" s="1">
        <f t="shared" si="52"/>
        <v>-749</v>
      </c>
      <c r="Y73" s="1"/>
      <c r="Z73" s="5">
        <f t="shared" si="53"/>
        <v>-1.080433904564076E-2</v>
      </c>
    </row>
    <row r="74" spans="1:26" s="24" customFormat="1" hidden="1" outlineLevel="2" x14ac:dyDescent="0.25">
      <c r="A74" s="29"/>
      <c r="B74" s="11" t="str">
        <f>CONCATENATE("          ", "6401", " - ", "INTEREST EXPENSE")</f>
        <v xml:space="preserve">          6401 - INTEREST EXPENSE</v>
      </c>
      <c r="C74" s="11"/>
      <c r="D74" s="7">
        <v>11554</v>
      </c>
      <c r="E74" s="2"/>
      <c r="F74" s="6">
        <f t="shared" si="46"/>
        <v>0.16009419979296111</v>
      </c>
      <c r="G74" s="2"/>
      <c r="H74" s="7">
        <v>11554</v>
      </c>
      <c r="I74" s="2"/>
      <c r="J74" s="6">
        <f t="shared" si="47"/>
        <v>0.31057470028493089</v>
      </c>
      <c r="K74" s="2"/>
      <c r="L74" s="7">
        <f t="shared" si="48"/>
        <v>0</v>
      </c>
      <c r="M74" s="2"/>
      <c r="N74" s="6">
        <f t="shared" si="49"/>
        <v>0</v>
      </c>
      <c r="O74" s="11"/>
      <c r="P74" s="7">
        <v>68575</v>
      </c>
      <c r="Q74" s="2"/>
      <c r="R74" s="6">
        <f t="shared" si="50"/>
        <v>0.34844937108127838</v>
      </c>
      <c r="S74" s="2"/>
      <c r="T74" s="7">
        <v>69324</v>
      </c>
      <c r="U74" s="2"/>
      <c r="V74" s="6">
        <f t="shared" si="51"/>
        <v>0.25167635388039167</v>
      </c>
      <c r="W74" s="2"/>
      <c r="X74" s="7">
        <f t="shared" si="52"/>
        <v>-749</v>
      </c>
      <c r="Y74" s="2"/>
      <c r="Z74" s="6">
        <f t="shared" si="53"/>
        <v>-1.080433904564076E-2</v>
      </c>
    </row>
    <row r="75" spans="1:26" s="28" customFormat="1" outlineLevel="1" collapsed="1" x14ac:dyDescent="0.25">
      <c r="A75" s="27"/>
      <c r="B75" s="14" t="str">
        <f>CONCATENATE("     ","Rent                                              ")</f>
        <v xml:space="preserve">     Rent                                              </v>
      </c>
      <c r="C75" s="14"/>
      <c r="D75" s="1">
        <f>SUM(OSRRefD22_12x_0)</f>
        <v>5550</v>
      </c>
      <c r="E75" s="1"/>
      <c r="F75" s="5">
        <f t="shared" si="46"/>
        <v>7.6901749078322146E-2</v>
      </c>
      <c r="G75" s="1"/>
      <c r="H75" s="1">
        <f>SUM(OSRRefH22_12x_0)</f>
        <v>1943</v>
      </c>
      <c r="I75" s="1"/>
      <c r="J75" s="5">
        <f t="shared" si="47"/>
        <v>5.2228374818558139E-2</v>
      </c>
      <c r="K75" s="1"/>
      <c r="L75" s="1">
        <f t="shared" si="48"/>
        <v>3607</v>
      </c>
      <c r="M75" s="1"/>
      <c r="N75" s="5">
        <f t="shared" si="49"/>
        <v>1.856407617086979</v>
      </c>
      <c r="O75" s="14"/>
      <c r="P75" s="1">
        <f>SUM(OSRRefP22_12x_0)</f>
        <v>11100</v>
      </c>
      <c r="Q75" s="1"/>
      <c r="R75" s="5">
        <f t="shared" si="50"/>
        <v>5.6402304323765071E-2</v>
      </c>
      <c r="S75" s="1"/>
      <c r="T75" s="1">
        <f>SUM(OSRRefT22_12x_0)</f>
        <v>11658</v>
      </c>
      <c r="U75" s="1"/>
      <c r="V75" s="5">
        <f t="shared" si="51"/>
        <v>4.2323624336991605E-2</v>
      </c>
      <c r="W75" s="1"/>
      <c r="X75" s="1">
        <f t="shared" si="52"/>
        <v>-558</v>
      </c>
      <c r="Y75" s="1"/>
      <c r="Z75" s="5">
        <f t="shared" si="53"/>
        <v>-4.7864127637673698E-2</v>
      </c>
    </row>
    <row r="76" spans="1:26" s="24" customFormat="1" hidden="1" outlineLevel="2" x14ac:dyDescent="0.25">
      <c r="A76" s="29"/>
      <c r="B76" s="11" t="str">
        <f>CONCATENATE("          ", "6273", " - ", "RENT")</f>
        <v xml:space="preserve">          6273 - RENT</v>
      </c>
      <c r="C76" s="11"/>
      <c r="D76" s="7">
        <v>5550</v>
      </c>
      <c r="E76" s="2"/>
      <c r="F76" s="6">
        <f t="shared" si="46"/>
        <v>7.6901749078322146E-2</v>
      </c>
      <c r="G76" s="2"/>
      <c r="H76" s="7">
        <v>1943</v>
      </c>
      <c r="I76" s="2"/>
      <c r="J76" s="6">
        <f t="shared" si="47"/>
        <v>5.2228374818558139E-2</v>
      </c>
      <c r="K76" s="2"/>
      <c r="L76" s="7">
        <f t="shared" si="48"/>
        <v>3607</v>
      </c>
      <c r="M76" s="2"/>
      <c r="N76" s="6">
        <f t="shared" si="49"/>
        <v>1.856407617086979</v>
      </c>
      <c r="O76" s="11"/>
      <c r="P76" s="7">
        <v>11100</v>
      </c>
      <c r="Q76" s="2"/>
      <c r="R76" s="6">
        <f t="shared" si="50"/>
        <v>5.6402304323765071E-2</v>
      </c>
      <c r="S76" s="2"/>
      <c r="T76" s="7">
        <v>11658</v>
      </c>
      <c r="U76" s="2"/>
      <c r="V76" s="6">
        <f t="shared" si="51"/>
        <v>4.2323624336991605E-2</v>
      </c>
      <c r="W76" s="2"/>
      <c r="X76" s="7">
        <f t="shared" si="52"/>
        <v>-558</v>
      </c>
      <c r="Y76" s="2"/>
      <c r="Z76" s="6">
        <f t="shared" si="53"/>
        <v>-4.7864127637673698E-2</v>
      </c>
    </row>
    <row r="77" spans="1:26" s="28" customFormat="1" outlineLevel="1" collapsed="1" x14ac:dyDescent="0.25">
      <c r="A77" s="27"/>
      <c r="B77" s="14" t="str">
        <f>CONCATENATE("     ","Repair and Maintenance                            ")</f>
        <v xml:space="preserve">     Repair and Maintenance                            </v>
      </c>
      <c r="C77" s="14"/>
      <c r="D77" s="1">
        <f>SUM(OSRRefD22_13x_0)</f>
        <v>1988.17</v>
      </c>
      <c r="E77" s="1"/>
      <c r="F77" s="5">
        <f t="shared" si="46"/>
        <v>2.7548423507215813E-2</v>
      </c>
      <c r="G77" s="1"/>
      <c r="H77" s="1">
        <f>SUM(OSRRefH22_13x_0)</f>
        <v>3920</v>
      </c>
      <c r="I77" s="1"/>
      <c r="J77" s="5">
        <f t="shared" si="47"/>
        <v>0.10537067899575292</v>
      </c>
      <c r="K77" s="1"/>
      <c r="L77" s="1">
        <f t="shared" si="48"/>
        <v>-1931.83</v>
      </c>
      <c r="M77" s="1"/>
      <c r="N77" s="5">
        <f t="shared" si="49"/>
        <v>-0.49281377551020406</v>
      </c>
      <c r="O77" s="14"/>
      <c r="P77" s="1">
        <f>SUM(OSRRefP22_13x_0)</f>
        <v>22150.83</v>
      </c>
      <c r="Q77" s="1"/>
      <c r="R77" s="5">
        <f t="shared" si="50"/>
        <v>0.11255476168324191</v>
      </c>
      <c r="S77" s="1"/>
      <c r="T77" s="1">
        <f>SUM(OSRRefT22_13x_0)</f>
        <v>18919</v>
      </c>
      <c r="U77" s="1"/>
      <c r="V77" s="5">
        <f t="shared" si="51"/>
        <v>6.8684221035472989E-2</v>
      </c>
      <c r="W77" s="1"/>
      <c r="X77" s="1">
        <f t="shared" si="52"/>
        <v>3231.8300000000017</v>
      </c>
      <c r="Y77" s="1"/>
      <c r="Z77" s="5">
        <f t="shared" si="53"/>
        <v>0.17082456789470912</v>
      </c>
    </row>
    <row r="78" spans="1:26" s="24" customFormat="1" hidden="1" outlineLevel="2" x14ac:dyDescent="0.25">
      <c r="A78" s="29"/>
      <c r="B78" s="11" t="str">
        <f>CONCATENATE("          ", "6371", " - ", "COMPUTER SOFTWARE MAINTENANCE")</f>
        <v xml:space="preserve">          6371 - COMPUTER SOFTWARE MAINTENANCE</v>
      </c>
      <c r="C78" s="11"/>
      <c r="D78" s="7"/>
      <c r="E78" s="2"/>
      <c r="F78" s="6">
        <f t="shared" si="46"/>
        <v>0</v>
      </c>
      <c r="G78" s="2"/>
      <c r="H78" s="7"/>
      <c r="I78" s="2"/>
      <c r="J78" s="6">
        <f t="shared" si="47"/>
        <v>0</v>
      </c>
      <c r="K78" s="2"/>
      <c r="L78" s="7">
        <f t="shared" si="48"/>
        <v>0</v>
      </c>
      <c r="M78" s="2"/>
      <c r="N78" s="6">
        <f t="shared" si="49"/>
        <v>0</v>
      </c>
      <c r="O78" s="11"/>
      <c r="P78" s="7"/>
      <c r="Q78" s="2"/>
      <c r="R78" s="6">
        <f t="shared" si="50"/>
        <v>0</v>
      </c>
      <c r="S78" s="2"/>
      <c r="T78" s="7">
        <v>43</v>
      </c>
      <c r="U78" s="2"/>
      <c r="V78" s="6">
        <f t="shared" si="51"/>
        <v>1.5610875334453927E-4</v>
      </c>
      <c r="W78" s="2"/>
      <c r="X78" s="7">
        <f t="shared" si="52"/>
        <v>-43</v>
      </c>
      <c r="Y78" s="2"/>
      <c r="Z78" s="6">
        <f t="shared" si="53"/>
        <v>-1</v>
      </c>
    </row>
    <row r="79" spans="1:26" s="24" customFormat="1" hidden="1" outlineLevel="2" x14ac:dyDescent="0.25">
      <c r="A79" s="29"/>
      <c r="B79" s="11" t="str">
        <f>CONCATENATE("          ", "6372", " - ", "COMPUTER HARDWARE MAINTENANCE")</f>
        <v xml:space="preserve">          6372 - COMPUTER HARDWARE MAINTENANCE</v>
      </c>
      <c r="C79" s="11"/>
      <c r="D79" s="7"/>
      <c r="E79" s="2"/>
      <c r="F79" s="6">
        <f t="shared" si="46"/>
        <v>0</v>
      </c>
      <c r="G79" s="2"/>
      <c r="H79" s="7"/>
      <c r="I79" s="2"/>
      <c r="J79" s="6">
        <f t="shared" si="47"/>
        <v>0</v>
      </c>
      <c r="K79" s="2"/>
      <c r="L79" s="7">
        <f t="shared" si="48"/>
        <v>0</v>
      </c>
      <c r="M79" s="2"/>
      <c r="N79" s="6">
        <f t="shared" si="49"/>
        <v>0</v>
      </c>
      <c r="O79" s="11"/>
      <c r="P79" s="7"/>
      <c r="Q79" s="2"/>
      <c r="R79" s="6">
        <f t="shared" si="50"/>
        <v>0</v>
      </c>
      <c r="S79" s="2"/>
      <c r="T79" s="7">
        <v>437</v>
      </c>
      <c r="U79" s="2"/>
      <c r="V79" s="6">
        <f t="shared" si="51"/>
        <v>1.5865005863154342E-3</v>
      </c>
      <c r="W79" s="2"/>
      <c r="X79" s="7">
        <f t="shared" si="52"/>
        <v>-437</v>
      </c>
      <c r="Y79" s="2"/>
      <c r="Z79" s="6">
        <f t="shared" si="53"/>
        <v>-1</v>
      </c>
    </row>
    <row r="80" spans="1:26" s="24" customFormat="1" hidden="1" outlineLevel="2" x14ac:dyDescent="0.25">
      <c r="A80" s="29"/>
      <c r="B80" s="11" t="str">
        <f>CONCATENATE("          ", "6373", " - ", "MAINTENANCE CONTRACTS")</f>
        <v xml:space="preserve">          6373 - MAINTENANCE CONTRACTS</v>
      </c>
      <c r="C80" s="11"/>
      <c r="D80" s="7">
        <v>1545.7</v>
      </c>
      <c r="E80" s="2"/>
      <c r="F80" s="6">
        <f t="shared" si="46"/>
        <v>2.1417483522587846E-2</v>
      </c>
      <c r="G80" s="2"/>
      <c r="H80" s="7">
        <v>1968</v>
      </c>
      <c r="I80" s="2"/>
      <c r="J80" s="6">
        <f t="shared" si="47"/>
        <v>5.2900381699908607E-2</v>
      </c>
      <c r="K80" s="2"/>
      <c r="L80" s="7">
        <f t="shared" si="48"/>
        <v>-422.29999999999995</v>
      </c>
      <c r="M80" s="2"/>
      <c r="N80" s="6">
        <f t="shared" si="49"/>
        <v>-0.21458333333333332</v>
      </c>
      <c r="O80" s="11"/>
      <c r="P80" s="7">
        <v>11978.04</v>
      </c>
      <c r="Q80" s="2"/>
      <c r="R80" s="6">
        <f t="shared" si="50"/>
        <v>6.0863879034435228E-2</v>
      </c>
      <c r="S80" s="2"/>
      <c r="T80" s="7">
        <v>3979</v>
      </c>
      <c r="U80" s="2"/>
      <c r="V80" s="6">
        <f t="shared" si="51"/>
        <v>1.4445505338556321E-2</v>
      </c>
      <c r="W80" s="2"/>
      <c r="X80" s="7">
        <f t="shared" si="52"/>
        <v>7999.0400000000009</v>
      </c>
      <c r="Y80" s="2"/>
      <c r="Z80" s="6">
        <f t="shared" si="53"/>
        <v>2.0103141492837397</v>
      </c>
    </row>
    <row r="81" spans="1:26" s="24" customFormat="1" hidden="1" outlineLevel="2" x14ac:dyDescent="0.25">
      <c r="A81" s="29"/>
      <c r="B81" s="11" t="str">
        <f>CONCATENATE("          ", "6375", " - ", "OUTSIDE REPAIRS &amp; MAINTENANCE")</f>
        <v xml:space="preserve">          6375 - OUTSIDE REPAIRS &amp; MAINTENANCE</v>
      </c>
      <c r="C81" s="11"/>
      <c r="D81" s="7">
        <v>442.47</v>
      </c>
      <c r="E81" s="2"/>
      <c r="F81" s="6">
        <f t="shared" si="46"/>
        <v>6.1309399846279644E-3</v>
      </c>
      <c r="G81" s="2"/>
      <c r="H81" s="7">
        <v>1952</v>
      </c>
      <c r="I81" s="2"/>
      <c r="J81" s="6">
        <f t="shared" si="47"/>
        <v>5.2470297295844306E-2</v>
      </c>
      <c r="K81" s="2"/>
      <c r="L81" s="7">
        <f t="shared" si="48"/>
        <v>-1509.53</v>
      </c>
      <c r="M81" s="2"/>
      <c r="N81" s="6">
        <f t="shared" si="49"/>
        <v>-0.77332479508196716</v>
      </c>
      <c r="O81" s="11"/>
      <c r="P81" s="7">
        <v>10172.790000000001</v>
      </c>
      <c r="Q81" s="2"/>
      <c r="R81" s="6">
        <f t="shared" si="50"/>
        <v>5.1690882648806676E-2</v>
      </c>
      <c r="S81" s="2"/>
      <c r="T81" s="7">
        <v>14460</v>
      </c>
      <c r="U81" s="2"/>
      <c r="V81" s="6">
        <f t="shared" si="51"/>
        <v>5.2496106357256697E-2</v>
      </c>
      <c r="W81" s="2"/>
      <c r="X81" s="7">
        <f t="shared" si="52"/>
        <v>-4287.2099999999991</v>
      </c>
      <c r="Y81" s="2"/>
      <c r="Z81" s="6">
        <f t="shared" si="53"/>
        <v>-0.29648755186721987</v>
      </c>
    </row>
    <row r="82" spans="1:26" s="28" customFormat="1" outlineLevel="1" collapsed="1" x14ac:dyDescent="0.25">
      <c r="A82" s="27"/>
      <c r="B82" s="14" t="str">
        <f>CONCATENATE("     ","Royalty &amp; Commissions                             ")</f>
        <v xml:space="preserve">     Royalty &amp; Commissions                             </v>
      </c>
      <c r="C82" s="14"/>
      <c r="D82" s="1">
        <f>SUM(OSRRefD22_14x_0)</f>
        <v>0</v>
      </c>
      <c r="E82" s="1"/>
      <c r="F82" s="5">
        <f t="shared" ref="F82:F84" si="54">IF(D$12=0,0,D82/D$12)</f>
        <v>0</v>
      </c>
      <c r="G82" s="1"/>
      <c r="H82" s="1">
        <f>SUM(OSRRefH22_14x_0)</f>
        <v>433</v>
      </c>
      <c r="I82" s="1"/>
      <c r="J82" s="5">
        <f t="shared" ref="J82:J84" si="55">IF(H$12=0,0,H82/H$12)</f>
        <v>1.1639159184990054E-2</v>
      </c>
      <c r="K82" s="1"/>
      <c r="L82" s="1">
        <f t="shared" ref="L82:L84" si="56">+D82-H82</f>
        <v>-433</v>
      </c>
      <c r="M82" s="1"/>
      <c r="N82" s="5">
        <f t="shared" ref="N82:N84" si="57">IF(H82=0,0,L82/H82)</f>
        <v>-1</v>
      </c>
      <c r="O82" s="14"/>
      <c r="P82" s="1">
        <f>SUM(OSRRefP22_14x_0)</f>
        <v>185.7</v>
      </c>
      <c r="Q82" s="1"/>
      <c r="R82" s="5">
        <f t="shared" ref="R82:R84" si="58">IF(P$12=0,0,P82/P$12)</f>
        <v>9.4359530747055616E-4</v>
      </c>
      <c r="S82" s="1"/>
      <c r="T82" s="1">
        <f>SUM(OSRRefT22_14x_0)</f>
        <v>3158</v>
      </c>
      <c r="U82" s="1"/>
      <c r="V82" s="5">
        <f t="shared" ref="V82:V84" si="59">IF(T$12=0,0,T82/T$12)</f>
        <v>1.1464917280512908E-2</v>
      </c>
      <c r="W82" s="1"/>
      <c r="X82" s="1">
        <f t="shared" ref="X82:X84" si="60">+P82-T82</f>
        <v>-2972.3</v>
      </c>
      <c r="Y82" s="1"/>
      <c r="Z82" s="5">
        <f t="shared" ref="Z82:Z84" si="61">IF(T82=0,0,X82/T82)</f>
        <v>-0.94119696010133003</v>
      </c>
    </row>
    <row r="83" spans="1:26" s="24" customFormat="1" hidden="1" outlineLevel="2" x14ac:dyDescent="0.25">
      <c r="A83" s="29"/>
      <c r="B83" s="11" t="str">
        <f>CONCATENATE("          ", "6254", " - ", "ROYALTY &amp; COMMISSIONS")</f>
        <v xml:space="preserve">          6254 - ROYALTY &amp; COMMISSIONS</v>
      </c>
      <c r="C83" s="11"/>
      <c r="D83" s="7"/>
      <c r="E83" s="2"/>
      <c r="F83" s="6">
        <f t="shared" si="54"/>
        <v>0</v>
      </c>
      <c r="G83" s="2"/>
      <c r="H83" s="7">
        <v>0</v>
      </c>
      <c r="I83" s="2"/>
      <c r="J83" s="6">
        <f t="shared" si="55"/>
        <v>0</v>
      </c>
      <c r="K83" s="2"/>
      <c r="L83" s="7">
        <f t="shared" si="56"/>
        <v>0</v>
      </c>
      <c r="M83" s="2"/>
      <c r="N83" s="6">
        <f t="shared" si="57"/>
        <v>0</v>
      </c>
      <c r="O83" s="11"/>
      <c r="P83" s="7">
        <v>185.7</v>
      </c>
      <c r="Q83" s="2"/>
      <c r="R83" s="6">
        <f t="shared" si="58"/>
        <v>9.4359530747055616E-4</v>
      </c>
      <c r="S83" s="2"/>
      <c r="T83" s="7">
        <v>0</v>
      </c>
      <c r="U83" s="2"/>
      <c r="V83" s="6">
        <f t="shared" si="59"/>
        <v>0</v>
      </c>
      <c r="W83" s="2"/>
      <c r="X83" s="7">
        <f t="shared" si="60"/>
        <v>185.7</v>
      </c>
      <c r="Y83" s="2"/>
      <c r="Z83" s="6">
        <f t="shared" si="61"/>
        <v>0</v>
      </c>
    </row>
    <row r="84" spans="1:26" s="24" customFormat="1" hidden="1" outlineLevel="2" x14ac:dyDescent="0.25">
      <c r="A84" s="29"/>
      <c r="B84" s="11" t="str">
        <f>CONCATENATE("          ", "6259", " - ", "ROYALTY &amp; COMMISSIONS")</f>
        <v xml:space="preserve">          6259 - ROYALTY &amp; COMMISSIONS</v>
      </c>
      <c r="C84" s="11"/>
      <c r="D84" s="7"/>
      <c r="E84" s="2"/>
      <c r="F84" s="6">
        <f t="shared" si="54"/>
        <v>0</v>
      </c>
      <c r="G84" s="2"/>
      <c r="H84" s="7">
        <v>433</v>
      </c>
      <c r="I84" s="2"/>
      <c r="J84" s="6">
        <f t="shared" si="55"/>
        <v>1.1639159184990054E-2</v>
      </c>
      <c r="K84" s="2"/>
      <c r="L84" s="7">
        <f t="shared" si="56"/>
        <v>-433</v>
      </c>
      <c r="M84" s="2"/>
      <c r="N84" s="6">
        <f t="shared" si="57"/>
        <v>-1</v>
      </c>
      <c r="O84" s="11"/>
      <c r="P84" s="7"/>
      <c r="Q84" s="2"/>
      <c r="R84" s="6">
        <f t="shared" si="58"/>
        <v>0</v>
      </c>
      <c r="S84" s="2"/>
      <c r="T84" s="7">
        <v>3158</v>
      </c>
      <c r="U84" s="2"/>
      <c r="V84" s="6">
        <f t="shared" si="59"/>
        <v>1.1464917280512908E-2</v>
      </c>
      <c r="W84" s="2"/>
      <c r="X84" s="7">
        <f t="shared" si="60"/>
        <v>-3158</v>
      </c>
      <c r="Y84" s="2"/>
      <c r="Z84" s="6">
        <f t="shared" si="61"/>
        <v>-1</v>
      </c>
    </row>
    <row r="85" spans="1:26" s="28" customFormat="1" outlineLevel="1" collapsed="1" x14ac:dyDescent="0.25">
      <c r="A85" s="27"/>
      <c r="B85" s="14" t="str">
        <f>CONCATENATE("     ","Services                                          ")</f>
        <v xml:space="preserve">     Services                                          </v>
      </c>
      <c r="C85" s="14"/>
      <c r="D85" s="1">
        <f>SUM(OSRRefD22_15x_0)</f>
        <v>12158.68</v>
      </c>
      <c r="E85" s="1"/>
      <c r="F85" s="5">
        <f t="shared" ref="F85:F90" si="62">IF(D$12=0,0,D85/D$12)</f>
        <v>0.16847274927632686</v>
      </c>
      <c r="G85" s="1"/>
      <c r="H85" s="1">
        <f>SUM(OSRRefH22_15x_0)</f>
        <v>11315</v>
      </c>
      <c r="I85" s="1"/>
      <c r="J85" s="5">
        <f t="shared" ref="J85:J90" si="63">IF(H$12=0,0,H85/H$12)</f>
        <v>0.30415031449922048</v>
      </c>
      <c r="K85" s="1"/>
      <c r="L85" s="1">
        <f t="shared" ref="L85:L90" si="64">+D85-H85</f>
        <v>843.68000000000029</v>
      </c>
      <c r="M85" s="1"/>
      <c r="N85" s="5">
        <f t="shared" ref="N85:N90" si="65">IF(H85=0,0,L85/H85)</f>
        <v>7.4562969509500684E-2</v>
      </c>
      <c r="O85" s="14"/>
      <c r="P85" s="1">
        <f>SUM(OSRRefP22_15x_0)</f>
        <v>37043.15</v>
      </c>
      <c r="Q85" s="1"/>
      <c r="R85" s="5">
        <f t="shared" ref="R85:R90" si="66">IF(P$12=0,0,P85/P$12)</f>
        <v>0.1882269386856647</v>
      </c>
      <c r="S85" s="1"/>
      <c r="T85" s="1">
        <f>SUM(OSRRefT22_15x_0)</f>
        <v>48341</v>
      </c>
      <c r="U85" s="1"/>
      <c r="V85" s="5">
        <f t="shared" ref="V85:V90" si="67">IF(T$12=0,0,T85/T$12)</f>
        <v>0.17549891268438078</v>
      </c>
      <c r="W85" s="1"/>
      <c r="X85" s="1">
        <f t="shared" ref="X85:X90" si="68">+P85-T85</f>
        <v>-11297.849999999999</v>
      </c>
      <c r="Y85" s="1"/>
      <c r="Z85" s="5">
        <f t="shared" ref="Z85:Z90" si="69">IF(T85=0,0,X85/T85)</f>
        <v>-0.23371154920254025</v>
      </c>
    </row>
    <row r="86" spans="1:26" s="24" customFormat="1" hidden="1" outlineLevel="2" x14ac:dyDescent="0.25">
      <c r="A86" s="29"/>
      <c r="B86" s="11" t="str">
        <f>CONCATENATE("          ", "6282", " - ", "JANITORIAL/EXTERMINATOR EXPENS")</f>
        <v xml:space="preserve">          6282 - JANITORIAL/EXTERMINATOR EXPENS</v>
      </c>
      <c r="C86" s="11"/>
      <c r="D86" s="7">
        <v>3214.69</v>
      </c>
      <c r="E86" s="2"/>
      <c r="F86" s="6">
        <f t="shared" si="62"/>
        <v>4.4543294368394853E-2</v>
      </c>
      <c r="G86" s="2"/>
      <c r="H86" s="7">
        <v>2369</v>
      </c>
      <c r="I86" s="2"/>
      <c r="J86" s="6">
        <f t="shared" si="63"/>
        <v>6.3679372076770061E-2</v>
      </c>
      <c r="K86" s="2"/>
      <c r="L86" s="7">
        <f t="shared" si="64"/>
        <v>845.69</v>
      </c>
      <c r="M86" s="2"/>
      <c r="N86" s="6">
        <f t="shared" si="65"/>
        <v>0.35698184888138457</v>
      </c>
      <c r="O86" s="11"/>
      <c r="P86" s="7">
        <v>4838.18</v>
      </c>
      <c r="Q86" s="2"/>
      <c r="R86" s="6">
        <f t="shared" si="66"/>
        <v>2.4584189255239072E-2</v>
      </c>
      <c r="S86" s="2"/>
      <c r="T86" s="7">
        <v>7458</v>
      </c>
      <c r="U86" s="2"/>
      <c r="V86" s="6">
        <f t="shared" si="67"/>
        <v>2.7075792614966836E-2</v>
      </c>
      <c r="W86" s="2"/>
      <c r="X86" s="7">
        <f t="shared" si="68"/>
        <v>-2619.8199999999997</v>
      </c>
      <c r="Y86" s="2"/>
      <c r="Z86" s="6">
        <f t="shared" si="69"/>
        <v>-0.35127648163046388</v>
      </c>
    </row>
    <row r="87" spans="1:26" s="24" customFormat="1" hidden="1" outlineLevel="2" x14ac:dyDescent="0.25">
      <c r="A87" s="29"/>
      <c r="B87" s="11" t="str">
        <f>CONCATENATE("          ", "6283", " - ", "PLANT SERVICE")</f>
        <v xml:space="preserve">          6283 - PLANT SERVICE</v>
      </c>
      <c r="C87" s="11"/>
      <c r="D87" s="7"/>
      <c r="E87" s="2"/>
      <c r="F87" s="6">
        <f t="shared" si="62"/>
        <v>0</v>
      </c>
      <c r="G87" s="2"/>
      <c r="H87" s="7">
        <v>0</v>
      </c>
      <c r="I87" s="2"/>
      <c r="J87" s="6">
        <f t="shared" si="63"/>
        <v>0</v>
      </c>
      <c r="K87" s="2"/>
      <c r="L87" s="7">
        <f t="shared" si="64"/>
        <v>0</v>
      </c>
      <c r="M87" s="2"/>
      <c r="N87" s="6">
        <f t="shared" si="65"/>
        <v>0</v>
      </c>
      <c r="O87" s="11"/>
      <c r="P87" s="7"/>
      <c r="Q87" s="2"/>
      <c r="R87" s="6">
        <f t="shared" si="66"/>
        <v>0</v>
      </c>
      <c r="S87" s="2"/>
      <c r="T87" s="7">
        <v>248</v>
      </c>
      <c r="U87" s="2"/>
      <c r="V87" s="6">
        <f t="shared" si="67"/>
        <v>9.0034815882431962E-4</v>
      </c>
      <c r="W87" s="2"/>
      <c r="X87" s="7">
        <f t="shared" si="68"/>
        <v>-248</v>
      </c>
      <c r="Y87" s="2"/>
      <c r="Z87" s="6">
        <f t="shared" si="69"/>
        <v>-1</v>
      </c>
    </row>
    <row r="88" spans="1:26" s="24" customFormat="1" hidden="1" outlineLevel="2" x14ac:dyDescent="0.25">
      <c r="A88" s="29"/>
      <c r="B88" s="11" t="str">
        <f>CONCATENATE("          ", "6284", " - ", "TRASH REMOVAL EXPENSE")</f>
        <v xml:space="preserve">          6284 - TRASH REMOVAL EXPENSE</v>
      </c>
      <c r="C88" s="11"/>
      <c r="D88" s="7">
        <v>5658</v>
      </c>
      <c r="E88" s="2"/>
      <c r="F88" s="6">
        <f t="shared" si="62"/>
        <v>7.839821554687329E-2</v>
      </c>
      <c r="G88" s="2"/>
      <c r="H88" s="7">
        <v>5351</v>
      </c>
      <c r="I88" s="2"/>
      <c r="J88" s="6">
        <f t="shared" si="63"/>
        <v>0.14383635288425353</v>
      </c>
      <c r="K88" s="2"/>
      <c r="L88" s="7">
        <f t="shared" si="64"/>
        <v>307</v>
      </c>
      <c r="M88" s="2"/>
      <c r="N88" s="6">
        <f t="shared" si="65"/>
        <v>5.7372453746963183E-2</v>
      </c>
      <c r="O88" s="11"/>
      <c r="P88" s="7">
        <v>19446</v>
      </c>
      <c r="Q88" s="2"/>
      <c r="R88" s="6">
        <f t="shared" si="66"/>
        <v>9.881073962882303E-2</v>
      </c>
      <c r="S88" s="2"/>
      <c r="T88" s="7">
        <v>19091</v>
      </c>
      <c r="U88" s="2"/>
      <c r="V88" s="6">
        <f t="shared" si="67"/>
        <v>6.9308656048851142E-2</v>
      </c>
      <c r="W88" s="2"/>
      <c r="X88" s="7">
        <f t="shared" si="68"/>
        <v>355</v>
      </c>
      <c r="Y88" s="2"/>
      <c r="Z88" s="6">
        <f t="shared" si="69"/>
        <v>1.8595149546906921E-2</v>
      </c>
    </row>
    <row r="89" spans="1:26" s="24" customFormat="1" hidden="1" outlineLevel="2" x14ac:dyDescent="0.25">
      <c r="A89" s="29"/>
      <c r="B89" s="11" t="str">
        <f>CONCATENATE("          ", "6285", " - ", "JANITORIAL SERVICES")</f>
        <v xml:space="preserve">          6285 - JANITORIAL SERVICES</v>
      </c>
      <c r="C89" s="11"/>
      <c r="D89" s="7">
        <v>3179.44</v>
      </c>
      <c r="E89" s="2"/>
      <c r="F89" s="6">
        <f t="shared" si="62"/>
        <v>4.4054864340464968E-2</v>
      </c>
      <c r="G89" s="2"/>
      <c r="H89" s="7">
        <v>3491</v>
      </c>
      <c r="I89" s="2"/>
      <c r="J89" s="6">
        <f t="shared" si="63"/>
        <v>9.3839040911778943E-2</v>
      </c>
      <c r="K89" s="2"/>
      <c r="L89" s="7">
        <f t="shared" si="64"/>
        <v>-311.55999999999995</v>
      </c>
      <c r="M89" s="2"/>
      <c r="N89" s="6">
        <f t="shared" si="65"/>
        <v>-8.9246634202234304E-2</v>
      </c>
      <c r="O89" s="11"/>
      <c r="P89" s="7">
        <v>11966.21</v>
      </c>
      <c r="Q89" s="2"/>
      <c r="R89" s="6">
        <f t="shared" si="66"/>
        <v>6.0803767389376651E-2</v>
      </c>
      <c r="S89" s="2"/>
      <c r="T89" s="7">
        <v>20959</v>
      </c>
      <c r="U89" s="2"/>
      <c r="V89" s="6">
        <f t="shared" si="67"/>
        <v>7.6090310729027874E-2</v>
      </c>
      <c r="W89" s="2"/>
      <c r="X89" s="7">
        <f t="shared" si="68"/>
        <v>-8992.7900000000009</v>
      </c>
      <c r="Y89" s="2"/>
      <c r="Z89" s="6">
        <f t="shared" si="69"/>
        <v>-0.42906579512381321</v>
      </c>
    </row>
    <row r="90" spans="1:26" s="24" customFormat="1" hidden="1" outlineLevel="2" x14ac:dyDescent="0.25">
      <c r="A90" s="29"/>
      <c r="B90" s="11" t="str">
        <f>CONCATENATE("          ", "6286", " - ", "LAUNDRY EXPENSE")</f>
        <v xml:space="preserve">          6286 - LAUNDRY EXPENSE</v>
      </c>
      <c r="C90" s="11"/>
      <c r="D90" s="7">
        <v>106.55</v>
      </c>
      <c r="E90" s="2"/>
      <c r="F90" s="6">
        <f t="shared" si="62"/>
        <v>1.4763750205937342E-3</v>
      </c>
      <c r="G90" s="2"/>
      <c r="H90" s="7">
        <v>104</v>
      </c>
      <c r="I90" s="2"/>
      <c r="J90" s="6">
        <f t="shared" si="63"/>
        <v>2.7955486264179346E-3</v>
      </c>
      <c r="K90" s="2"/>
      <c r="L90" s="7">
        <f t="shared" si="64"/>
        <v>2.5499999999999972</v>
      </c>
      <c r="M90" s="2"/>
      <c r="N90" s="6">
        <f t="shared" si="65"/>
        <v>2.4519230769230741E-2</v>
      </c>
      <c r="O90" s="11"/>
      <c r="P90" s="7">
        <v>792.76</v>
      </c>
      <c r="Q90" s="2"/>
      <c r="R90" s="6">
        <f t="shared" si="66"/>
        <v>4.0282424122259457E-3</v>
      </c>
      <c r="S90" s="2"/>
      <c r="T90" s="7">
        <v>585</v>
      </c>
      <c r="U90" s="2"/>
      <c r="V90" s="6">
        <f t="shared" si="67"/>
        <v>2.1238051327105924E-3</v>
      </c>
      <c r="W90" s="2"/>
      <c r="X90" s="7">
        <f t="shared" si="68"/>
        <v>207.76</v>
      </c>
      <c r="Y90" s="2"/>
      <c r="Z90" s="6">
        <f t="shared" si="69"/>
        <v>0.35514529914529913</v>
      </c>
    </row>
    <row r="91" spans="1:26" s="28" customFormat="1" outlineLevel="1" collapsed="1" x14ac:dyDescent="0.25">
      <c r="A91" s="27"/>
      <c r="B91" s="14" t="str">
        <f>CONCATENATE("     ","Subscriptions &amp; Dues                              ")</f>
        <v xml:space="preserve">     Subscriptions &amp; Dues                              </v>
      </c>
      <c r="C91" s="14"/>
      <c r="D91" s="1">
        <f>SUM(OSRRefD22_16x_0)</f>
        <v>262.83999999999997</v>
      </c>
      <c r="E91" s="1"/>
      <c r="F91" s="5">
        <f t="shared" ref="F91:F93" si="70">IF(D$12=0,0,D91/D$12)</f>
        <v>3.6419559869812958E-3</v>
      </c>
      <c r="G91" s="1"/>
      <c r="H91" s="1">
        <f>SUM(OSRRefH22_16x_0)</f>
        <v>1273</v>
      </c>
      <c r="I91" s="1"/>
      <c r="J91" s="5">
        <f t="shared" ref="J91:J93" si="71">IF(H$12=0,0,H91/H$12)</f>
        <v>3.4218590398365681E-2</v>
      </c>
      <c r="K91" s="1"/>
      <c r="L91" s="1">
        <f t="shared" ref="L91:L93" si="72">+D91-H91</f>
        <v>-1010.1600000000001</v>
      </c>
      <c r="M91" s="1"/>
      <c r="N91" s="5">
        <f t="shared" ref="N91:N93" si="73">IF(H91=0,0,L91/H91)</f>
        <v>-0.79352710133542814</v>
      </c>
      <c r="O91" s="14"/>
      <c r="P91" s="1">
        <f>SUM(OSRRefP22_16x_0)</f>
        <v>534.16999999999996</v>
      </c>
      <c r="Q91" s="1"/>
      <c r="R91" s="5">
        <f t="shared" ref="R91:R93" si="74">IF(P$12=0,0,P91/P$12)</f>
        <v>2.7142719730293319E-3</v>
      </c>
      <c r="S91" s="1"/>
      <c r="T91" s="1">
        <f>SUM(OSRRefT22_16x_0)</f>
        <v>3138</v>
      </c>
      <c r="U91" s="1"/>
      <c r="V91" s="5">
        <f t="shared" ref="V91:V93" si="75">IF(T$12=0,0,T91/T$12)</f>
        <v>1.1392308558027076E-2</v>
      </c>
      <c r="W91" s="1"/>
      <c r="X91" s="1">
        <f t="shared" ref="X91:X93" si="76">+P91-T91</f>
        <v>-2603.83</v>
      </c>
      <c r="Y91" s="1"/>
      <c r="Z91" s="5">
        <f t="shared" ref="Z91:Z93" si="77">IF(T91=0,0,X91/T91)</f>
        <v>-0.82977374123645631</v>
      </c>
    </row>
    <row r="92" spans="1:26" s="24" customFormat="1" hidden="1" outlineLevel="2" x14ac:dyDescent="0.25">
      <c r="A92" s="29"/>
      <c r="B92" s="11" t="str">
        <f>CONCATENATE("          ", "6258", " - ", "MEMBERSHIP DUES")</f>
        <v xml:space="preserve">          6258 - MEMBERSHIP DUES</v>
      </c>
      <c r="C92" s="11"/>
      <c r="D92" s="7"/>
      <c r="E92" s="2"/>
      <c r="F92" s="6">
        <f t="shared" si="70"/>
        <v>0</v>
      </c>
      <c r="G92" s="2"/>
      <c r="H92" s="7">
        <v>900</v>
      </c>
      <c r="I92" s="2"/>
      <c r="J92" s="6">
        <f t="shared" si="71"/>
        <v>2.419224772861674E-2</v>
      </c>
      <c r="K92" s="2"/>
      <c r="L92" s="7">
        <f t="shared" si="72"/>
        <v>-900</v>
      </c>
      <c r="M92" s="2"/>
      <c r="N92" s="6">
        <f t="shared" si="73"/>
        <v>-1</v>
      </c>
      <c r="O92" s="11"/>
      <c r="P92" s="7"/>
      <c r="Q92" s="2"/>
      <c r="R92" s="6">
        <f t="shared" si="74"/>
        <v>0</v>
      </c>
      <c r="S92" s="2"/>
      <c r="T92" s="7">
        <v>900</v>
      </c>
      <c r="U92" s="2"/>
      <c r="V92" s="6">
        <f t="shared" si="75"/>
        <v>3.26739251186245E-3</v>
      </c>
      <c r="W92" s="2"/>
      <c r="X92" s="7">
        <f t="shared" si="76"/>
        <v>-900</v>
      </c>
      <c r="Y92" s="2"/>
      <c r="Z92" s="6">
        <f t="shared" si="77"/>
        <v>-1</v>
      </c>
    </row>
    <row r="93" spans="1:26" s="24" customFormat="1" hidden="1" outlineLevel="2" x14ac:dyDescent="0.25">
      <c r="A93" s="29"/>
      <c r="B93" s="11" t="str">
        <f>CONCATENATE("          ", "6275", " - ", "SUBSCRIPTIONS")</f>
        <v xml:space="preserve">          6275 - SUBSCRIPTIONS</v>
      </c>
      <c r="C93" s="11"/>
      <c r="D93" s="7">
        <v>262.83999999999997</v>
      </c>
      <c r="E93" s="2"/>
      <c r="F93" s="6">
        <f t="shared" si="70"/>
        <v>3.6419559869812958E-3</v>
      </c>
      <c r="G93" s="2"/>
      <c r="H93" s="7">
        <v>373</v>
      </c>
      <c r="I93" s="2"/>
      <c r="J93" s="6">
        <f t="shared" si="71"/>
        <v>1.0026342669748937E-2</v>
      </c>
      <c r="K93" s="2"/>
      <c r="L93" s="7">
        <f t="shared" si="72"/>
        <v>-110.16000000000003</v>
      </c>
      <c r="M93" s="2"/>
      <c r="N93" s="6">
        <f t="shared" si="73"/>
        <v>-0.2953351206434317</v>
      </c>
      <c r="O93" s="11"/>
      <c r="P93" s="7">
        <v>534.16999999999996</v>
      </c>
      <c r="Q93" s="2"/>
      <c r="R93" s="6">
        <f t="shared" si="74"/>
        <v>2.7142719730293319E-3</v>
      </c>
      <c r="S93" s="2"/>
      <c r="T93" s="7">
        <v>2238</v>
      </c>
      <c r="U93" s="2"/>
      <c r="V93" s="6">
        <f t="shared" si="75"/>
        <v>8.1249160461646253E-3</v>
      </c>
      <c r="W93" s="2"/>
      <c r="X93" s="7">
        <f t="shared" si="76"/>
        <v>-1703.83</v>
      </c>
      <c r="Y93" s="2"/>
      <c r="Z93" s="6">
        <f t="shared" si="77"/>
        <v>-0.76131814119749774</v>
      </c>
    </row>
    <row r="94" spans="1:26" s="28" customFormat="1" outlineLevel="1" collapsed="1" x14ac:dyDescent="0.25">
      <c r="A94" s="27"/>
      <c r="B94" s="14" t="str">
        <f>CONCATENATE("     ","Supplies                                          ")</f>
        <v xml:space="preserve">     Supplies                                          </v>
      </c>
      <c r="C94" s="14"/>
      <c r="D94" s="1">
        <f>SUM(OSRRefD22_17x_0)</f>
        <v>24.36</v>
      </c>
      <c r="E94" s="1"/>
      <c r="F94" s="5">
        <f t="shared" ref="F94:F105" si="78">IF(D$12=0,0,D94/D$12)</f>
        <v>3.3753632568431127E-4</v>
      </c>
      <c r="G94" s="1"/>
      <c r="H94" s="1">
        <f>SUM(OSRRefH22_17x_0)</f>
        <v>3515</v>
      </c>
      <c r="I94" s="1"/>
      <c r="J94" s="5">
        <f t="shared" ref="J94:J105" si="79">IF(H$12=0,0,H94/H$12)</f>
        <v>9.4484167517875389E-2</v>
      </c>
      <c r="K94" s="1"/>
      <c r="L94" s="1">
        <f t="shared" ref="L94:L105" si="80">+D94-H94</f>
        <v>-3490.64</v>
      </c>
      <c r="M94" s="1"/>
      <c r="N94" s="5">
        <f t="shared" ref="N94:N105" si="81">IF(H94=0,0,L94/H94)</f>
        <v>-0.99306970128022753</v>
      </c>
      <c r="O94" s="14"/>
      <c r="P94" s="1">
        <f>SUM(OSRRefP22_17x_0)</f>
        <v>-20452.23</v>
      </c>
      <c r="Q94" s="1"/>
      <c r="R94" s="5">
        <f t="shared" ref="R94:R105" si="82">IF(P$12=0,0,P94/P$12)</f>
        <v>-0.1039236847351025</v>
      </c>
      <c r="S94" s="1"/>
      <c r="T94" s="1">
        <f>SUM(OSRRefT22_17x_0)</f>
        <v>30029</v>
      </c>
      <c r="U94" s="1"/>
      <c r="V94" s="5">
        <f t="shared" ref="V94:V105" si="83">IF(T$12=0,0,T94/T$12)</f>
        <v>0.10901836637635279</v>
      </c>
      <c r="W94" s="1"/>
      <c r="X94" s="1">
        <f t="shared" ref="X94:X105" si="84">+P94-T94</f>
        <v>-50481.229999999996</v>
      </c>
      <c r="Y94" s="1"/>
      <c r="Z94" s="5">
        <f t="shared" ref="Z94:Z105" si="85">IF(T94=0,0,X94/T94)</f>
        <v>-1.6810826201338704</v>
      </c>
    </row>
    <row r="95" spans="1:26" s="24" customFormat="1" hidden="1" outlineLevel="2" x14ac:dyDescent="0.25">
      <c r="A95" s="29"/>
      <c r="B95" s="11" t="str">
        <f>CONCATENATE("          ", "6234", " - ", "EXPENDABLE SUPPLIES &amp; EQUIPMEN")</f>
        <v xml:space="preserve">          6234 - EXPENDABLE SUPPLIES &amp; EQUIPMEN</v>
      </c>
      <c r="C95" s="11"/>
      <c r="D95" s="7"/>
      <c r="E95" s="2"/>
      <c r="F95" s="6">
        <f t="shared" si="78"/>
        <v>0</v>
      </c>
      <c r="G95" s="2"/>
      <c r="H95" s="7"/>
      <c r="I95" s="2"/>
      <c r="J95" s="6">
        <f t="shared" si="79"/>
        <v>0</v>
      </c>
      <c r="K95" s="2"/>
      <c r="L95" s="7">
        <f t="shared" si="80"/>
        <v>0</v>
      </c>
      <c r="M95" s="2"/>
      <c r="N95" s="6">
        <f t="shared" si="81"/>
        <v>0</v>
      </c>
      <c r="O95" s="11"/>
      <c r="P95" s="7">
        <v>627.58000000000004</v>
      </c>
      <c r="Q95" s="2"/>
      <c r="R95" s="6">
        <f t="shared" si="82"/>
        <v>3.1889151484241879E-3</v>
      </c>
      <c r="S95" s="2"/>
      <c r="T95" s="7">
        <v>96</v>
      </c>
      <c r="U95" s="2"/>
      <c r="V95" s="6">
        <f t="shared" si="83"/>
        <v>3.4852186793199469E-4</v>
      </c>
      <c r="W95" s="2"/>
      <c r="X95" s="7">
        <f t="shared" si="84"/>
        <v>531.58000000000004</v>
      </c>
      <c r="Y95" s="2"/>
      <c r="Z95" s="6">
        <f t="shared" si="85"/>
        <v>5.5372916666666674</v>
      </c>
    </row>
    <row r="96" spans="1:26" s="24" customFormat="1" hidden="1" outlineLevel="2" x14ac:dyDescent="0.25">
      <c r="A96" s="29"/>
      <c r="B96" s="11" t="str">
        <f>CONCATENATE("          ", "6235", " - ", "COVID-19 EXPENSES")</f>
        <v xml:space="preserve">          6235 - COVID-19 EXPENSES</v>
      </c>
      <c r="C96" s="11"/>
      <c r="D96" s="7"/>
      <c r="E96" s="2"/>
      <c r="F96" s="6">
        <f t="shared" si="78"/>
        <v>0</v>
      </c>
      <c r="G96" s="2"/>
      <c r="H96" s="7">
        <v>400</v>
      </c>
      <c r="I96" s="2"/>
      <c r="J96" s="6">
        <f t="shared" si="79"/>
        <v>1.075211010160744E-2</v>
      </c>
      <c r="K96" s="2"/>
      <c r="L96" s="7">
        <f t="shared" si="80"/>
        <v>-400</v>
      </c>
      <c r="M96" s="2"/>
      <c r="N96" s="6">
        <f t="shared" si="81"/>
        <v>-1</v>
      </c>
      <c r="O96" s="11"/>
      <c r="P96" s="7">
        <v>7089.13</v>
      </c>
      <c r="Q96" s="2"/>
      <c r="R96" s="6">
        <f t="shared" si="82"/>
        <v>3.6021916004570512E-2</v>
      </c>
      <c r="S96" s="2"/>
      <c r="T96" s="7">
        <v>2900</v>
      </c>
      <c r="U96" s="2"/>
      <c r="V96" s="6">
        <f t="shared" si="83"/>
        <v>1.0528264760445672E-2</v>
      </c>
      <c r="W96" s="2"/>
      <c r="X96" s="7">
        <f t="shared" si="84"/>
        <v>4189.13</v>
      </c>
      <c r="Y96" s="2"/>
      <c r="Z96" s="6">
        <f t="shared" si="85"/>
        <v>1.4445275862068967</v>
      </c>
    </row>
    <row r="97" spans="1:26" s="24" customFormat="1" hidden="1" outlineLevel="2" x14ac:dyDescent="0.25">
      <c r="A97" s="29"/>
      <c r="B97" s="11" t="str">
        <f>CONCATENATE("          ", "6237", " - ", "JANITORIAL SUPPLIES")</f>
        <v xml:space="preserve">          6237 - JANITORIAL SUPPLIES</v>
      </c>
      <c r="C97" s="11"/>
      <c r="D97" s="7">
        <v>18.86</v>
      </c>
      <c r="E97" s="2"/>
      <c r="F97" s="6">
        <f t="shared" si="78"/>
        <v>2.613273851562443E-4</v>
      </c>
      <c r="G97" s="2"/>
      <c r="H97" s="7">
        <v>2157</v>
      </c>
      <c r="I97" s="2"/>
      <c r="J97" s="6">
        <f t="shared" si="79"/>
        <v>5.7980753722918124E-2</v>
      </c>
      <c r="K97" s="2"/>
      <c r="L97" s="7">
        <f t="shared" si="80"/>
        <v>-2138.14</v>
      </c>
      <c r="M97" s="2"/>
      <c r="N97" s="6">
        <f t="shared" si="81"/>
        <v>-0.9912563745943439</v>
      </c>
      <c r="O97" s="11"/>
      <c r="P97" s="7">
        <v>676.48</v>
      </c>
      <c r="Q97" s="2"/>
      <c r="R97" s="6">
        <f t="shared" si="82"/>
        <v>3.4373901647694232E-3</v>
      </c>
      <c r="S97" s="2"/>
      <c r="T97" s="7">
        <v>6109</v>
      </c>
      <c r="U97" s="2"/>
      <c r="V97" s="6">
        <f t="shared" si="83"/>
        <v>2.2178334283297452E-2</v>
      </c>
      <c r="W97" s="2"/>
      <c r="X97" s="7">
        <f t="shared" si="84"/>
        <v>-5432.52</v>
      </c>
      <c r="Y97" s="2"/>
      <c r="Z97" s="6">
        <f t="shared" si="85"/>
        <v>-0.88926501882468501</v>
      </c>
    </row>
    <row r="98" spans="1:26" s="24" customFormat="1" hidden="1" outlineLevel="2" x14ac:dyDescent="0.25">
      <c r="A98" s="29"/>
      <c r="B98" s="11" t="str">
        <f>CONCATENATE("          ", "6239", " - ", "KITCHEN SUPPLIES")</f>
        <v xml:space="preserve">          6239 - KITCHEN SUPPLIES</v>
      </c>
      <c r="C98" s="11"/>
      <c r="D98" s="7"/>
      <c r="E98" s="2"/>
      <c r="F98" s="6">
        <f t="shared" si="78"/>
        <v>0</v>
      </c>
      <c r="G98" s="2"/>
      <c r="H98" s="7">
        <v>0</v>
      </c>
      <c r="I98" s="2"/>
      <c r="J98" s="6">
        <f t="shared" si="79"/>
        <v>0</v>
      </c>
      <c r="K98" s="2"/>
      <c r="L98" s="7">
        <f t="shared" si="80"/>
        <v>0</v>
      </c>
      <c r="M98" s="2"/>
      <c r="N98" s="6">
        <f t="shared" si="81"/>
        <v>0</v>
      </c>
      <c r="O98" s="11"/>
      <c r="P98" s="7">
        <v>19.829999999999998</v>
      </c>
      <c r="Q98" s="2"/>
      <c r="R98" s="6">
        <f t="shared" si="82"/>
        <v>1.0076195448110462E-4</v>
      </c>
      <c r="S98" s="2"/>
      <c r="T98" s="7">
        <v>232</v>
      </c>
      <c r="U98" s="2"/>
      <c r="V98" s="6">
        <f t="shared" si="83"/>
        <v>8.4226118083565382E-4</v>
      </c>
      <c r="W98" s="2"/>
      <c r="X98" s="7">
        <f t="shared" si="84"/>
        <v>-212.17000000000002</v>
      </c>
      <c r="Y98" s="2"/>
      <c r="Z98" s="6">
        <f t="shared" si="85"/>
        <v>-0.91452586206896558</v>
      </c>
    </row>
    <row r="99" spans="1:26" s="24" customFormat="1" hidden="1" outlineLevel="2" x14ac:dyDescent="0.25">
      <c r="A99" s="29"/>
      <c r="B99" s="11" t="str">
        <f>CONCATENATE("          ", "6241", " - ", "OFFICE EXPENSE")</f>
        <v xml:space="preserve">          6241 - OFFICE EXPENSE</v>
      </c>
      <c r="C99" s="11"/>
      <c r="D99" s="7">
        <v>5.5</v>
      </c>
      <c r="E99" s="2"/>
      <c r="F99" s="6">
        <f t="shared" si="78"/>
        <v>7.6208940528066995E-5</v>
      </c>
      <c r="G99" s="2"/>
      <c r="H99" s="7">
        <v>25</v>
      </c>
      <c r="I99" s="2"/>
      <c r="J99" s="6">
        <f t="shared" si="79"/>
        <v>6.72006881350465E-4</v>
      </c>
      <c r="K99" s="2"/>
      <c r="L99" s="7">
        <f t="shared" si="80"/>
        <v>-19.5</v>
      </c>
      <c r="M99" s="2"/>
      <c r="N99" s="6">
        <f t="shared" si="81"/>
        <v>-0.78</v>
      </c>
      <c r="O99" s="11"/>
      <c r="P99" s="7">
        <v>-28986.53</v>
      </c>
      <c r="Q99" s="2"/>
      <c r="R99" s="6">
        <f t="shared" si="82"/>
        <v>-0.14728892669819332</v>
      </c>
      <c r="S99" s="2"/>
      <c r="T99" s="7">
        <v>5412</v>
      </c>
      <c r="U99" s="2"/>
      <c r="V99" s="6">
        <f t="shared" si="83"/>
        <v>1.9647920304666201E-2</v>
      </c>
      <c r="W99" s="2"/>
      <c r="X99" s="7">
        <f t="shared" si="84"/>
        <v>-34398.53</v>
      </c>
      <c r="Y99" s="2"/>
      <c r="Z99" s="6">
        <f t="shared" si="85"/>
        <v>-6.3559737620103469</v>
      </c>
    </row>
    <row r="100" spans="1:26" s="24" customFormat="1" hidden="1" outlineLevel="2" x14ac:dyDescent="0.25">
      <c r="A100" s="29"/>
      <c r="B100" s="11" t="str">
        <f>CONCATENATE("          ", "6243", " - ", "PAPER SUPPLIES")</f>
        <v xml:space="preserve">          6243 - PAPER SUPPLIES</v>
      </c>
      <c r="C100" s="11"/>
      <c r="D100" s="7"/>
      <c r="E100" s="2"/>
      <c r="F100" s="6">
        <f t="shared" si="78"/>
        <v>0</v>
      </c>
      <c r="G100" s="2"/>
      <c r="H100" s="7">
        <v>256</v>
      </c>
      <c r="I100" s="2"/>
      <c r="J100" s="6">
        <f t="shared" si="79"/>
        <v>6.8813504650287616E-3</v>
      </c>
      <c r="K100" s="2"/>
      <c r="L100" s="7">
        <f t="shared" si="80"/>
        <v>-256</v>
      </c>
      <c r="M100" s="2"/>
      <c r="N100" s="6">
        <f t="shared" si="81"/>
        <v>-1</v>
      </c>
      <c r="O100" s="11"/>
      <c r="P100" s="7"/>
      <c r="Q100" s="2"/>
      <c r="R100" s="6">
        <f t="shared" si="82"/>
        <v>0</v>
      </c>
      <c r="S100" s="2"/>
      <c r="T100" s="7">
        <v>3824</v>
      </c>
      <c r="U100" s="2"/>
      <c r="V100" s="6">
        <f t="shared" si="83"/>
        <v>1.388278773929112E-2</v>
      </c>
      <c r="W100" s="2"/>
      <c r="X100" s="7">
        <f t="shared" si="84"/>
        <v>-3824</v>
      </c>
      <c r="Y100" s="2"/>
      <c r="Z100" s="6">
        <f t="shared" si="85"/>
        <v>-1</v>
      </c>
    </row>
    <row r="101" spans="1:26" s="24" customFormat="1" hidden="1" outlineLevel="2" x14ac:dyDescent="0.25">
      <c r="A101" s="29"/>
      <c r="B101" s="11" t="str">
        <f>CONCATENATE("          ", "6244", " - ", "SAFETY SUPPLY EXPENSE")</f>
        <v xml:space="preserve">          6244 - SAFETY SUPPLY EXPENSE</v>
      </c>
      <c r="C101" s="11"/>
      <c r="D101" s="7"/>
      <c r="E101" s="2"/>
      <c r="F101" s="6">
        <f t="shared" si="78"/>
        <v>0</v>
      </c>
      <c r="G101" s="2"/>
      <c r="H101" s="7">
        <v>0</v>
      </c>
      <c r="I101" s="2"/>
      <c r="J101" s="6">
        <f t="shared" si="79"/>
        <v>0</v>
      </c>
      <c r="K101" s="2"/>
      <c r="L101" s="7">
        <f t="shared" si="80"/>
        <v>0</v>
      </c>
      <c r="M101" s="2"/>
      <c r="N101" s="6">
        <f t="shared" si="81"/>
        <v>0</v>
      </c>
      <c r="O101" s="11"/>
      <c r="P101" s="7"/>
      <c r="Q101" s="2"/>
      <c r="R101" s="6">
        <f t="shared" si="82"/>
        <v>0</v>
      </c>
      <c r="S101" s="2"/>
      <c r="T101" s="7">
        <v>0</v>
      </c>
      <c r="U101" s="2"/>
      <c r="V101" s="6">
        <f t="shared" si="83"/>
        <v>0</v>
      </c>
      <c r="W101" s="2"/>
      <c r="X101" s="7">
        <f t="shared" si="84"/>
        <v>0</v>
      </c>
      <c r="Y101" s="2"/>
      <c r="Z101" s="6">
        <f t="shared" si="85"/>
        <v>0</v>
      </c>
    </row>
    <row r="102" spans="1:26" s="24" customFormat="1" hidden="1" outlineLevel="2" x14ac:dyDescent="0.25">
      <c r="A102" s="29"/>
      <c r="B102" s="11" t="str">
        <f>CONCATENATE("          ", "6245", " - ", "PRINTING")</f>
        <v xml:space="preserve">          6245 - PRINTING</v>
      </c>
      <c r="C102" s="11"/>
      <c r="D102" s="7"/>
      <c r="E102" s="2"/>
      <c r="F102" s="6">
        <f t="shared" si="78"/>
        <v>0</v>
      </c>
      <c r="G102" s="2"/>
      <c r="H102" s="7">
        <v>0</v>
      </c>
      <c r="I102" s="2"/>
      <c r="J102" s="6">
        <f t="shared" si="79"/>
        <v>0</v>
      </c>
      <c r="K102" s="2"/>
      <c r="L102" s="7">
        <f t="shared" si="80"/>
        <v>0</v>
      </c>
      <c r="M102" s="2"/>
      <c r="N102" s="6">
        <f t="shared" si="81"/>
        <v>0</v>
      </c>
      <c r="O102" s="11"/>
      <c r="P102" s="7"/>
      <c r="Q102" s="2"/>
      <c r="R102" s="6">
        <f t="shared" si="82"/>
        <v>0</v>
      </c>
      <c r="S102" s="2"/>
      <c r="T102" s="7">
        <v>0</v>
      </c>
      <c r="U102" s="2"/>
      <c r="V102" s="6">
        <f t="shared" si="83"/>
        <v>0</v>
      </c>
      <c r="W102" s="2"/>
      <c r="X102" s="7">
        <f t="shared" si="84"/>
        <v>0</v>
      </c>
      <c r="Y102" s="2"/>
      <c r="Z102" s="6">
        <f t="shared" si="85"/>
        <v>0</v>
      </c>
    </row>
    <row r="103" spans="1:26" s="24" customFormat="1" hidden="1" outlineLevel="2" x14ac:dyDescent="0.25">
      <c r="A103" s="29"/>
      <c r="B103" s="11" t="str">
        <f>CONCATENATE("          ", "6246", " - ", "REPLACEMENTS")</f>
        <v xml:space="preserve">          6246 - REPLACEMENTS</v>
      </c>
      <c r="C103" s="11"/>
      <c r="D103" s="7"/>
      <c r="E103" s="2"/>
      <c r="F103" s="6">
        <f t="shared" si="78"/>
        <v>0</v>
      </c>
      <c r="G103" s="2"/>
      <c r="H103" s="7">
        <v>0</v>
      </c>
      <c r="I103" s="2"/>
      <c r="J103" s="6">
        <f t="shared" si="79"/>
        <v>0</v>
      </c>
      <c r="K103" s="2"/>
      <c r="L103" s="7">
        <f t="shared" si="80"/>
        <v>0</v>
      </c>
      <c r="M103" s="2"/>
      <c r="N103" s="6">
        <f t="shared" si="81"/>
        <v>0</v>
      </c>
      <c r="O103" s="11"/>
      <c r="P103" s="7"/>
      <c r="Q103" s="2"/>
      <c r="R103" s="6">
        <f t="shared" si="82"/>
        <v>0</v>
      </c>
      <c r="S103" s="2"/>
      <c r="T103" s="7">
        <v>0</v>
      </c>
      <c r="U103" s="2"/>
      <c r="V103" s="6">
        <f t="shared" si="83"/>
        <v>0</v>
      </c>
      <c r="W103" s="2"/>
      <c r="X103" s="7">
        <f t="shared" si="84"/>
        <v>0</v>
      </c>
      <c r="Y103" s="2"/>
      <c r="Z103" s="6">
        <f t="shared" si="85"/>
        <v>0</v>
      </c>
    </row>
    <row r="104" spans="1:26" s="24" customFormat="1" hidden="1" outlineLevel="2" x14ac:dyDescent="0.25">
      <c r="A104" s="29"/>
      <c r="B104" s="11" t="str">
        <f>CONCATENATE("          ", "6247", " - ", "STORE SUPPLIES")</f>
        <v xml:space="preserve">          6247 - STORE SUPPLIES</v>
      </c>
      <c r="C104" s="11"/>
      <c r="D104" s="7"/>
      <c r="E104" s="2"/>
      <c r="F104" s="6">
        <f t="shared" si="78"/>
        <v>0</v>
      </c>
      <c r="G104" s="2"/>
      <c r="H104" s="7">
        <v>677</v>
      </c>
      <c r="I104" s="2"/>
      <c r="J104" s="6">
        <f t="shared" si="79"/>
        <v>1.8197946346970594E-2</v>
      </c>
      <c r="K104" s="2"/>
      <c r="L104" s="7">
        <f t="shared" si="80"/>
        <v>-677</v>
      </c>
      <c r="M104" s="2"/>
      <c r="N104" s="6">
        <f t="shared" si="81"/>
        <v>-1</v>
      </c>
      <c r="O104" s="11"/>
      <c r="P104" s="7">
        <v>121.28</v>
      </c>
      <c r="Q104" s="2"/>
      <c r="R104" s="6">
        <f t="shared" si="82"/>
        <v>6.1625869084560615E-4</v>
      </c>
      <c r="S104" s="2"/>
      <c r="T104" s="7">
        <v>11356</v>
      </c>
      <c r="U104" s="2"/>
      <c r="V104" s="6">
        <f t="shared" si="83"/>
        <v>4.1227232627455535E-2</v>
      </c>
      <c r="W104" s="2"/>
      <c r="X104" s="7">
        <f t="shared" si="84"/>
        <v>-11234.72</v>
      </c>
      <c r="Y104" s="2"/>
      <c r="Z104" s="6">
        <f t="shared" si="85"/>
        <v>-0.98932018316308556</v>
      </c>
    </row>
    <row r="105" spans="1:26" s="24" customFormat="1" hidden="1" outlineLevel="2" x14ac:dyDescent="0.25">
      <c r="A105" s="29"/>
      <c r="B105" s="11" t="str">
        <f>CONCATENATE("          ", "6248", " - ", "UNIFORMS")</f>
        <v xml:space="preserve">          6248 - UNIFORMS</v>
      </c>
      <c r="C105" s="11"/>
      <c r="D105" s="7"/>
      <c r="E105" s="2"/>
      <c r="F105" s="6">
        <f t="shared" si="78"/>
        <v>0</v>
      </c>
      <c r="G105" s="2"/>
      <c r="H105" s="7">
        <v>0</v>
      </c>
      <c r="I105" s="2"/>
      <c r="J105" s="6">
        <f t="shared" si="79"/>
        <v>0</v>
      </c>
      <c r="K105" s="2"/>
      <c r="L105" s="7">
        <f t="shared" si="80"/>
        <v>0</v>
      </c>
      <c r="M105" s="2"/>
      <c r="N105" s="6">
        <f t="shared" si="81"/>
        <v>0</v>
      </c>
      <c r="O105" s="11"/>
      <c r="P105" s="7"/>
      <c r="Q105" s="2"/>
      <c r="R105" s="6">
        <f t="shared" si="82"/>
        <v>0</v>
      </c>
      <c r="S105" s="2"/>
      <c r="T105" s="7">
        <v>100</v>
      </c>
      <c r="U105" s="2"/>
      <c r="V105" s="6">
        <f t="shared" si="83"/>
        <v>3.6304361242916111E-4</v>
      </c>
      <c r="W105" s="2"/>
      <c r="X105" s="7">
        <f t="shared" si="84"/>
        <v>-100</v>
      </c>
      <c r="Y105" s="2"/>
      <c r="Z105" s="6">
        <f t="shared" si="85"/>
        <v>-1</v>
      </c>
    </row>
    <row r="106" spans="1:26" s="28" customFormat="1" outlineLevel="1" collapsed="1" x14ac:dyDescent="0.25">
      <c r="A106" s="27"/>
      <c r="B106" s="14" t="str">
        <f>CONCATENATE("     ","Telephone/Data Lines                              ")</f>
        <v xml:space="preserve">     Telephone/Data Lines                              </v>
      </c>
      <c r="C106" s="14"/>
      <c r="D106" s="1">
        <f>SUM(OSRRefD22_18x_0)</f>
        <v>868.65</v>
      </c>
      <c r="E106" s="1"/>
      <c r="F106" s="5">
        <f t="shared" ref="F106:F108" si="86">IF(D$12=0,0,D106/D$12)</f>
        <v>1.2036162943582798E-2</v>
      </c>
      <c r="G106" s="1"/>
      <c r="H106" s="1">
        <f>SUM(OSRRefH22_18x_0)</f>
        <v>619</v>
      </c>
      <c r="I106" s="1"/>
      <c r="J106" s="5">
        <f t="shared" ref="J106:J108" si="87">IF(H$12=0,0,H106/H$12)</f>
        <v>1.6638890382237512E-2</v>
      </c>
      <c r="K106" s="1"/>
      <c r="L106" s="1">
        <f t="shared" ref="L106:L108" si="88">+D106-H106</f>
        <v>249.64999999999998</v>
      </c>
      <c r="M106" s="1"/>
      <c r="N106" s="5">
        <f t="shared" ref="N106:N108" si="89">IF(H106=0,0,L106/H106)</f>
        <v>0.40331179321486266</v>
      </c>
      <c r="O106" s="14"/>
      <c r="P106" s="1">
        <f>SUM(OSRRefP22_18x_0)</f>
        <v>7311.56</v>
      </c>
      <c r="Q106" s="1"/>
      <c r="R106" s="5">
        <f t="shared" ref="R106:R108" si="90">IF(P$12=0,0,P106/P$12)</f>
        <v>3.7152147045177275E-2</v>
      </c>
      <c r="S106" s="1"/>
      <c r="T106" s="1">
        <f>SUM(OSRRefT22_18x_0)</f>
        <v>3757</v>
      </c>
      <c r="U106" s="1"/>
      <c r="V106" s="5">
        <f t="shared" ref="V106:V108" si="91">IF(T$12=0,0,T106/T$12)</f>
        <v>1.3639548518963584E-2</v>
      </c>
      <c r="W106" s="1"/>
      <c r="X106" s="1">
        <f t="shared" ref="X106:X108" si="92">+P106-T106</f>
        <v>3554.5600000000004</v>
      </c>
      <c r="Y106" s="1"/>
      <c r="Z106" s="5">
        <f t="shared" ref="Z106:Z108" si="93">IF(T106=0,0,X106/T106)</f>
        <v>0.94611658237955831</v>
      </c>
    </row>
    <row r="107" spans="1:26" s="24" customFormat="1" hidden="1" outlineLevel="2" x14ac:dyDescent="0.25">
      <c r="A107" s="29"/>
      <c r="B107" s="11" t="str">
        <f>CONCATENATE("          ", "6303", " - ", "DATA PHONE LINES")</f>
        <v xml:space="preserve">          6303 - DATA PHONE LINES</v>
      </c>
      <c r="C107" s="11"/>
      <c r="D107" s="7"/>
      <c r="E107" s="2"/>
      <c r="F107" s="6">
        <f t="shared" si="86"/>
        <v>0</v>
      </c>
      <c r="G107" s="2"/>
      <c r="H107" s="7">
        <v>369</v>
      </c>
      <c r="I107" s="2"/>
      <c r="J107" s="6">
        <f t="shared" si="87"/>
        <v>9.9188215687328642E-3</v>
      </c>
      <c r="K107" s="2"/>
      <c r="L107" s="7">
        <f t="shared" si="88"/>
        <v>-369</v>
      </c>
      <c r="M107" s="2"/>
      <c r="N107" s="6">
        <f t="shared" si="89"/>
        <v>-1</v>
      </c>
      <c r="O107" s="11"/>
      <c r="P107" s="7"/>
      <c r="Q107" s="2"/>
      <c r="R107" s="6">
        <f t="shared" si="90"/>
        <v>0</v>
      </c>
      <c r="S107" s="2"/>
      <c r="T107" s="7">
        <v>2257</v>
      </c>
      <c r="U107" s="2"/>
      <c r="V107" s="6">
        <f t="shared" si="91"/>
        <v>8.1938943325261665E-3</v>
      </c>
      <c r="W107" s="2"/>
      <c r="X107" s="7">
        <f t="shared" si="92"/>
        <v>-2257</v>
      </c>
      <c r="Y107" s="2"/>
      <c r="Z107" s="6">
        <f t="shared" si="93"/>
        <v>-1</v>
      </c>
    </row>
    <row r="108" spans="1:26" s="24" customFormat="1" hidden="1" outlineLevel="2" x14ac:dyDescent="0.25">
      <c r="A108" s="29"/>
      <c r="B108" s="11" t="str">
        <f>CONCATENATE("          ", "6309", " - ", "TELEPHONE")</f>
        <v xml:space="preserve">          6309 - TELEPHONE</v>
      </c>
      <c r="C108" s="11"/>
      <c r="D108" s="7">
        <v>868.65</v>
      </c>
      <c r="E108" s="2"/>
      <c r="F108" s="6">
        <f t="shared" si="86"/>
        <v>1.2036162943582798E-2</v>
      </c>
      <c r="G108" s="2"/>
      <c r="H108" s="7">
        <v>250</v>
      </c>
      <c r="I108" s="2"/>
      <c r="J108" s="6">
        <f t="shared" si="87"/>
        <v>6.72006881350465E-3</v>
      </c>
      <c r="K108" s="2"/>
      <c r="L108" s="7">
        <f t="shared" si="88"/>
        <v>618.65</v>
      </c>
      <c r="M108" s="2"/>
      <c r="N108" s="6">
        <f t="shared" si="89"/>
        <v>2.4745999999999997</v>
      </c>
      <c r="O108" s="11"/>
      <c r="P108" s="7">
        <v>7311.56</v>
      </c>
      <c r="Q108" s="2"/>
      <c r="R108" s="6">
        <f t="shared" si="90"/>
        <v>3.7152147045177275E-2</v>
      </c>
      <c r="S108" s="2"/>
      <c r="T108" s="7">
        <v>1500</v>
      </c>
      <c r="U108" s="2"/>
      <c r="V108" s="6">
        <f t="shared" si="91"/>
        <v>5.445654186437417E-3</v>
      </c>
      <c r="W108" s="2"/>
      <c r="X108" s="7">
        <f t="shared" si="92"/>
        <v>5811.56</v>
      </c>
      <c r="Y108" s="2"/>
      <c r="Z108" s="6">
        <f t="shared" si="93"/>
        <v>3.8743733333333337</v>
      </c>
    </row>
    <row r="109" spans="1:26" s="28" customFormat="1" outlineLevel="1" collapsed="1" x14ac:dyDescent="0.25">
      <c r="A109" s="27"/>
      <c r="B109" s="14" t="str">
        <f>CONCATENATE("     ","Training                                          ")</f>
        <v xml:space="preserve">     Training                                          </v>
      </c>
      <c r="C109" s="14"/>
      <c r="D109" s="1">
        <f>SUM(OSRRefD22_19x_0)</f>
        <v>0</v>
      </c>
      <c r="E109" s="1"/>
      <c r="F109" s="5">
        <f t="shared" ref="F109:F114" si="94">IF(D$12=0,0,D109/D$12)</f>
        <v>0</v>
      </c>
      <c r="G109" s="1"/>
      <c r="H109" s="1">
        <f>SUM(OSRRefH22_19x_0)</f>
        <v>0</v>
      </c>
      <c r="I109" s="1"/>
      <c r="J109" s="5">
        <f t="shared" ref="J109:J114" si="95">IF(H$12=0,0,H109/H$12)</f>
        <v>0</v>
      </c>
      <c r="K109" s="1"/>
      <c r="L109" s="1">
        <f t="shared" ref="L109:L114" si="96">+D109-H109</f>
        <v>0</v>
      </c>
      <c r="M109" s="1"/>
      <c r="N109" s="5">
        <f t="shared" ref="N109:N114" si="97">IF(H109=0,0,L109/H109)</f>
        <v>0</v>
      </c>
      <c r="O109" s="14"/>
      <c r="P109" s="1">
        <f>SUM(OSRRefP22_19x_0)</f>
        <v>400</v>
      </c>
      <c r="Q109" s="1"/>
      <c r="R109" s="5">
        <f t="shared" ref="R109:R114" si="98">IF(P$12=0,0,P109/P$12)</f>
        <v>2.0325154711266693E-3</v>
      </c>
      <c r="S109" s="1"/>
      <c r="T109" s="1">
        <f>SUM(OSRRefT22_19x_0)</f>
        <v>120</v>
      </c>
      <c r="U109" s="1"/>
      <c r="V109" s="5">
        <f t="shared" ref="V109:V114" si="99">IF(T$12=0,0,T109/T$12)</f>
        <v>4.3565233491499333E-4</v>
      </c>
      <c r="W109" s="1"/>
      <c r="X109" s="1">
        <f t="shared" ref="X109:X114" si="100">+P109-T109</f>
        <v>280</v>
      </c>
      <c r="Y109" s="1"/>
      <c r="Z109" s="5">
        <f t="shared" ref="Z109:Z114" si="101">IF(T109=0,0,X109/T109)</f>
        <v>2.3333333333333335</v>
      </c>
    </row>
    <row r="110" spans="1:26" s="24" customFormat="1" hidden="1" outlineLevel="2" x14ac:dyDescent="0.25">
      <c r="A110" s="29"/>
      <c r="B110" s="11" t="str">
        <f>CONCATENATE("          ", "6376", " - ", "TRAINING")</f>
        <v xml:space="preserve">          6376 - TRAINING</v>
      </c>
      <c r="C110" s="11"/>
      <c r="D110" s="7"/>
      <c r="E110" s="2"/>
      <c r="F110" s="6">
        <f t="shared" si="94"/>
        <v>0</v>
      </c>
      <c r="G110" s="2"/>
      <c r="H110" s="7">
        <v>0</v>
      </c>
      <c r="I110" s="2"/>
      <c r="J110" s="6">
        <f t="shared" si="95"/>
        <v>0</v>
      </c>
      <c r="K110" s="2"/>
      <c r="L110" s="7">
        <f t="shared" si="96"/>
        <v>0</v>
      </c>
      <c r="M110" s="2"/>
      <c r="N110" s="6">
        <f t="shared" si="97"/>
        <v>0</v>
      </c>
      <c r="O110" s="11"/>
      <c r="P110" s="7">
        <v>400</v>
      </c>
      <c r="Q110" s="2"/>
      <c r="R110" s="6">
        <f t="shared" si="98"/>
        <v>2.0325154711266693E-3</v>
      </c>
      <c r="S110" s="2"/>
      <c r="T110" s="7">
        <v>120</v>
      </c>
      <c r="U110" s="2"/>
      <c r="V110" s="6">
        <f t="shared" si="99"/>
        <v>4.3565233491499333E-4</v>
      </c>
      <c r="W110" s="2"/>
      <c r="X110" s="7">
        <f t="shared" si="100"/>
        <v>280</v>
      </c>
      <c r="Y110" s="2"/>
      <c r="Z110" s="6">
        <f t="shared" si="101"/>
        <v>2.3333333333333335</v>
      </c>
    </row>
    <row r="111" spans="1:26" s="28" customFormat="1" outlineLevel="1" collapsed="1" x14ac:dyDescent="0.25">
      <c r="A111" s="27"/>
      <c r="B111" s="14" t="str">
        <f>CONCATENATE("     ","Travel                                            ")</f>
        <v xml:space="preserve">     Travel                                            </v>
      </c>
      <c r="C111" s="14"/>
      <c r="D111" s="1">
        <f>SUM(OSRRefD22_20x_0)</f>
        <v>0</v>
      </c>
      <c r="E111" s="1"/>
      <c r="F111" s="5">
        <f t="shared" si="94"/>
        <v>0</v>
      </c>
      <c r="G111" s="1"/>
      <c r="H111" s="1">
        <f>SUM(OSRRefH22_20x_0)</f>
        <v>0</v>
      </c>
      <c r="I111" s="1"/>
      <c r="J111" s="5">
        <f t="shared" si="95"/>
        <v>0</v>
      </c>
      <c r="K111" s="1"/>
      <c r="L111" s="1">
        <f t="shared" si="96"/>
        <v>0</v>
      </c>
      <c r="M111" s="1"/>
      <c r="N111" s="5">
        <f t="shared" si="97"/>
        <v>0</v>
      </c>
      <c r="O111" s="14"/>
      <c r="P111" s="1">
        <f>SUM(OSRRefP22_20x_0)</f>
        <v>332.21</v>
      </c>
      <c r="Q111" s="1"/>
      <c r="R111" s="5">
        <f t="shared" si="98"/>
        <v>1.688054911657477E-3</v>
      </c>
      <c r="S111" s="1"/>
      <c r="T111" s="1">
        <f>SUM(OSRRefT22_20x_0)</f>
        <v>1500</v>
      </c>
      <c r="U111" s="1"/>
      <c r="V111" s="5">
        <f t="shared" si="99"/>
        <v>5.445654186437417E-3</v>
      </c>
      <c r="W111" s="1"/>
      <c r="X111" s="1">
        <f t="shared" si="100"/>
        <v>-1167.79</v>
      </c>
      <c r="Y111" s="1"/>
      <c r="Z111" s="5">
        <f t="shared" si="101"/>
        <v>-0.77852666666666659</v>
      </c>
    </row>
    <row r="112" spans="1:26" s="24" customFormat="1" hidden="1" outlineLevel="2" x14ac:dyDescent="0.25">
      <c r="A112" s="29"/>
      <c r="B112" s="11" t="str">
        <f>CONCATENATE("          ", "6292", " - ", "TRAVEL/CONFERENCE")</f>
        <v xml:space="preserve">          6292 - TRAVEL/CONFERENCE</v>
      </c>
      <c r="C112" s="11"/>
      <c r="D112" s="7"/>
      <c r="E112" s="2"/>
      <c r="F112" s="6">
        <f t="shared" si="94"/>
        <v>0</v>
      </c>
      <c r="G112" s="2"/>
      <c r="H112" s="7"/>
      <c r="I112" s="2"/>
      <c r="J112" s="6">
        <f t="shared" si="95"/>
        <v>0</v>
      </c>
      <c r="K112" s="2"/>
      <c r="L112" s="7">
        <f t="shared" si="96"/>
        <v>0</v>
      </c>
      <c r="M112" s="2"/>
      <c r="N112" s="6">
        <f t="shared" si="97"/>
        <v>0</v>
      </c>
      <c r="O112" s="11"/>
      <c r="P112" s="7"/>
      <c r="Q112" s="2"/>
      <c r="R112" s="6">
        <f t="shared" si="98"/>
        <v>0</v>
      </c>
      <c r="S112" s="2"/>
      <c r="T112" s="7">
        <v>1500</v>
      </c>
      <c r="U112" s="2"/>
      <c r="V112" s="6">
        <f t="shared" si="99"/>
        <v>5.445654186437417E-3</v>
      </c>
      <c r="W112" s="2"/>
      <c r="X112" s="7">
        <f t="shared" si="100"/>
        <v>-1500</v>
      </c>
      <c r="Y112" s="2"/>
      <c r="Z112" s="6">
        <f t="shared" si="101"/>
        <v>-1</v>
      </c>
    </row>
    <row r="113" spans="1:26" s="24" customFormat="1" hidden="1" outlineLevel="2" x14ac:dyDescent="0.25">
      <c r="A113" s="29"/>
      <c r="B113" s="11" t="str">
        <f>CONCATENATE("          ", "6294", " - ", "TRAVEL OPERATIONAL")</f>
        <v xml:space="preserve">          6294 - TRAVEL OPERATIONAL</v>
      </c>
      <c r="C113" s="11"/>
      <c r="D113" s="7"/>
      <c r="E113" s="2"/>
      <c r="F113" s="6">
        <f t="shared" si="94"/>
        <v>0</v>
      </c>
      <c r="G113" s="2"/>
      <c r="H113" s="7"/>
      <c r="I113" s="2"/>
      <c r="J113" s="6">
        <f t="shared" si="95"/>
        <v>0</v>
      </c>
      <c r="K113" s="2"/>
      <c r="L113" s="7">
        <f t="shared" si="96"/>
        <v>0</v>
      </c>
      <c r="M113" s="2"/>
      <c r="N113" s="6">
        <f t="shared" si="97"/>
        <v>0</v>
      </c>
      <c r="O113" s="11"/>
      <c r="P113" s="7"/>
      <c r="Q113" s="2"/>
      <c r="R113" s="6">
        <f t="shared" si="98"/>
        <v>0</v>
      </c>
      <c r="S113" s="2"/>
      <c r="T113" s="7">
        <v>0</v>
      </c>
      <c r="U113" s="2"/>
      <c r="V113" s="6">
        <f t="shared" si="99"/>
        <v>0</v>
      </c>
      <c r="W113" s="2"/>
      <c r="X113" s="7">
        <f t="shared" si="100"/>
        <v>0</v>
      </c>
      <c r="Y113" s="2"/>
      <c r="Z113" s="6">
        <f t="shared" si="101"/>
        <v>0</v>
      </c>
    </row>
    <row r="114" spans="1:26" s="24" customFormat="1" hidden="1" outlineLevel="2" x14ac:dyDescent="0.25">
      <c r="A114" s="29"/>
      <c r="B114" s="11" t="str">
        <f>CONCATENATE("          ", "6298", " - ", "VEHICLE MILEAGE")</f>
        <v xml:space="preserve">          6298 - VEHICLE MILEAGE</v>
      </c>
      <c r="C114" s="11"/>
      <c r="D114" s="7"/>
      <c r="E114" s="2"/>
      <c r="F114" s="6">
        <f t="shared" si="94"/>
        <v>0</v>
      </c>
      <c r="G114" s="2"/>
      <c r="H114" s="7"/>
      <c r="I114" s="2"/>
      <c r="J114" s="6">
        <f t="shared" si="95"/>
        <v>0</v>
      </c>
      <c r="K114" s="2"/>
      <c r="L114" s="7">
        <f t="shared" si="96"/>
        <v>0</v>
      </c>
      <c r="M114" s="2"/>
      <c r="N114" s="6">
        <f t="shared" si="97"/>
        <v>0</v>
      </c>
      <c r="O114" s="11"/>
      <c r="P114" s="7">
        <v>332.21</v>
      </c>
      <c r="Q114" s="2"/>
      <c r="R114" s="6">
        <f t="shared" si="98"/>
        <v>1.688054911657477E-3</v>
      </c>
      <c r="S114" s="2"/>
      <c r="T114" s="7"/>
      <c r="U114" s="2"/>
      <c r="V114" s="6">
        <f t="shared" si="99"/>
        <v>0</v>
      </c>
      <c r="W114" s="2"/>
      <c r="X114" s="7">
        <f t="shared" si="100"/>
        <v>332.21</v>
      </c>
      <c r="Y114" s="2"/>
      <c r="Z114" s="6">
        <f t="shared" si="101"/>
        <v>0</v>
      </c>
    </row>
    <row r="115" spans="1:26" s="28" customFormat="1" outlineLevel="1" collapsed="1" x14ac:dyDescent="0.25">
      <c r="A115" s="27"/>
      <c r="B115" s="14" t="str">
        <f>CONCATENATE("     ","Utilities                                         ")</f>
        <v xml:space="preserve">     Utilities                                         </v>
      </c>
      <c r="C115" s="14"/>
      <c r="D115" s="1">
        <f>SUM(OSRRefD22_21x_0)</f>
        <v>4796</v>
      </c>
      <c r="E115" s="1"/>
      <c r="F115" s="5">
        <f t="shared" ref="F115:F116" si="102">IF(D$12=0,0,D115/D$12)</f>
        <v>6.6454196140474417E-2</v>
      </c>
      <c r="G115" s="1"/>
      <c r="H115" s="1">
        <f>SUM(OSRRefH22_21x_0)</f>
        <v>5282</v>
      </c>
      <c r="I115" s="1"/>
      <c r="J115" s="5">
        <f t="shared" ref="J115:J116" si="103">IF(H$12=0,0,H115/H$12)</f>
        <v>0.14198161389172625</v>
      </c>
      <c r="K115" s="1"/>
      <c r="L115" s="1">
        <f t="shared" ref="L115:L116" si="104">+D115-H115</f>
        <v>-486</v>
      </c>
      <c r="M115" s="1"/>
      <c r="N115" s="5">
        <f t="shared" ref="N115:N116" si="105">IF(H115=0,0,L115/H115)</f>
        <v>-9.2010602044680048E-2</v>
      </c>
      <c r="O115" s="14"/>
      <c r="P115" s="1">
        <f>SUM(OSRRefP22_21x_0)</f>
        <v>4550</v>
      </c>
      <c r="Q115" s="1"/>
      <c r="R115" s="5">
        <f t="shared" ref="R115:R116" si="106">IF(P$12=0,0,P115/P$12)</f>
        <v>2.3119863484065861E-2</v>
      </c>
      <c r="S115" s="1"/>
      <c r="T115" s="1">
        <f>SUM(OSRRefT22_21x_0)</f>
        <v>25116</v>
      </c>
      <c r="U115" s="1"/>
      <c r="V115" s="5">
        <f t="shared" ref="V115:V116" si="107">IF(T$12=0,0,T115/T$12)</f>
        <v>9.1182033697708109E-2</v>
      </c>
      <c r="W115" s="1"/>
      <c r="X115" s="1">
        <f t="shared" ref="X115:X116" si="108">+P115-T115</f>
        <v>-20566</v>
      </c>
      <c r="Y115" s="1"/>
      <c r="Z115" s="5">
        <f t="shared" ref="Z115:Z116" si="109">IF(T115=0,0,X115/T115)</f>
        <v>-0.8188405797101449</v>
      </c>
    </row>
    <row r="116" spans="1:26" s="24" customFormat="1" hidden="1" outlineLevel="2" x14ac:dyDescent="0.25">
      <c r="A116" s="29"/>
      <c r="B116" s="11" t="str">
        <f>CONCATENATE("          ", "6274", " - ", "UTILITIES")</f>
        <v xml:space="preserve">          6274 - UTILITIES</v>
      </c>
      <c r="C116" s="11"/>
      <c r="D116" s="7">
        <v>4796</v>
      </c>
      <c r="E116" s="2"/>
      <c r="F116" s="6">
        <f t="shared" si="102"/>
        <v>6.6454196140474417E-2</v>
      </c>
      <c r="G116" s="2"/>
      <c r="H116" s="7">
        <v>5282</v>
      </c>
      <c r="I116" s="2"/>
      <c r="J116" s="6">
        <f t="shared" si="103"/>
        <v>0.14198161389172625</v>
      </c>
      <c r="K116" s="2"/>
      <c r="L116" s="7">
        <f t="shared" si="104"/>
        <v>-486</v>
      </c>
      <c r="M116" s="2"/>
      <c r="N116" s="6">
        <f t="shared" si="105"/>
        <v>-9.2010602044680048E-2</v>
      </c>
      <c r="O116" s="11"/>
      <c r="P116" s="7">
        <v>4550</v>
      </c>
      <c r="Q116" s="2"/>
      <c r="R116" s="6">
        <f t="shared" si="106"/>
        <v>2.3119863484065861E-2</v>
      </c>
      <c r="S116" s="2"/>
      <c r="T116" s="7">
        <v>25116</v>
      </c>
      <c r="U116" s="2"/>
      <c r="V116" s="6">
        <f t="shared" si="107"/>
        <v>9.1182033697708109E-2</v>
      </c>
      <c r="W116" s="2"/>
      <c r="X116" s="7">
        <f t="shared" si="108"/>
        <v>-20566</v>
      </c>
      <c r="Y116" s="2"/>
      <c r="Z116" s="6">
        <f t="shared" si="109"/>
        <v>-0.8188405797101449</v>
      </c>
    </row>
    <row r="117" spans="1:26" s="53" customFormat="1" x14ac:dyDescent="0.25">
      <c r="A117" s="36"/>
      <c r="B117" s="36"/>
      <c r="C117" s="36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6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collapsed="1" x14ac:dyDescent="0.25">
      <c r="A118" s="10"/>
      <c r="B118" s="26" t="s">
        <v>0</v>
      </c>
      <c r="C118" s="10"/>
      <c r="D118" s="4">
        <f>SUM(OSRRefD25x_0)</f>
        <v>11120.800000000001</v>
      </c>
      <c r="E118" s="4"/>
      <c r="F118" s="12">
        <f t="shared" ref="F118:F122" si="110">IF(D$12=0,0,D118/D$12)</f>
        <v>0.15409170651355045</v>
      </c>
      <c r="G118" s="4"/>
      <c r="H118" s="4">
        <f>SUM(OSRRefH25x_0)</f>
        <v>8053</v>
      </c>
      <c r="I118" s="4"/>
      <c r="J118" s="12">
        <f t="shared" ref="J118:J122" si="111">IF(H$12=0,0,H118/H$12)</f>
        <v>0.2164668566206118</v>
      </c>
      <c r="K118" s="4"/>
      <c r="L118" s="4">
        <f t="shared" ref="L118:L122" si="112">+D118-H118</f>
        <v>3067.8000000000011</v>
      </c>
      <c r="M118" s="4"/>
      <c r="N118" s="12">
        <f t="shared" ref="N118:N122" si="113">IF(H118=0,0,L118/H118)</f>
        <v>0.38095119831118851</v>
      </c>
      <c r="O118" s="10"/>
      <c r="P118" s="4">
        <f>SUM(OSRRefP25x_0)</f>
        <v>15371.47</v>
      </c>
      <c r="Q118" s="4"/>
      <c r="R118" s="12">
        <f t="shared" ref="R118:R122" si="114">IF(P$12=0,0,P118/P$12)</f>
        <v>7.8106876472398654E-2</v>
      </c>
      <c r="S118" s="4"/>
      <c r="T118" s="4">
        <f>SUM(OSRRefT25x_0)</f>
        <v>27403</v>
      </c>
      <c r="U118" s="4"/>
      <c r="V118" s="12">
        <f t="shared" ref="V118:V122" si="115">IF(T$12=0,0,T118/T$12)</f>
        <v>9.9484841113963024E-2</v>
      </c>
      <c r="W118" s="4"/>
      <c r="X118" s="4">
        <f t="shared" ref="X118:X122" si="116">+P118-T118</f>
        <v>-12031.53</v>
      </c>
      <c r="Y118" s="4"/>
      <c r="Z118" s="12">
        <f t="shared" ref="Z118:Z122" si="117">IF(T118=0,0,X118/T118)</f>
        <v>-0.43905886216837575</v>
      </c>
    </row>
    <row r="119" spans="1:26" s="24" customFormat="1" hidden="1" outlineLevel="1" x14ac:dyDescent="0.25">
      <c r="A119" s="51"/>
      <c r="B119" s="11" t="str">
        <f>CONCATENATE("          ", "9150", " - ", "MISC. INCOME")</f>
        <v xml:space="preserve">          9150 - MISC. INCOME</v>
      </c>
      <c r="C119" s="11"/>
      <c r="D119" s="2">
        <f>--804.28</f>
        <v>804.28</v>
      </c>
      <c r="E119" s="2"/>
      <c r="F119" s="22">
        <f t="shared" si="110"/>
        <v>1.1144241215984313E-2</v>
      </c>
      <c r="G119" s="2"/>
      <c r="H119" s="2">
        <v>2164</v>
      </c>
      <c r="I119" s="2"/>
      <c r="J119" s="22">
        <f t="shared" si="111"/>
        <v>5.816891564969625E-2</v>
      </c>
      <c r="K119" s="2"/>
      <c r="L119" s="2">
        <f t="shared" si="112"/>
        <v>-1359.72</v>
      </c>
      <c r="M119" s="2"/>
      <c r="N119" s="22">
        <f t="shared" si="113"/>
        <v>-0.62833641404805918</v>
      </c>
      <c r="O119" s="11"/>
      <c r="P119" s="2">
        <f>--1728.05</f>
        <v>1728.05</v>
      </c>
      <c r="Q119" s="2"/>
      <c r="R119" s="22">
        <f t="shared" si="114"/>
        <v>8.7807208997011024E-3</v>
      </c>
      <c r="S119" s="2"/>
      <c r="T119" s="2">
        <v>11350</v>
      </c>
      <c r="U119" s="2"/>
      <c r="V119" s="22">
        <f t="shared" si="115"/>
        <v>4.1205450010709785E-2</v>
      </c>
      <c r="W119" s="2"/>
      <c r="X119" s="2">
        <f t="shared" si="116"/>
        <v>-9621.9500000000007</v>
      </c>
      <c r="Y119" s="2"/>
      <c r="Z119" s="22">
        <f t="shared" si="117"/>
        <v>-0.84774889867841419</v>
      </c>
    </row>
    <row r="120" spans="1:26" s="24" customFormat="1" hidden="1" outlineLevel="1" x14ac:dyDescent="0.25">
      <c r="A120" s="51"/>
      <c r="B120" s="11" t="str">
        <f>CONCATENATE("          ", "9151", " - ", "MISC. INCOME")</f>
        <v xml:space="preserve">          9151 - MISC. INCOME</v>
      </c>
      <c r="C120" s="11"/>
      <c r="D120" s="2">
        <f>0</f>
        <v>0</v>
      </c>
      <c r="E120" s="2"/>
      <c r="F120" s="22">
        <f t="shared" si="110"/>
        <v>0</v>
      </c>
      <c r="G120" s="2"/>
      <c r="H120" s="2">
        <v>2712</v>
      </c>
      <c r="I120" s="2"/>
      <c r="J120" s="22">
        <f t="shared" si="111"/>
        <v>7.2899306488898447E-2</v>
      </c>
      <c r="K120" s="2"/>
      <c r="L120" s="2">
        <f t="shared" si="112"/>
        <v>-2712</v>
      </c>
      <c r="M120" s="2"/>
      <c r="N120" s="22">
        <f t="shared" si="113"/>
        <v>-1</v>
      </c>
      <c r="O120" s="11"/>
      <c r="P120" s="2">
        <f>0</f>
        <v>0</v>
      </c>
      <c r="Q120" s="2"/>
      <c r="R120" s="22">
        <f t="shared" si="114"/>
        <v>0</v>
      </c>
      <c r="S120" s="2"/>
      <c r="T120" s="2">
        <v>11130</v>
      </c>
      <c r="U120" s="2"/>
      <c r="V120" s="22">
        <f t="shared" si="115"/>
        <v>4.0406754063365635E-2</v>
      </c>
      <c r="W120" s="2"/>
      <c r="X120" s="2">
        <f t="shared" si="116"/>
        <v>-11130</v>
      </c>
      <c r="Y120" s="2"/>
      <c r="Z120" s="22">
        <f t="shared" si="117"/>
        <v>-1</v>
      </c>
    </row>
    <row r="121" spans="1:26" s="24" customFormat="1" hidden="1" outlineLevel="1" x14ac:dyDescent="0.25">
      <c r="A121" s="51"/>
      <c r="B121" s="11" t="str">
        <f>CONCATENATE("          ", "9160", " - ", "MISC. INCOME")</f>
        <v xml:space="preserve">          9160 - MISC. INCOME</v>
      </c>
      <c r="C121" s="11"/>
      <c r="D121" s="2">
        <f>--10000</f>
        <v>10000</v>
      </c>
      <c r="E121" s="2"/>
      <c r="F121" s="22">
        <f t="shared" si="110"/>
        <v>0.13856171005103091</v>
      </c>
      <c r="G121" s="2"/>
      <c r="H121" s="2">
        <v>3177</v>
      </c>
      <c r="I121" s="2"/>
      <c r="J121" s="22">
        <f t="shared" si="111"/>
        <v>8.5398634482017094E-2</v>
      </c>
      <c r="K121" s="2"/>
      <c r="L121" s="2">
        <f t="shared" si="112"/>
        <v>6823</v>
      </c>
      <c r="M121" s="2"/>
      <c r="N121" s="22">
        <f t="shared" si="113"/>
        <v>2.1476235442241109</v>
      </c>
      <c r="O121" s="11"/>
      <c r="P121" s="2">
        <f>--12328.25</f>
        <v>12328.25</v>
      </c>
      <c r="Q121" s="2"/>
      <c r="R121" s="22">
        <f t="shared" si="114"/>
        <v>6.2643397142293403E-2</v>
      </c>
      <c r="S121" s="2"/>
      <c r="T121" s="2">
        <v>4923</v>
      </c>
      <c r="U121" s="2"/>
      <c r="V121" s="22">
        <f t="shared" si="115"/>
        <v>1.78726370398876E-2</v>
      </c>
      <c r="W121" s="2"/>
      <c r="X121" s="2">
        <f t="shared" si="116"/>
        <v>7405.25</v>
      </c>
      <c r="Y121" s="2"/>
      <c r="Z121" s="22">
        <f t="shared" si="117"/>
        <v>1.5042149096079627</v>
      </c>
    </row>
    <row r="122" spans="1:26" s="24" customFormat="1" hidden="1" outlineLevel="1" x14ac:dyDescent="0.25">
      <c r="A122" s="51"/>
      <c r="B122" s="11" t="str">
        <f>CONCATENATE("          ", "9165", " - ", "OTHER INCOME")</f>
        <v xml:space="preserve">          9165 - OTHER INCOME</v>
      </c>
      <c r="C122" s="11"/>
      <c r="D122" s="2">
        <f>--316.52</f>
        <v>316.52</v>
      </c>
      <c r="E122" s="2"/>
      <c r="F122" s="22">
        <f t="shared" si="110"/>
        <v>4.3857552465352296E-3</v>
      </c>
      <c r="G122" s="2"/>
      <c r="H122" s="2"/>
      <c r="I122" s="2"/>
      <c r="J122" s="22">
        <f t="shared" si="111"/>
        <v>0</v>
      </c>
      <c r="K122" s="2"/>
      <c r="L122" s="2">
        <f t="shared" si="112"/>
        <v>316.52</v>
      </c>
      <c r="M122" s="2"/>
      <c r="N122" s="22">
        <f t="shared" si="113"/>
        <v>0</v>
      </c>
      <c r="O122" s="11"/>
      <c r="P122" s="2">
        <f>--1315.17</f>
        <v>1315.17</v>
      </c>
      <c r="Q122" s="2"/>
      <c r="R122" s="22">
        <f t="shared" si="114"/>
        <v>6.6827584304041546E-3</v>
      </c>
      <c r="S122" s="2"/>
      <c r="T122" s="2"/>
      <c r="U122" s="2"/>
      <c r="V122" s="22">
        <f t="shared" si="115"/>
        <v>0</v>
      </c>
      <c r="W122" s="2"/>
      <c r="X122" s="2">
        <f t="shared" si="116"/>
        <v>1315.17</v>
      </c>
      <c r="Y122" s="2"/>
      <c r="Z122" s="22">
        <f t="shared" si="117"/>
        <v>0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10"/>
      <c r="B124" s="25" t="s">
        <v>3</v>
      </c>
      <c r="C124" s="25"/>
      <c r="D124" s="21">
        <f>+D28-D30+D118</f>
        <v>-57237.210000000006</v>
      </c>
      <c r="E124" s="13"/>
      <c r="F124" s="19">
        <f>IF(D$12=0,0,D124/D$12)</f>
        <v>-0.79308856961499674</v>
      </c>
      <c r="G124" s="13"/>
      <c r="H124" s="21">
        <f>+H28-H30+H118</f>
        <v>-126656.31733090256</v>
      </c>
      <c r="I124" s="13"/>
      <c r="J124" s="19">
        <f>IF(H$12=0,0,H124/H$12)</f>
        <v>-3.4045566725149872</v>
      </c>
      <c r="K124" s="16"/>
      <c r="L124" s="21">
        <f>+D124-H124</f>
        <v>69419.107330902552</v>
      </c>
      <c r="M124" s="16"/>
      <c r="N124" s="19">
        <f>IF(H124=0,0,L124/H124)</f>
        <v>-0.54809036606944794</v>
      </c>
      <c r="O124" s="26"/>
      <c r="P124" s="21">
        <f>+P28-P30+P118</f>
        <v>-662667.62</v>
      </c>
      <c r="Q124" s="13"/>
      <c r="R124" s="19">
        <f>IF(P$12=0,0,P124/P$12)</f>
        <v>-3.3672054746617217</v>
      </c>
      <c r="S124" s="13"/>
      <c r="T124" s="21">
        <f>+T28-T30+T118</f>
        <v>-763245.46844146145</v>
      </c>
      <c r="U124" s="13"/>
      <c r="V124" s="19">
        <f>IF(T$12=0,0,T124/T$12)</f>
        <v>-2.7709139203317545</v>
      </c>
      <c r="W124" s="16"/>
      <c r="X124" s="21">
        <f>+P124-T124</f>
        <v>100577.84844146145</v>
      </c>
      <c r="Y124" s="16"/>
      <c r="Z124" s="19">
        <f>IF(T124=0,0,X124/T124)</f>
        <v>-0.13177654188611204</v>
      </c>
    </row>
    <row r="125" spans="1:26" x14ac:dyDescent="0.25">
      <c r="A125" s="9"/>
      <c r="B125" s="10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52"/>
      <c r="B126" s="10" t="s">
        <v>14</v>
      </c>
      <c r="C126" s="10"/>
      <c r="D126" s="4">
        <v>16602.12</v>
      </c>
      <c r="E126" s="4"/>
      <c r="F126" s="12">
        <f>IF(D$12=0,0,D126/D$12)</f>
        <v>0.23004181376724211</v>
      </c>
      <c r="G126" s="4"/>
      <c r="H126" s="4">
        <v>9759</v>
      </c>
      <c r="I126" s="4"/>
      <c r="J126" s="12">
        <f>IF(H$12=0,0,H126/H$12)</f>
        <v>0.26232460620396753</v>
      </c>
      <c r="K126" s="4"/>
      <c r="L126" s="4">
        <f>+D126-H126</f>
        <v>6843.119999999999</v>
      </c>
      <c r="M126" s="4"/>
      <c r="N126" s="12">
        <f>IF(H126=0,0,L126/H126)</f>
        <v>0.70121118967107277</v>
      </c>
      <c r="O126" s="10"/>
      <c r="P126" s="4">
        <v>36412.25</v>
      </c>
      <c r="Q126" s="4"/>
      <c r="R126" s="12">
        <f>IF(P$12=0,0,P126/P$12)</f>
        <v>0.18502115365883015</v>
      </c>
      <c r="S126" s="4"/>
      <c r="T126" s="4">
        <v>52249</v>
      </c>
      <c r="U126" s="4"/>
      <c r="V126" s="12">
        <f>IF(T$12=0,0,T126/T$12)</f>
        <v>0.18968665705811238</v>
      </c>
      <c r="W126" s="4"/>
      <c r="X126" s="4">
        <f>+P126-T126</f>
        <v>-15836.75</v>
      </c>
      <c r="Y126" s="4"/>
      <c r="Z126" s="12">
        <f>IF(T126=0,0,X126/T126)</f>
        <v>-0.30310149476545006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5" t="s">
        <v>4</v>
      </c>
      <c r="C128" s="25"/>
      <c r="D128" s="34">
        <f>+D124-D126</f>
        <v>-73839.33</v>
      </c>
      <c r="E128" s="13"/>
      <c r="F128" s="31">
        <f>IF(D$12=0,0,D128/D$12)</f>
        <v>-1.0231303833822387</v>
      </c>
      <c r="G128" s="13"/>
      <c r="H128" s="34">
        <f>+H124-H126</f>
        <v>-136415.31733090256</v>
      </c>
      <c r="I128" s="13"/>
      <c r="J128" s="31">
        <f>IF(H$12=0,0,H128/H$12)</f>
        <v>-3.6668812787189546</v>
      </c>
      <c r="K128" s="16"/>
      <c r="L128" s="34">
        <f>D128-H128</f>
        <v>62575.987330902557</v>
      </c>
      <c r="M128" s="16"/>
      <c r="N128" s="31">
        <f>IF(H128=0,0,L128/H128)</f>
        <v>-0.45871672298435534</v>
      </c>
      <c r="O128" s="26"/>
      <c r="P128" s="34">
        <f>+P124-P126</f>
        <v>-699079.87</v>
      </c>
      <c r="Q128" s="13"/>
      <c r="R128" s="31">
        <f>IF(P$12=0,0,P128/P$12)</f>
        <v>-3.5522266283205517</v>
      </c>
      <c r="S128" s="13"/>
      <c r="T128" s="34">
        <f>+T124-T126</f>
        <v>-815494.46844146145</v>
      </c>
      <c r="U128" s="13"/>
      <c r="V128" s="31">
        <f>IF(T$12=0,0,T128/T$12)</f>
        <v>-2.9606005773898669</v>
      </c>
      <c r="W128" s="16"/>
      <c r="X128" s="34">
        <f>P128-T128</f>
        <v>116414.59844146145</v>
      </c>
      <c r="Y128" s="16"/>
      <c r="Z128" s="31">
        <f>IF(T128=0,0,X128/T128)</f>
        <v>-0.1427533882160453</v>
      </c>
    </row>
    <row r="129" spans="1:26" ht="15.75" thickTop="1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5" t="s">
        <v>5</v>
      </c>
      <c r="C131" s="25"/>
      <c r="D131" s="33">
        <f>SUM(D128:D130)</f>
        <v>-73839.33</v>
      </c>
      <c r="E131" s="13"/>
      <c r="F131" s="32">
        <f>IF(D$12=0,0,D131/D$12)</f>
        <v>-1.0231303833822387</v>
      </c>
      <c r="G131" s="13"/>
      <c r="H131" s="33">
        <f>SUM(H128:H130)</f>
        <v>-136415.31733090256</v>
      </c>
      <c r="I131" s="13"/>
      <c r="J131" s="32">
        <f>IF(H$12=0,0,H131/H$12)</f>
        <v>-3.6668812787189546</v>
      </c>
      <c r="K131" s="16"/>
      <c r="L131" s="33">
        <f>+D131-H131</f>
        <v>62575.987330902557</v>
      </c>
      <c r="M131" s="16"/>
      <c r="N131" s="32">
        <f>IF(H131=0,0,L131/H131)</f>
        <v>-0.45871672298435534</v>
      </c>
      <c r="O131" s="26"/>
      <c r="P131" s="33">
        <f>SUM(P128:P130)</f>
        <v>-699079.87</v>
      </c>
      <c r="Q131" s="13"/>
      <c r="R131" s="32">
        <f>IF(P$12=0,0,P131/P$12)</f>
        <v>-3.5522266283205517</v>
      </c>
      <c r="S131" s="13"/>
      <c r="T131" s="33">
        <f>SUM(T128:T130)</f>
        <v>-815494.46844146145</v>
      </c>
      <c r="U131" s="13"/>
      <c r="V131" s="32">
        <f>IF(T$12=0,0,T131/T$12)</f>
        <v>-2.9606005773898669</v>
      </c>
      <c r="W131" s="16"/>
      <c r="X131" s="33">
        <f>+P131-T131</f>
        <v>116414.59844146145</v>
      </c>
      <c r="Y131" s="16"/>
      <c r="Z131" s="32">
        <f>IF(T131=0,0,X131/T131)</f>
        <v>-0.1427533882160453</v>
      </c>
    </row>
    <row r="132" spans="1:26" ht="15.75" thickTop="1" x14ac:dyDescent="0.25">
      <c r="A132" s="9"/>
      <c r="C132" s="9"/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6" x14ac:dyDescent="0.25">
      <c r="A133" s="9"/>
      <c r="B133" s="63">
        <v>44209.518200810184</v>
      </c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  <row r="134" spans="1:26" x14ac:dyDescent="0.25">
      <c r="A134" s="9"/>
      <c r="B134" s="60" t="s">
        <v>314</v>
      </c>
      <c r="D134" s="18"/>
      <c r="E134" s="18"/>
      <c r="G134" s="18"/>
      <c r="H134" s="18"/>
      <c r="I134" s="18"/>
      <c r="J134" s="43"/>
      <c r="K134" s="18"/>
      <c r="L134" s="18"/>
      <c r="M134" s="18"/>
      <c r="P134" s="18"/>
      <c r="Q134" s="18"/>
      <c r="R134" s="43"/>
      <c r="S134" s="18"/>
      <c r="T134" s="18"/>
      <c r="U134" s="18"/>
      <c r="V134" s="43"/>
      <c r="W134" s="18"/>
      <c r="X134" s="18"/>
    </row>
    <row r="135" spans="1:26" x14ac:dyDescent="0.25">
      <c r="A135" s="9"/>
      <c r="B135" s="58"/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  <row r="136" spans="1:26" x14ac:dyDescent="0.25">
      <c r="D136" s="18"/>
      <c r="E136" s="18"/>
      <c r="G136" s="18"/>
      <c r="H136" s="18"/>
      <c r="I136" s="18"/>
      <c r="J136" s="43"/>
      <c r="K136" s="18"/>
      <c r="L136" s="18"/>
      <c r="M136" s="18"/>
      <c r="P136" s="18"/>
      <c r="Q136" s="18"/>
      <c r="R136" s="43"/>
      <c r="S136" s="18"/>
      <c r="T136" s="18"/>
      <c r="U136" s="18"/>
      <c r="V136" s="43"/>
      <c r="W136" s="18"/>
      <c r="X136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301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72170.009999999995</v>
      </c>
      <c r="E12" s="4"/>
      <c r="F12" s="12"/>
      <c r="G12" s="4"/>
      <c r="H12" s="4">
        <f>SUM(OSRRefH13x_0)</f>
        <v>11948</v>
      </c>
      <c r="I12" s="4"/>
      <c r="J12" s="12"/>
      <c r="K12" s="4"/>
      <c r="L12" s="4">
        <f t="shared" ref="L12:L18" si="0">+D12-H12</f>
        <v>60222.009999999995</v>
      </c>
      <c r="M12" s="4"/>
      <c r="N12" s="12">
        <f t="shared" ref="N12:N18" si="1">IF(H12=0,0,L12/H12)</f>
        <v>5.0403423167057246</v>
      </c>
      <c r="O12" s="10"/>
      <c r="P12" s="4">
        <f>SUM(OSRRefP13x_0)</f>
        <v>194214.00000000003</v>
      </c>
      <c r="Q12" s="4"/>
      <c r="R12" s="12"/>
      <c r="S12" s="4"/>
      <c r="T12" s="4">
        <f>SUM(OSRRefT13x_0)</f>
        <v>89138</v>
      </c>
      <c r="U12" s="4"/>
      <c r="V12" s="12"/>
      <c r="W12" s="4"/>
      <c r="X12" s="4">
        <f t="shared" ref="X12:X18" si="2">+P12-T12</f>
        <v>105076.00000000003</v>
      </c>
      <c r="Y12" s="4"/>
      <c r="Z12" s="12">
        <f t="shared" ref="Z12:Z18" si="3">IF(T12=0,0,X12/T12)</f>
        <v>1.1788014090511345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3716</v>
      </c>
      <c r="I13" s="2"/>
      <c r="J13" s="22"/>
      <c r="K13" s="2"/>
      <c r="L13" s="2">
        <f t="shared" si="0"/>
        <v>-3716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27724</v>
      </c>
      <c r="U13" s="2"/>
      <c r="V13" s="22"/>
      <c r="W13" s="2"/>
      <c r="X13" s="2">
        <f t="shared" si="2"/>
        <v>-27724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>--5713.27</f>
        <v>5713.27</v>
      </c>
      <c r="E14" s="2"/>
      <c r="F14" s="22"/>
      <c r="G14" s="2"/>
      <c r="H14" s="2"/>
      <c r="I14" s="2"/>
      <c r="J14" s="22"/>
      <c r="K14" s="2"/>
      <c r="L14" s="2">
        <f t="shared" si="0"/>
        <v>5713.27</v>
      </c>
      <c r="M14" s="2"/>
      <c r="N14" s="22">
        <f t="shared" si="1"/>
        <v>0</v>
      </c>
      <c r="O14" s="11"/>
      <c r="P14" s="2">
        <f>--22964.48</f>
        <v>22964.48</v>
      </c>
      <c r="Q14" s="2"/>
      <c r="R14" s="22"/>
      <c r="S14" s="2"/>
      <c r="T14" s="2"/>
      <c r="U14" s="2"/>
      <c r="V14" s="22"/>
      <c r="W14" s="2"/>
      <c r="X14" s="2">
        <f t="shared" si="2"/>
        <v>22964.48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"4052", " - ", "TAXABLE SALES-FOOD")</f>
        <v xml:space="preserve">          4052 - TAXABLE SALES-FOOD</v>
      </c>
      <c r="C15" s="11"/>
      <c r="D15" s="2">
        <f>--62378.23</f>
        <v>62378.23</v>
      </c>
      <c r="E15" s="2"/>
      <c r="F15" s="22"/>
      <c r="G15" s="2"/>
      <c r="H15" s="2"/>
      <c r="I15" s="2"/>
      <c r="J15" s="22"/>
      <c r="K15" s="2"/>
      <c r="L15" s="2">
        <f t="shared" si="0"/>
        <v>62378.23</v>
      </c>
      <c r="M15" s="2"/>
      <c r="N15" s="22">
        <f t="shared" si="1"/>
        <v>0</v>
      </c>
      <c r="O15" s="11"/>
      <c r="P15" s="2">
        <f>--148103.39</f>
        <v>148103.39000000001</v>
      </c>
      <c r="Q15" s="2"/>
      <c r="R15" s="22"/>
      <c r="S15" s="2"/>
      <c r="T15" s="2"/>
      <c r="U15" s="2"/>
      <c r="V15" s="22"/>
      <c r="W15" s="2"/>
      <c r="X15" s="2">
        <f t="shared" si="2"/>
        <v>148103.39000000001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"4058", " - ", "TAXABLE SALES-FOOD")</f>
        <v xml:space="preserve">          4058 - TAXABLE SALES-FOOD</v>
      </c>
      <c r="C16" s="11"/>
      <c r="D16" s="2">
        <f t="shared" ref="D16:D17" si="4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--974.91</f>
        <v>974.91</v>
      </c>
      <c r="Q16" s="2"/>
      <c r="R16" s="22"/>
      <c r="S16" s="2"/>
      <c r="T16" s="2"/>
      <c r="U16" s="2"/>
      <c r="V16" s="22"/>
      <c r="W16" s="2"/>
      <c r="X16" s="2">
        <f t="shared" si="2"/>
        <v>974.91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 t="shared" si="4"/>
        <v>0</v>
      </c>
      <c r="E17" s="2"/>
      <c r="F17" s="22"/>
      <c r="G17" s="2"/>
      <c r="H17" s="2">
        <v>8232</v>
      </c>
      <c r="I17" s="2"/>
      <c r="J17" s="22"/>
      <c r="K17" s="2"/>
      <c r="L17" s="2">
        <f t="shared" si="0"/>
        <v>-8232</v>
      </c>
      <c r="M17" s="2"/>
      <c r="N17" s="22">
        <f t="shared" si="1"/>
        <v>-1</v>
      </c>
      <c r="O17" s="11"/>
      <c r="P17" s="2">
        <f>0</f>
        <v>0</v>
      </c>
      <c r="Q17" s="2"/>
      <c r="R17" s="22"/>
      <c r="S17" s="2"/>
      <c r="T17" s="2">
        <v>61414</v>
      </c>
      <c r="U17" s="2"/>
      <c r="V17" s="22"/>
      <c r="W17" s="2"/>
      <c r="X17" s="2">
        <f t="shared" si="2"/>
        <v>-61414</v>
      </c>
      <c r="Y17" s="2"/>
      <c r="Z17" s="22">
        <f t="shared" si="3"/>
        <v>-1</v>
      </c>
    </row>
    <row r="18" spans="1:26" s="24" customFormat="1" hidden="1" outlineLevel="1" x14ac:dyDescent="0.25">
      <c r="A18" s="51"/>
      <c r="B18" s="11" t="str">
        <f>CONCATENATE("          ", "4151", " - ", "NON-TAXABLE SALES-FOOD")</f>
        <v xml:space="preserve">          4151 - NON-TAXABLE SALES-FOOD</v>
      </c>
      <c r="C18" s="11"/>
      <c r="D18" s="2">
        <f>--4078.51</f>
        <v>4078.51</v>
      </c>
      <c r="E18" s="2"/>
      <c r="F18" s="22"/>
      <c r="G18" s="2"/>
      <c r="H18" s="2"/>
      <c r="I18" s="2"/>
      <c r="J18" s="22"/>
      <c r="K18" s="2"/>
      <c r="L18" s="2">
        <f t="shared" si="0"/>
        <v>4078.51</v>
      </c>
      <c r="M18" s="2"/>
      <c r="N18" s="22">
        <f t="shared" si="1"/>
        <v>0</v>
      </c>
      <c r="O18" s="11"/>
      <c r="P18" s="2">
        <f>--22171.22</f>
        <v>22171.22</v>
      </c>
      <c r="Q18" s="2"/>
      <c r="R18" s="22"/>
      <c r="S18" s="2"/>
      <c r="T18" s="2"/>
      <c r="U18" s="2"/>
      <c r="V18" s="22"/>
      <c r="W18" s="2"/>
      <c r="X18" s="2">
        <f t="shared" si="2"/>
        <v>22171.22</v>
      </c>
      <c r="Y18" s="2"/>
      <c r="Z18" s="22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6" t="s">
        <v>8</v>
      </c>
      <c r="C20" s="10"/>
      <c r="D20" s="4">
        <f>SUM(OSRRefD16x_0)</f>
        <v>4197.08</v>
      </c>
      <c r="E20" s="4"/>
      <c r="F20" s="12">
        <f t="shared" ref="F20:F23" si="5">IF(D$12=0,0,D20/D$12)</f>
        <v>5.8155458202098075E-2</v>
      </c>
      <c r="G20" s="4"/>
      <c r="H20" s="4">
        <f>SUM(OSRRefH16x_0)</f>
        <v>3823</v>
      </c>
      <c r="I20" s="4"/>
      <c r="J20" s="12">
        <f t="shared" ref="J20:J23" si="6">IF(H$12=0,0,H20/H$12)</f>
        <v>0.3199698694342149</v>
      </c>
      <c r="K20" s="4"/>
      <c r="L20" s="4">
        <f t="shared" ref="L20:L23" si="7">+D20-H20</f>
        <v>374.07999999999993</v>
      </c>
      <c r="M20" s="4"/>
      <c r="N20" s="12">
        <f t="shared" ref="N20:N23" si="8">IF(H20=0,0,L20/H20)</f>
        <v>9.7849856133926216E-2</v>
      </c>
      <c r="O20" s="10"/>
      <c r="P20" s="4">
        <f>SUM(OSRRefP16x_0)</f>
        <v>18853.48</v>
      </c>
      <c r="Q20" s="4"/>
      <c r="R20" s="12">
        <f t="shared" ref="R20:R23" si="9">IF(P$12=0,0,P20/P$12)</f>
        <v>9.7075802980217687E-2</v>
      </c>
      <c r="S20" s="4"/>
      <c r="T20" s="4">
        <f>SUM(OSRRefT16x_0)</f>
        <v>28303</v>
      </c>
      <c r="U20" s="4"/>
      <c r="V20" s="12">
        <f t="shared" ref="V20:V23" si="10">IF(T$12=0,0,T20/T$12)</f>
        <v>0.31751890327357579</v>
      </c>
      <c r="W20" s="4"/>
      <c r="X20" s="4">
        <f t="shared" ref="X20:X23" si="11">+P20-T20</f>
        <v>-9449.52</v>
      </c>
      <c r="Y20" s="4"/>
      <c r="Z20" s="12">
        <f t="shared" ref="Z20:Z23" si="12">IF(T20=0,0,X20/T20)</f>
        <v>-0.33386990778362718</v>
      </c>
    </row>
    <row r="21" spans="1:26" s="24" customFormat="1" hidden="1" outlineLevel="1" x14ac:dyDescent="0.25">
      <c r="A21" s="51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22">
        <f t="shared" si="5"/>
        <v>0</v>
      </c>
      <c r="G21" s="2"/>
      <c r="H21" s="2">
        <v>3823</v>
      </c>
      <c r="I21" s="2"/>
      <c r="J21" s="22">
        <f t="shared" si="6"/>
        <v>0.3199698694342149</v>
      </c>
      <c r="K21" s="2"/>
      <c r="L21" s="2">
        <f t="shared" si="7"/>
        <v>-3823</v>
      </c>
      <c r="M21" s="2"/>
      <c r="N21" s="22">
        <f t="shared" si="8"/>
        <v>-1</v>
      </c>
      <c r="O21" s="11"/>
      <c r="P21" s="2"/>
      <c r="Q21" s="2"/>
      <c r="R21" s="22">
        <f t="shared" si="9"/>
        <v>0</v>
      </c>
      <c r="S21" s="2"/>
      <c r="T21" s="2">
        <v>28303</v>
      </c>
      <c r="U21" s="2"/>
      <c r="V21" s="22">
        <f t="shared" si="10"/>
        <v>0.31751890327357579</v>
      </c>
      <c r="W21" s="2"/>
      <c r="X21" s="2">
        <f t="shared" si="11"/>
        <v>-28303</v>
      </c>
      <c r="Y21" s="2"/>
      <c r="Z21" s="22">
        <f t="shared" si="12"/>
        <v>-1</v>
      </c>
    </row>
    <row r="22" spans="1:26" s="24" customFormat="1" hidden="1" outlineLevel="1" x14ac:dyDescent="0.25">
      <c r="A22" s="51"/>
      <c r="B22" s="11" t="str">
        <f>CONCATENATE("          ", "5053", " - ", "PURCHASES @ COST-FOOD")</f>
        <v xml:space="preserve">          5053 - PURCHASES @ COST-FOOD</v>
      </c>
      <c r="C22" s="11"/>
      <c r="D22" s="2">
        <v>1832.08</v>
      </c>
      <c r="E22" s="2"/>
      <c r="F22" s="22">
        <f t="shared" si="5"/>
        <v>2.5385613775029268E-2</v>
      </c>
      <c r="G22" s="2"/>
      <c r="H22" s="2"/>
      <c r="I22" s="2"/>
      <c r="J22" s="22">
        <f t="shared" si="6"/>
        <v>0</v>
      </c>
      <c r="K22" s="2"/>
      <c r="L22" s="2">
        <f t="shared" si="7"/>
        <v>1832.08</v>
      </c>
      <c r="M22" s="2"/>
      <c r="N22" s="22">
        <f t="shared" si="8"/>
        <v>0</v>
      </c>
      <c r="O22" s="11"/>
      <c r="P22" s="2">
        <v>13309.42</v>
      </c>
      <c r="Q22" s="2"/>
      <c r="R22" s="22">
        <f t="shared" si="9"/>
        <v>6.8529663155076345E-2</v>
      </c>
      <c r="S22" s="2"/>
      <c r="T22" s="2"/>
      <c r="U22" s="2"/>
      <c r="V22" s="22">
        <f t="shared" si="10"/>
        <v>0</v>
      </c>
      <c r="W22" s="2"/>
      <c r="X22" s="2">
        <f t="shared" si="11"/>
        <v>13309.42</v>
      </c>
      <c r="Y22" s="2"/>
      <c r="Z22" s="22">
        <f t="shared" si="12"/>
        <v>0</v>
      </c>
    </row>
    <row r="23" spans="1:26" s="24" customFormat="1" hidden="1" outlineLevel="1" x14ac:dyDescent="0.25">
      <c r="A23" s="51"/>
      <c r="B23" s="11" t="str">
        <f>CONCATENATE("          ", "5059", " - ", "PURCHASES @ COST-FOOD")</f>
        <v xml:space="preserve">          5059 - PURCHASES @ COST-FOOD</v>
      </c>
      <c r="C23" s="11"/>
      <c r="D23" s="2">
        <v>2365</v>
      </c>
      <c r="E23" s="2"/>
      <c r="F23" s="22">
        <f t="shared" si="5"/>
        <v>3.276984442706881E-2</v>
      </c>
      <c r="G23" s="2"/>
      <c r="H23" s="2"/>
      <c r="I23" s="2"/>
      <c r="J23" s="22">
        <f t="shared" si="6"/>
        <v>0</v>
      </c>
      <c r="K23" s="2"/>
      <c r="L23" s="2">
        <f t="shared" si="7"/>
        <v>2365</v>
      </c>
      <c r="M23" s="2"/>
      <c r="N23" s="22">
        <f t="shared" si="8"/>
        <v>0</v>
      </c>
      <c r="O23" s="11"/>
      <c r="P23" s="2">
        <v>5544.06</v>
      </c>
      <c r="Q23" s="2"/>
      <c r="R23" s="22">
        <f t="shared" si="9"/>
        <v>2.8546139825141335E-2</v>
      </c>
      <c r="S23" s="2"/>
      <c r="T23" s="2"/>
      <c r="U23" s="2"/>
      <c r="V23" s="22">
        <f t="shared" si="10"/>
        <v>0</v>
      </c>
      <c r="W23" s="2"/>
      <c r="X23" s="2">
        <f t="shared" si="11"/>
        <v>5544.06</v>
      </c>
      <c r="Y23" s="2"/>
      <c r="Z23" s="22">
        <f t="shared" si="12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5" t="s">
        <v>6</v>
      </c>
      <c r="C25" s="25"/>
      <c r="D25" s="21">
        <f>D12-D20</f>
        <v>67972.929999999993</v>
      </c>
      <c r="E25" s="13"/>
      <c r="F25" s="19">
        <f>IF(D$12=0,0,D25/D$12)</f>
        <v>0.94184454179790189</v>
      </c>
      <c r="G25" s="13"/>
      <c r="H25" s="21">
        <f>H12-H20</f>
        <v>8125</v>
      </c>
      <c r="I25" s="13"/>
      <c r="J25" s="19">
        <f>IF(H$12=0,0,H25/H$12)</f>
        <v>0.6800301305657851</v>
      </c>
      <c r="K25" s="16"/>
      <c r="L25" s="21">
        <f>+D25-H25</f>
        <v>59847.929999999993</v>
      </c>
      <c r="M25" s="16"/>
      <c r="N25" s="19">
        <f>IF(H25=0,0,L25/H25)</f>
        <v>7.3658990769230757</v>
      </c>
      <c r="O25" s="26"/>
      <c r="P25" s="21">
        <f>P12-P20</f>
        <v>175360.52000000002</v>
      </c>
      <c r="Q25" s="13"/>
      <c r="R25" s="19">
        <f>IF(P$12=0,0,P25/P$12)</f>
        <v>0.90292419701978222</v>
      </c>
      <c r="S25" s="13"/>
      <c r="T25" s="21">
        <f>T12-T20</f>
        <v>60835</v>
      </c>
      <c r="U25" s="13"/>
      <c r="V25" s="19">
        <f>IF(T$12=0,0,T25/T$12)</f>
        <v>0.68248109672642421</v>
      </c>
      <c r="W25" s="16"/>
      <c r="X25" s="21">
        <f>+P25-T25</f>
        <v>114525.52000000002</v>
      </c>
      <c r="Y25" s="16"/>
      <c r="Z25" s="19">
        <f>IF(T25=0,0,X25/T25)</f>
        <v>1.882559710692858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6" t="s">
        <v>9</v>
      </c>
      <c r="C27" s="10"/>
      <c r="D27" s="20">
        <f>SUM(OSRRefD22x_0)</f>
        <v>115609.44</v>
      </c>
      <c r="E27" s="20"/>
      <c r="F27" s="30">
        <f t="shared" ref="F27:F37" si="13">IF(D$12=0,0,D27/D$12)</f>
        <v>1.6019041704442054</v>
      </c>
      <c r="G27" s="20"/>
      <c r="H27" s="20">
        <f>SUM(OSRRefH22x_0)</f>
        <v>108942.62598950254</v>
      </c>
      <c r="I27" s="20"/>
      <c r="J27" s="30">
        <f t="shared" ref="J27:J37" si="14">IF(H$12=0,0,H27/H$12)</f>
        <v>9.1180637754856502</v>
      </c>
      <c r="K27" s="4"/>
      <c r="L27" s="20">
        <f t="shared" ref="L27:L37" si="15">+D27-H27</f>
        <v>6666.8140104974591</v>
      </c>
      <c r="M27" s="4"/>
      <c r="N27" s="30">
        <f t="shared" ref="N27:N37" si="16">IF(H27=0,0,L27/H27)</f>
        <v>6.119564266001682E-2</v>
      </c>
      <c r="O27" s="10"/>
      <c r="P27" s="20">
        <f>SUM(OSRRefP22x_0)</f>
        <v>674842.47000000009</v>
      </c>
      <c r="Q27" s="20"/>
      <c r="R27" s="30">
        <f t="shared" ref="R27:R37" si="17">IF(P$12=0,0,P27/P$12)</f>
        <v>3.4747364762581481</v>
      </c>
      <c r="S27" s="20"/>
      <c r="T27" s="20">
        <f>SUM(OSRRefT22x_0)</f>
        <v>656319.42223956157</v>
      </c>
      <c r="U27" s="20"/>
      <c r="V27" s="30">
        <f t="shared" ref="V27:V37" si="18">IF(T$12=0,0,T27/T$12)</f>
        <v>7.3629588081352688</v>
      </c>
      <c r="W27" s="4"/>
      <c r="X27" s="20">
        <f t="shared" ref="X27:X37" si="19">+P27-T27</f>
        <v>18523.047760438523</v>
      </c>
      <c r="Y27" s="4"/>
      <c r="Z27" s="30">
        <f t="shared" ref="Z27:Z37" si="20">IF(T27=0,0,X27/T27)</f>
        <v>2.8222611022590566E-2</v>
      </c>
    </row>
    <row r="28" spans="1:26" s="28" customFormat="1" outlineLevel="1" collapsed="1" x14ac:dyDescent="0.25">
      <c r="A28" s="27"/>
      <c r="B28" s="14" t="str">
        <f>CONCATENATE("     ","*Benefits                                         ")</f>
        <v xml:space="preserve">     *Benefits                                         </v>
      </c>
      <c r="C28" s="14"/>
      <c r="D28" s="1">
        <f>SUM(OSRRefD22_0x_0)</f>
        <v>18327.36</v>
      </c>
      <c r="E28" s="1"/>
      <c r="F28" s="5">
        <f t="shared" si="13"/>
        <v>0.2539470342320862</v>
      </c>
      <c r="G28" s="1"/>
      <c r="H28" s="1">
        <f>SUM(OSRRefH22_0x_0)</f>
        <v>12109.810963861537</v>
      </c>
      <c r="I28" s="1"/>
      <c r="J28" s="5">
        <f t="shared" si="14"/>
        <v>1.0135429330315984</v>
      </c>
      <c r="K28" s="1"/>
      <c r="L28" s="1">
        <f t="shared" si="15"/>
        <v>6217.5490361384636</v>
      </c>
      <c r="M28" s="1"/>
      <c r="N28" s="5">
        <f t="shared" si="16"/>
        <v>0.51343072610241902</v>
      </c>
      <c r="O28" s="14"/>
      <c r="P28" s="1">
        <f>SUM(OSRRefP22_0x_0)</f>
        <v>131169.07</v>
      </c>
      <c r="Q28" s="1"/>
      <c r="R28" s="5">
        <f t="shared" si="17"/>
        <v>0.67538421535007764</v>
      </c>
      <c r="S28" s="1"/>
      <c r="T28" s="1">
        <f>SUM(OSRRefT22_0x_0)</f>
        <v>81932.66323956156</v>
      </c>
      <c r="U28" s="1"/>
      <c r="V28" s="5">
        <f t="shared" si="18"/>
        <v>0.91916649733628264</v>
      </c>
      <c r="W28" s="1"/>
      <c r="X28" s="1">
        <f t="shared" si="19"/>
        <v>49236.406760438447</v>
      </c>
      <c r="Y28" s="1"/>
      <c r="Z28" s="5">
        <f t="shared" si="20"/>
        <v>0.6009374627122388</v>
      </c>
    </row>
    <row r="29" spans="1:26" s="24" customFormat="1" hidden="1" outlineLevel="2" x14ac:dyDescent="0.25">
      <c r="A29" s="29"/>
      <c r="B29" s="11" t="str">
        <f>CONCATENATE("          ", "6111", " - ", "F.I.C.A.")</f>
        <v xml:space="preserve">          6111 - F.I.C.A.</v>
      </c>
      <c r="C29" s="11"/>
      <c r="D29" s="7">
        <v>1575.88</v>
      </c>
      <c r="E29" s="2"/>
      <c r="F29" s="6">
        <f t="shared" si="13"/>
        <v>2.1835662763521859E-2</v>
      </c>
      <c r="G29" s="2"/>
      <c r="H29" s="7">
        <v>1384.841786169231</v>
      </c>
      <c r="I29" s="2"/>
      <c r="J29" s="6">
        <f t="shared" si="14"/>
        <v>0.11590574038912212</v>
      </c>
      <c r="K29" s="2"/>
      <c r="L29" s="7">
        <f t="shared" si="15"/>
        <v>191.03821383076911</v>
      </c>
      <c r="M29" s="2"/>
      <c r="N29" s="6">
        <f t="shared" si="16"/>
        <v>0.13794948689353295</v>
      </c>
      <c r="O29" s="11"/>
      <c r="P29" s="7">
        <v>15644.78</v>
      </c>
      <c r="Q29" s="2"/>
      <c r="R29" s="6">
        <f t="shared" si="17"/>
        <v>8.055433696849866E-2</v>
      </c>
      <c r="S29" s="2"/>
      <c r="T29" s="7">
        <v>9717.884246100004</v>
      </c>
      <c r="U29" s="2"/>
      <c r="V29" s="6">
        <f t="shared" si="18"/>
        <v>0.1090206673483812</v>
      </c>
      <c r="W29" s="2"/>
      <c r="X29" s="7">
        <f t="shared" si="19"/>
        <v>5926.8957538999966</v>
      </c>
      <c r="Y29" s="2"/>
      <c r="Z29" s="6">
        <f t="shared" si="20"/>
        <v>0.60989569373380703</v>
      </c>
    </row>
    <row r="30" spans="1:26" s="24" customFormat="1" hidden="1" outlineLevel="2" x14ac:dyDescent="0.25">
      <c r="A30" s="29"/>
      <c r="B30" s="11" t="str">
        <f>CONCATENATE("          ", "6112", " - ", "COMPENSATION INSURANCE")</f>
        <v xml:space="preserve">          6112 - COMPENSATION INSURANCE</v>
      </c>
      <c r="C30" s="11"/>
      <c r="D30" s="7">
        <v>1146.3</v>
      </c>
      <c r="E30" s="2"/>
      <c r="F30" s="6">
        <f t="shared" si="13"/>
        <v>1.5883328823149672E-2</v>
      </c>
      <c r="G30" s="2"/>
      <c r="H30" s="7">
        <v>488.08442353846146</v>
      </c>
      <c r="I30" s="2"/>
      <c r="J30" s="6">
        <f t="shared" si="14"/>
        <v>4.0850721755813647E-2</v>
      </c>
      <c r="K30" s="2"/>
      <c r="L30" s="7">
        <f t="shared" si="15"/>
        <v>658.21557646153849</v>
      </c>
      <c r="M30" s="2"/>
      <c r="N30" s="6">
        <f t="shared" si="16"/>
        <v>1.3485691096013239</v>
      </c>
      <c r="O30" s="11"/>
      <c r="P30" s="7">
        <v>4956.7</v>
      </c>
      <c r="Q30" s="2"/>
      <c r="R30" s="6">
        <f t="shared" si="17"/>
        <v>2.552184703471428E-2</v>
      </c>
      <c r="S30" s="2"/>
      <c r="T30" s="7">
        <v>3447.4347929999999</v>
      </c>
      <c r="U30" s="2"/>
      <c r="V30" s="6">
        <f t="shared" si="18"/>
        <v>3.8675254021853754E-2</v>
      </c>
      <c r="W30" s="2"/>
      <c r="X30" s="7">
        <f t="shared" si="19"/>
        <v>1509.2652069999999</v>
      </c>
      <c r="Y30" s="2"/>
      <c r="Z30" s="6">
        <f t="shared" si="20"/>
        <v>0.43779369230262333</v>
      </c>
    </row>
    <row r="31" spans="1:26" s="24" customFormat="1" hidden="1" outlineLevel="2" x14ac:dyDescent="0.25">
      <c r="A31" s="29"/>
      <c r="B31" s="11" t="str">
        <f>CONCATENATE("          ", "6113", " - ", "GROUP INSURANCE")</f>
        <v xml:space="preserve">          6113 - GROUP INSURANCE</v>
      </c>
      <c r="C31" s="11"/>
      <c r="D31" s="7">
        <v>8662.99</v>
      </c>
      <c r="E31" s="2"/>
      <c r="F31" s="6">
        <f t="shared" si="13"/>
        <v>0.12003587085549802</v>
      </c>
      <c r="G31" s="2"/>
      <c r="H31" s="7">
        <v>6530.0769230769201</v>
      </c>
      <c r="I31" s="2"/>
      <c r="J31" s="6">
        <f t="shared" si="14"/>
        <v>0.54654142308979914</v>
      </c>
      <c r="K31" s="2"/>
      <c r="L31" s="7">
        <f t="shared" si="15"/>
        <v>2132.9130769230796</v>
      </c>
      <c r="M31" s="2"/>
      <c r="N31" s="6">
        <f t="shared" si="16"/>
        <v>0.32662908906715726</v>
      </c>
      <c r="O31" s="11"/>
      <c r="P31" s="7">
        <v>60931.85</v>
      </c>
      <c r="Q31" s="2"/>
      <c r="R31" s="6">
        <f t="shared" si="17"/>
        <v>0.31373562153088858</v>
      </c>
      <c r="S31" s="2"/>
      <c r="T31" s="7">
        <v>44160.461538461532</v>
      </c>
      <c r="U31" s="2"/>
      <c r="V31" s="6">
        <f t="shared" si="18"/>
        <v>0.4954167867627895</v>
      </c>
      <c r="W31" s="2"/>
      <c r="X31" s="7">
        <f t="shared" si="19"/>
        <v>16771.388461538467</v>
      </c>
      <c r="Y31" s="2"/>
      <c r="Z31" s="6">
        <f t="shared" si="20"/>
        <v>0.37978290709057544</v>
      </c>
    </row>
    <row r="32" spans="1:26" s="24" customFormat="1" hidden="1" outlineLevel="2" x14ac:dyDescent="0.25">
      <c r="A32" s="29"/>
      <c r="B32" s="11" t="str">
        <f>CONCATENATE("          ", "6114", " - ", "STATE UNEMPLOYMENT INSURANCE")</f>
        <v xml:space="preserve">          6114 - STATE UNEMPLOYMENT INSURANCE</v>
      </c>
      <c r="C32" s="11"/>
      <c r="D32" s="7"/>
      <c r="E32" s="2"/>
      <c r="F32" s="6">
        <f t="shared" si="13"/>
        <v>0</v>
      </c>
      <c r="G32" s="2"/>
      <c r="H32" s="7">
        <v>56.147027999999999</v>
      </c>
      <c r="I32" s="2"/>
      <c r="J32" s="6">
        <f t="shared" si="14"/>
        <v>4.6992825577502513E-3</v>
      </c>
      <c r="K32" s="2"/>
      <c r="L32" s="7">
        <f t="shared" si="15"/>
        <v>-56.147027999999999</v>
      </c>
      <c r="M32" s="2"/>
      <c r="N32" s="6">
        <f t="shared" si="16"/>
        <v>-1</v>
      </c>
      <c r="O32" s="11"/>
      <c r="P32" s="7">
        <v>508.27</v>
      </c>
      <c r="Q32" s="2"/>
      <c r="R32" s="6">
        <f t="shared" si="17"/>
        <v>2.6170615918522863E-3</v>
      </c>
      <c r="S32" s="2"/>
      <c r="T32" s="7">
        <v>381.61544199999997</v>
      </c>
      <c r="U32" s="2"/>
      <c r="V32" s="6">
        <f t="shared" si="18"/>
        <v>4.281175727523615E-3</v>
      </c>
      <c r="W32" s="2"/>
      <c r="X32" s="7">
        <f t="shared" si="19"/>
        <v>126.65455800000001</v>
      </c>
      <c r="Y32" s="2"/>
      <c r="Z32" s="6">
        <f t="shared" si="20"/>
        <v>0.33189054755284253</v>
      </c>
    </row>
    <row r="33" spans="1:26" s="24" customFormat="1" hidden="1" outlineLevel="2" x14ac:dyDescent="0.25">
      <c r="A33" s="29"/>
      <c r="B33" s="11" t="str">
        <f>CONCATENATE("          ", "6115", " - ", "P.E.R.S.")</f>
        <v xml:space="preserve">          6115 - P.E.R.S.</v>
      </c>
      <c r="C33" s="11"/>
      <c r="D33" s="7">
        <v>2748.35</v>
      </c>
      <c r="E33" s="2"/>
      <c r="F33" s="6">
        <f t="shared" si="13"/>
        <v>3.8081607581875079E-2</v>
      </c>
      <c r="G33" s="2"/>
      <c r="H33" s="7">
        <v>1386.1317261538459</v>
      </c>
      <c r="I33" s="2"/>
      <c r="J33" s="6">
        <f t="shared" si="14"/>
        <v>0.11601370322680331</v>
      </c>
      <c r="K33" s="2"/>
      <c r="L33" s="7">
        <f t="shared" si="15"/>
        <v>1362.218273846154</v>
      </c>
      <c r="M33" s="2"/>
      <c r="N33" s="6">
        <f t="shared" si="16"/>
        <v>0.98274806653906877</v>
      </c>
      <c r="O33" s="11"/>
      <c r="P33" s="7">
        <v>20264.28</v>
      </c>
      <c r="Q33" s="2"/>
      <c r="R33" s="6">
        <f t="shared" si="17"/>
        <v>0.10433995489511567</v>
      </c>
      <c r="S33" s="2"/>
      <c r="T33" s="7">
        <v>9009.8562200000033</v>
      </c>
      <c r="U33" s="2"/>
      <c r="V33" s="6">
        <f t="shared" si="18"/>
        <v>0.10107761246606389</v>
      </c>
      <c r="W33" s="2"/>
      <c r="X33" s="7">
        <f t="shared" si="19"/>
        <v>11254.423779999996</v>
      </c>
      <c r="Y33" s="2"/>
      <c r="Z33" s="6">
        <f t="shared" si="20"/>
        <v>1.2491235714747058</v>
      </c>
    </row>
    <row r="34" spans="1:26" s="24" customFormat="1" hidden="1" outlineLevel="2" x14ac:dyDescent="0.25">
      <c r="A34" s="29"/>
      <c r="B34" s="11" t="str">
        <f>CONCATENATE("          ", "6116", " - ", "EDUCATIONAL BENEFITS")</f>
        <v xml:space="preserve">          6116 - EDUCATIONAL BENEFITS</v>
      </c>
      <c r="C34" s="11"/>
      <c r="D34" s="7"/>
      <c r="E34" s="2"/>
      <c r="F34" s="6">
        <f t="shared" si="13"/>
        <v>0</v>
      </c>
      <c r="G34" s="2"/>
      <c r="H34" s="7">
        <v>0</v>
      </c>
      <c r="I34" s="2"/>
      <c r="J34" s="6">
        <f t="shared" si="14"/>
        <v>0</v>
      </c>
      <c r="K34" s="2"/>
      <c r="L34" s="7">
        <f t="shared" si="15"/>
        <v>0</v>
      </c>
      <c r="M34" s="2"/>
      <c r="N34" s="6">
        <f t="shared" si="16"/>
        <v>0</v>
      </c>
      <c r="O34" s="11"/>
      <c r="P34" s="7"/>
      <c r="Q34" s="2"/>
      <c r="R34" s="6">
        <f t="shared" si="17"/>
        <v>0</v>
      </c>
      <c r="S34" s="2"/>
      <c r="T34" s="7">
        <v>0</v>
      </c>
      <c r="U34" s="2"/>
      <c r="V34" s="6">
        <f t="shared" si="18"/>
        <v>0</v>
      </c>
      <c r="W34" s="2"/>
      <c r="X34" s="7">
        <f t="shared" si="19"/>
        <v>0</v>
      </c>
      <c r="Y34" s="2"/>
      <c r="Z34" s="6">
        <f t="shared" si="20"/>
        <v>0</v>
      </c>
    </row>
    <row r="35" spans="1:26" s="24" customFormat="1" hidden="1" outlineLevel="2" x14ac:dyDescent="0.25">
      <c r="A35" s="29"/>
      <c r="B35" s="11" t="str">
        <f>CONCATENATE("          ", "6118", " - ", "VACATION")</f>
        <v xml:space="preserve">          6118 - VACATION</v>
      </c>
      <c r="C35" s="11"/>
      <c r="D35" s="7">
        <v>2400.38</v>
      </c>
      <c r="E35" s="2"/>
      <c r="F35" s="6">
        <f t="shared" si="13"/>
        <v>3.3260075757229356E-2</v>
      </c>
      <c r="G35" s="2"/>
      <c r="H35" s="7">
        <v>1458.2320769230798</v>
      </c>
      <c r="I35" s="2"/>
      <c r="J35" s="6">
        <f t="shared" si="14"/>
        <v>0.12204821534341144</v>
      </c>
      <c r="K35" s="2"/>
      <c r="L35" s="7">
        <f t="shared" si="15"/>
        <v>942.14792307692028</v>
      </c>
      <c r="M35" s="2"/>
      <c r="N35" s="6">
        <f t="shared" si="16"/>
        <v>0.64608914999653899</v>
      </c>
      <c r="O35" s="11"/>
      <c r="P35" s="7">
        <v>16085.3</v>
      </c>
      <c r="Q35" s="2"/>
      <c r="R35" s="6">
        <f t="shared" si="17"/>
        <v>8.2822556561318941E-2</v>
      </c>
      <c r="S35" s="2"/>
      <c r="T35" s="7">
        <v>9820.468500000019</v>
      </c>
      <c r="U35" s="2"/>
      <c r="V35" s="6">
        <f t="shared" si="18"/>
        <v>0.11017151495434067</v>
      </c>
      <c r="W35" s="2"/>
      <c r="X35" s="7">
        <f t="shared" si="19"/>
        <v>6264.8314999999802</v>
      </c>
      <c r="Y35" s="2"/>
      <c r="Z35" s="6">
        <f t="shared" si="20"/>
        <v>0.63793611272211381</v>
      </c>
    </row>
    <row r="36" spans="1:26" s="24" customFormat="1" hidden="1" outlineLevel="2" x14ac:dyDescent="0.25">
      <c r="A36" s="29"/>
      <c r="B36" s="11" t="str">
        <f>CONCATENATE("          ", "6119", " - ", "SICK LEAVE")</f>
        <v xml:space="preserve">          6119 - SICK LEAVE</v>
      </c>
      <c r="C36" s="11"/>
      <c r="D36" s="7">
        <v>1368.1</v>
      </c>
      <c r="E36" s="2"/>
      <c r="F36" s="6">
        <f t="shared" si="13"/>
        <v>1.8956627552081537E-2</v>
      </c>
      <c r="G36" s="2"/>
      <c r="H36" s="7">
        <v>456.29700000000003</v>
      </c>
      <c r="I36" s="2"/>
      <c r="J36" s="6">
        <f t="shared" si="14"/>
        <v>3.8190241044526285E-2</v>
      </c>
      <c r="K36" s="2"/>
      <c r="L36" s="7">
        <f t="shared" si="15"/>
        <v>911.80299999999988</v>
      </c>
      <c r="M36" s="2"/>
      <c r="N36" s="6">
        <f t="shared" si="16"/>
        <v>1.9982664799461751</v>
      </c>
      <c r="O36" s="11"/>
      <c r="P36" s="7">
        <v>9359.56</v>
      </c>
      <c r="Q36" s="2"/>
      <c r="R36" s="6">
        <f t="shared" si="17"/>
        <v>4.8191994397932168E-2</v>
      </c>
      <c r="S36" s="2"/>
      <c r="T36" s="7">
        <v>3294.9425000000001</v>
      </c>
      <c r="U36" s="2"/>
      <c r="V36" s="6">
        <f t="shared" si="18"/>
        <v>3.696451008548543E-2</v>
      </c>
      <c r="W36" s="2"/>
      <c r="X36" s="7">
        <f t="shared" si="19"/>
        <v>6064.6174999999994</v>
      </c>
      <c r="Y36" s="2"/>
      <c r="Z36" s="6">
        <f t="shared" si="20"/>
        <v>1.8405837127658522</v>
      </c>
    </row>
    <row r="37" spans="1:26" s="24" customFormat="1" hidden="1" outlineLevel="2" x14ac:dyDescent="0.25">
      <c r="A37" s="29"/>
      <c r="B37" s="11" t="str">
        <f>CONCATENATE("          ", "6156", " - ", "EMPLOYEE MEALS")</f>
        <v xml:space="preserve">          6156 - EMPLOYEE MEALS</v>
      </c>
      <c r="C37" s="11"/>
      <c r="D37" s="7">
        <v>425.36</v>
      </c>
      <c r="E37" s="2"/>
      <c r="F37" s="6">
        <f t="shared" si="13"/>
        <v>5.8938608987306506E-3</v>
      </c>
      <c r="G37" s="2"/>
      <c r="H37" s="7">
        <v>350</v>
      </c>
      <c r="I37" s="2"/>
      <c r="J37" s="6">
        <f t="shared" si="14"/>
        <v>2.929360562437228E-2</v>
      </c>
      <c r="K37" s="2"/>
      <c r="L37" s="7">
        <f t="shared" si="15"/>
        <v>75.360000000000014</v>
      </c>
      <c r="M37" s="2"/>
      <c r="N37" s="6">
        <f t="shared" si="16"/>
        <v>0.21531428571428576</v>
      </c>
      <c r="O37" s="11"/>
      <c r="P37" s="7">
        <v>3418.33</v>
      </c>
      <c r="Q37" s="2"/>
      <c r="R37" s="6">
        <f t="shared" si="17"/>
        <v>1.7600842369757071E-2</v>
      </c>
      <c r="S37" s="2"/>
      <c r="T37" s="7">
        <v>2100</v>
      </c>
      <c r="U37" s="2"/>
      <c r="V37" s="6">
        <f t="shared" si="18"/>
        <v>2.355897596984451E-2</v>
      </c>
      <c r="W37" s="2"/>
      <c r="X37" s="7">
        <f t="shared" si="19"/>
        <v>1318.33</v>
      </c>
      <c r="Y37" s="2"/>
      <c r="Z37" s="6">
        <f t="shared" si="20"/>
        <v>0.62777619047619049</v>
      </c>
    </row>
    <row r="38" spans="1:26" s="28" customFormat="1" outlineLevel="1" collapsed="1" x14ac:dyDescent="0.25">
      <c r="A38" s="27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SUM(OSRRefD22_1x_0)</f>
        <v>24458.49</v>
      </c>
      <c r="E38" s="1"/>
      <c r="F38" s="5">
        <f t="shared" ref="F38:F48" si="21">IF(D$12=0,0,D38/D$12)</f>
        <v>0.33890101996660388</v>
      </c>
      <c r="G38" s="1"/>
      <c r="H38" s="1">
        <f>SUM(OSRRefH22_1x_0)</f>
        <v>19680.481692307687</v>
      </c>
      <c r="I38" s="1"/>
      <c r="J38" s="5">
        <f t="shared" ref="J38:J48" si="22">IF(H$12=0,0,H38/H$12)</f>
        <v>1.6471779119775432</v>
      </c>
      <c r="K38" s="1"/>
      <c r="L38" s="1">
        <f t="shared" ref="L38:L48" si="23">+D38-H38</f>
        <v>4778.0083076923147</v>
      </c>
      <c r="M38" s="1"/>
      <c r="N38" s="5">
        <f t="shared" ref="N38:N48" si="24">IF(H38=0,0,L38/H38)</f>
        <v>0.24277903266767331</v>
      </c>
      <c r="O38" s="14"/>
      <c r="P38" s="1">
        <f>SUM(OSRRefP22_1x_0)</f>
        <v>178931.66</v>
      </c>
      <c r="Q38" s="1"/>
      <c r="R38" s="5">
        <f t="shared" ref="R38:R48" si="25">IF(P$12=0,0,P38/P$12)</f>
        <v>0.92131185187473597</v>
      </c>
      <c r="S38" s="1"/>
      <c r="T38" s="1">
        <f>SUM(OSRRefT22_1x_0)</f>
        <v>133659.75899999996</v>
      </c>
      <c r="U38" s="1"/>
      <c r="V38" s="5">
        <f t="shared" ref="V38:V48" si="26">IF(T$12=0,0,T38/T$12)</f>
        <v>1.4994700240077179</v>
      </c>
      <c r="W38" s="1"/>
      <c r="X38" s="1">
        <f t="shared" ref="X38:X48" si="27">+P38-T38</f>
        <v>45271.901000000042</v>
      </c>
      <c r="Y38" s="1"/>
      <c r="Z38" s="5">
        <f t="shared" ref="Z38:Z48" si="28">IF(T38=0,0,X38/T38)</f>
        <v>0.33871003014452583</v>
      </c>
    </row>
    <row r="39" spans="1:26" s="24" customFormat="1" hidden="1" outlineLevel="2" x14ac:dyDescent="0.25">
      <c r="A39" s="29"/>
      <c r="B39" s="11" t="str">
        <f>CONCATENATE("          ", "6001", " - ", "ADMINISTRATIVE SALARIES")</f>
        <v xml:space="preserve">          6001 - ADMINISTRATIVE SALARIES</v>
      </c>
      <c r="C39" s="11"/>
      <c r="D39" s="7">
        <v>8855.42</v>
      </c>
      <c r="E39" s="2"/>
      <c r="F39" s="6">
        <f t="shared" si="21"/>
        <v>0.12270221384201001</v>
      </c>
      <c r="G39" s="2"/>
      <c r="H39" s="7">
        <v>9962.3076923076896</v>
      </c>
      <c r="I39" s="2"/>
      <c r="J39" s="6">
        <f t="shared" si="22"/>
        <v>0.83380546470603356</v>
      </c>
      <c r="K39" s="2"/>
      <c r="L39" s="7">
        <f t="shared" si="23"/>
        <v>-1106.8876923076896</v>
      </c>
      <c r="M39" s="2"/>
      <c r="N39" s="6">
        <f t="shared" si="24"/>
        <v>-0.11110755926183281</v>
      </c>
      <c r="O39" s="11"/>
      <c r="P39" s="7">
        <v>62679.80000000001</v>
      </c>
      <c r="Q39" s="2"/>
      <c r="R39" s="6">
        <f t="shared" si="25"/>
        <v>0.32273574510591407</v>
      </c>
      <c r="S39" s="2"/>
      <c r="T39" s="7">
        <v>64754.999999999956</v>
      </c>
      <c r="U39" s="2"/>
      <c r="V39" s="6">
        <f t="shared" si="26"/>
        <v>0.72645785187013345</v>
      </c>
      <c r="W39" s="2"/>
      <c r="X39" s="7">
        <f t="shared" si="27"/>
        <v>-2075.1999999999462</v>
      </c>
      <c r="Y39" s="2"/>
      <c r="Z39" s="6">
        <f t="shared" si="28"/>
        <v>-3.2046946181761217E-2</v>
      </c>
    </row>
    <row r="40" spans="1:26" s="24" customFormat="1" hidden="1" outlineLevel="2" x14ac:dyDescent="0.25">
      <c r="A40" s="29"/>
      <c r="B40" s="11" t="str">
        <f>CONCATENATE("          ", "6002", " - ", "STAFF SALARIES")</f>
        <v xml:space="preserve">          6002 - STAFF SALARIES</v>
      </c>
      <c r="C40" s="11"/>
      <c r="D40" s="7">
        <v>12942.91</v>
      </c>
      <c r="E40" s="2"/>
      <c r="F40" s="6">
        <f t="shared" si="21"/>
        <v>0.17933917426365883</v>
      </c>
      <c r="G40" s="2"/>
      <c r="H40" s="7">
        <v>4543.7219999999998</v>
      </c>
      <c r="I40" s="2"/>
      <c r="J40" s="6">
        <f t="shared" si="22"/>
        <v>0.38029142952795447</v>
      </c>
      <c r="K40" s="2"/>
      <c r="L40" s="7">
        <f t="shared" si="23"/>
        <v>8399.1880000000001</v>
      </c>
      <c r="M40" s="2"/>
      <c r="N40" s="6">
        <f t="shared" si="24"/>
        <v>1.8485259441488719</v>
      </c>
      <c r="O40" s="11"/>
      <c r="P40" s="7">
        <v>92920.81</v>
      </c>
      <c r="Q40" s="2"/>
      <c r="R40" s="6">
        <f t="shared" si="25"/>
        <v>0.478445477668963</v>
      </c>
      <c r="S40" s="2"/>
      <c r="T40" s="7">
        <v>29534.193000000003</v>
      </c>
      <c r="U40" s="2"/>
      <c r="V40" s="6">
        <f t="shared" si="26"/>
        <v>0.33133111579797619</v>
      </c>
      <c r="W40" s="2"/>
      <c r="X40" s="7">
        <f t="shared" si="27"/>
        <v>63386.616999999998</v>
      </c>
      <c r="Y40" s="2"/>
      <c r="Z40" s="6">
        <f t="shared" si="28"/>
        <v>2.146211240645715</v>
      </c>
    </row>
    <row r="41" spans="1:26" s="24" customFormat="1" hidden="1" outlineLevel="2" x14ac:dyDescent="0.25">
      <c r="A41" s="29"/>
      <c r="B41" s="11" t="str">
        <f>CONCATENATE("          ", "6003", " - ", "STAFF HOURLY-9 MONTH")</f>
        <v xml:space="preserve">          6003 - STAFF HOURLY-9 MONTH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/>
      <c r="Q41" s="2"/>
      <c r="R41" s="6">
        <f t="shared" si="25"/>
        <v>0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0</v>
      </c>
      <c r="Y41" s="2"/>
      <c r="Z41" s="6">
        <f t="shared" si="28"/>
        <v>0</v>
      </c>
    </row>
    <row r="42" spans="1:26" s="24" customFormat="1" hidden="1" outlineLevel="2" x14ac:dyDescent="0.25">
      <c r="A42" s="29"/>
      <c r="B42" s="11" t="str">
        <f>CONCATENATE("          ", "6004", " - ", "STAFF HOURLY")</f>
        <v xml:space="preserve">          6004 - STAFF HOURLY</v>
      </c>
      <c r="C42" s="11"/>
      <c r="D42" s="7">
        <v>2426.3000000000002</v>
      </c>
      <c r="E42" s="2"/>
      <c r="F42" s="6">
        <f t="shared" si="21"/>
        <v>3.3619227709681627E-2</v>
      </c>
      <c r="G42" s="2"/>
      <c r="H42" s="7">
        <v>1779.84</v>
      </c>
      <c r="I42" s="2"/>
      <c r="J42" s="6">
        <f t="shared" si="22"/>
        <v>0.1489655172413793</v>
      </c>
      <c r="K42" s="2"/>
      <c r="L42" s="7">
        <f t="shared" si="23"/>
        <v>646.46000000000026</v>
      </c>
      <c r="M42" s="2"/>
      <c r="N42" s="6">
        <f t="shared" si="24"/>
        <v>0.36321242358863737</v>
      </c>
      <c r="O42" s="11"/>
      <c r="P42" s="7">
        <v>20524.63</v>
      </c>
      <c r="Q42" s="2"/>
      <c r="R42" s="6">
        <f t="shared" si="25"/>
        <v>0.10568048647368365</v>
      </c>
      <c r="S42" s="2"/>
      <c r="T42" s="7">
        <v>17724.240000000002</v>
      </c>
      <c r="U42" s="2"/>
      <c r="V42" s="6">
        <f t="shared" si="26"/>
        <v>0.19884044963988423</v>
      </c>
      <c r="W42" s="2"/>
      <c r="X42" s="7">
        <f t="shared" si="27"/>
        <v>2800.3899999999994</v>
      </c>
      <c r="Y42" s="2"/>
      <c r="Z42" s="6">
        <f t="shared" si="28"/>
        <v>0.15799774771725045</v>
      </c>
    </row>
    <row r="43" spans="1:26" s="24" customFormat="1" hidden="1" outlineLevel="2" x14ac:dyDescent="0.25">
      <c r="A43" s="29"/>
      <c r="B43" s="11" t="str">
        <f>CONCATENATE("          ", "6005", " - ", "TEMPORARY WAGES-HOURLY")</f>
        <v xml:space="preserve">          6005 - TEMPORARY WAGES-HOURLY</v>
      </c>
      <c r="C43" s="11"/>
      <c r="D43" s="7">
        <v>233.86</v>
      </c>
      <c r="E43" s="2"/>
      <c r="F43" s="6">
        <f t="shared" si="21"/>
        <v>3.2404041512534088E-3</v>
      </c>
      <c r="G43" s="2"/>
      <c r="H43" s="7">
        <v>1452.672</v>
      </c>
      <c r="I43" s="2"/>
      <c r="J43" s="6">
        <f t="shared" si="22"/>
        <v>0.12158285905590895</v>
      </c>
      <c r="K43" s="2"/>
      <c r="L43" s="7">
        <f t="shared" si="23"/>
        <v>-1218.8119999999999</v>
      </c>
      <c r="M43" s="2"/>
      <c r="N43" s="6">
        <f t="shared" si="24"/>
        <v>-0.83901389990307507</v>
      </c>
      <c r="O43" s="11"/>
      <c r="P43" s="7">
        <v>2736.71</v>
      </c>
      <c r="Q43" s="2"/>
      <c r="R43" s="6">
        <f t="shared" si="25"/>
        <v>1.4091208666728453E-2</v>
      </c>
      <c r="S43" s="2"/>
      <c r="T43" s="7">
        <v>9881.1959999999999</v>
      </c>
      <c r="U43" s="2"/>
      <c r="V43" s="6">
        <f t="shared" si="26"/>
        <v>0.11085279005586843</v>
      </c>
      <c r="W43" s="2"/>
      <c r="X43" s="7">
        <f t="shared" si="27"/>
        <v>-7144.4859999999999</v>
      </c>
      <c r="Y43" s="2"/>
      <c r="Z43" s="6">
        <f t="shared" si="28"/>
        <v>-0.72303858763655737</v>
      </c>
    </row>
    <row r="44" spans="1:26" s="24" customFormat="1" hidden="1" outlineLevel="2" x14ac:dyDescent="0.25">
      <c r="A44" s="29"/>
      <c r="B44" s="11" t="str">
        <f>CONCATENATE("          ", "6006", " - ", "TEMPORARY PART TIME")</f>
        <v xml:space="preserve">          6006 - TEMPORARY PART TIME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/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9"/>
      <c r="B45" s="11" t="str">
        <f>CONCATENATE("          ", "6007", " - ", "STUDENT HOURLY")</f>
        <v xml:space="preserve">          6007 - STUDENT HOURLY</v>
      </c>
      <c r="C45" s="11"/>
      <c r="D45" s="7"/>
      <c r="E45" s="2"/>
      <c r="F45" s="6">
        <f t="shared" si="21"/>
        <v>0</v>
      </c>
      <c r="G45" s="2"/>
      <c r="H45" s="7">
        <v>0</v>
      </c>
      <c r="I45" s="2"/>
      <c r="J45" s="6">
        <f t="shared" si="22"/>
        <v>0</v>
      </c>
      <c r="K45" s="2"/>
      <c r="L45" s="7">
        <f t="shared" si="23"/>
        <v>0</v>
      </c>
      <c r="M45" s="2"/>
      <c r="N45" s="6">
        <f t="shared" si="24"/>
        <v>0</v>
      </c>
      <c r="O45" s="11"/>
      <c r="P45" s="7">
        <v>69.709999999999994</v>
      </c>
      <c r="Q45" s="2"/>
      <c r="R45" s="6">
        <f t="shared" si="25"/>
        <v>3.5893395944679569E-4</v>
      </c>
      <c r="S45" s="2"/>
      <c r="T45" s="7">
        <v>2446.34</v>
      </c>
      <c r="U45" s="2"/>
      <c r="V45" s="6">
        <f t="shared" si="26"/>
        <v>2.7444412035271155E-2</v>
      </c>
      <c r="W45" s="2"/>
      <c r="X45" s="7">
        <f t="shared" si="27"/>
        <v>-2376.63</v>
      </c>
      <c r="Y45" s="2"/>
      <c r="Z45" s="6">
        <f t="shared" si="28"/>
        <v>-0.97150436979324217</v>
      </c>
    </row>
    <row r="46" spans="1:26" s="24" customFormat="1" hidden="1" outlineLevel="2" x14ac:dyDescent="0.25">
      <c r="A46" s="29"/>
      <c r="B46" s="11" t="str">
        <f>CONCATENATE("          ", "6008", " - ", "STUDENT HOURLY-FICA EXEMPT")</f>
        <v xml:space="preserve">          6008 - STUDENT HOURLY-FICA EXEMPT</v>
      </c>
      <c r="C46" s="11"/>
      <c r="D46" s="7"/>
      <c r="E46" s="2"/>
      <c r="F46" s="6">
        <f t="shared" si="21"/>
        <v>0</v>
      </c>
      <c r="G46" s="2"/>
      <c r="H46" s="7">
        <v>1941.94</v>
      </c>
      <c r="I46" s="2"/>
      <c r="J46" s="6">
        <f t="shared" si="22"/>
        <v>0.16253264144626717</v>
      </c>
      <c r="K46" s="2"/>
      <c r="L46" s="7">
        <f t="shared" si="23"/>
        <v>-1941.94</v>
      </c>
      <c r="M46" s="2"/>
      <c r="N46" s="6">
        <f t="shared" si="24"/>
        <v>-1</v>
      </c>
      <c r="O46" s="11"/>
      <c r="P46" s="7"/>
      <c r="Q46" s="2"/>
      <c r="R46" s="6">
        <f t="shared" si="25"/>
        <v>0</v>
      </c>
      <c r="S46" s="2"/>
      <c r="T46" s="7">
        <v>9318.7900000000009</v>
      </c>
      <c r="U46" s="2"/>
      <c r="V46" s="6">
        <f t="shared" si="26"/>
        <v>0.10454340460858445</v>
      </c>
      <c r="W46" s="2"/>
      <c r="X46" s="7">
        <f t="shared" si="27"/>
        <v>-9318.7900000000009</v>
      </c>
      <c r="Y46" s="2"/>
      <c r="Z46" s="6">
        <f t="shared" si="28"/>
        <v>-1</v>
      </c>
    </row>
    <row r="47" spans="1:26" s="24" customFormat="1" hidden="1" outlineLevel="2" x14ac:dyDescent="0.25">
      <c r="A47" s="29"/>
      <c r="B47" s="11" t="str">
        <f>CONCATENATE("          ", "6009", " - ", "TEMPORARY-SEASONAL")</f>
        <v xml:space="preserve">          6009 - TEMPORARY-SEASONAL</v>
      </c>
      <c r="C47" s="11"/>
      <c r="D47" s="7"/>
      <c r="E47" s="2"/>
      <c r="F47" s="6">
        <f t="shared" si="21"/>
        <v>0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0</v>
      </c>
      <c r="M47" s="2"/>
      <c r="N47" s="6">
        <f t="shared" si="24"/>
        <v>0</v>
      </c>
      <c r="O47" s="11"/>
      <c r="P47" s="7"/>
      <c r="Q47" s="2"/>
      <c r="R47" s="6">
        <f t="shared" si="25"/>
        <v>0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0</v>
      </c>
      <c r="Y47" s="2"/>
      <c r="Z47" s="6">
        <f t="shared" si="28"/>
        <v>0</v>
      </c>
    </row>
    <row r="48" spans="1:26" s="24" customFormat="1" hidden="1" outlineLevel="2" x14ac:dyDescent="0.25">
      <c r="A48" s="29"/>
      <c r="B48" s="11" t="str">
        <f>CONCATENATE("          ", "6010", " - ", "GRATUITY")</f>
        <v xml:space="preserve">          6010 - GRATUITY</v>
      </c>
      <c r="C48" s="11"/>
      <c r="D48" s="7"/>
      <c r="E48" s="2"/>
      <c r="F48" s="6">
        <f t="shared" si="21"/>
        <v>0</v>
      </c>
      <c r="G48" s="2"/>
      <c r="H48" s="7">
        <v>0</v>
      </c>
      <c r="I48" s="2"/>
      <c r="J48" s="6">
        <f t="shared" si="22"/>
        <v>0</v>
      </c>
      <c r="K48" s="2"/>
      <c r="L48" s="7">
        <f t="shared" si="23"/>
        <v>0</v>
      </c>
      <c r="M48" s="2"/>
      <c r="N48" s="6">
        <f t="shared" si="24"/>
        <v>0</v>
      </c>
      <c r="O48" s="11"/>
      <c r="P48" s="7"/>
      <c r="Q48" s="2"/>
      <c r="R48" s="6">
        <f t="shared" si="25"/>
        <v>0</v>
      </c>
      <c r="S48" s="2"/>
      <c r="T48" s="7">
        <v>0</v>
      </c>
      <c r="U48" s="2"/>
      <c r="V48" s="6">
        <f t="shared" si="26"/>
        <v>0</v>
      </c>
      <c r="W48" s="2"/>
      <c r="X48" s="7">
        <f t="shared" si="27"/>
        <v>0</v>
      </c>
      <c r="Y48" s="2"/>
      <c r="Z48" s="6">
        <f t="shared" si="28"/>
        <v>0</v>
      </c>
    </row>
    <row r="49" spans="1:26" s="28" customFormat="1" outlineLevel="1" collapsed="1" x14ac:dyDescent="0.25">
      <c r="A49" s="27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SUM(OSRRefD22_2x_0)</f>
        <v>7.42</v>
      </c>
      <c r="E49" s="1"/>
      <c r="F49" s="5">
        <f t="shared" ref="F49:F58" si="29">IF(D$12=0,0,D49/D$12)</f>
        <v>1.0281278885786493E-4</v>
      </c>
      <c r="G49" s="1"/>
      <c r="H49" s="1">
        <f>SUM(OSRRefH22_2x_0)</f>
        <v>553</v>
      </c>
      <c r="I49" s="1"/>
      <c r="J49" s="5">
        <f t="shared" ref="J49:J58" si="30">IF(H$12=0,0,H49/H$12)</f>
        <v>4.6283896886508205E-2</v>
      </c>
      <c r="K49" s="1"/>
      <c r="L49" s="1">
        <f t="shared" ref="L49:L58" si="31">+D49-H49</f>
        <v>-545.58000000000004</v>
      </c>
      <c r="M49" s="1"/>
      <c r="N49" s="5">
        <f t="shared" ref="N49:N58" si="32">IF(H49=0,0,L49/H49)</f>
        <v>-0.98658227848101276</v>
      </c>
      <c r="O49" s="14"/>
      <c r="P49" s="1">
        <f>SUM(OSRRefP22_2x_0)</f>
        <v>133.94999999999999</v>
      </c>
      <c r="Q49" s="1"/>
      <c r="R49" s="5">
        <f t="shared" ref="R49:R58" si="33">IF(P$12=0,0,P49/P$12)</f>
        <v>6.8970311100126651E-4</v>
      </c>
      <c r="S49" s="1"/>
      <c r="T49" s="1">
        <f>SUM(OSRRefT22_2x_0)</f>
        <v>3694</v>
      </c>
      <c r="U49" s="1"/>
      <c r="V49" s="5">
        <f t="shared" ref="V49:V58" si="34">IF(T$12=0,0,T49/T$12)</f>
        <v>4.1441360586955057E-2</v>
      </c>
      <c r="W49" s="1"/>
      <c r="X49" s="1">
        <f t="shared" ref="X49:X58" si="35">+P49-T49</f>
        <v>-3560.05</v>
      </c>
      <c r="Y49" s="1"/>
      <c r="Z49" s="5">
        <f t="shared" ref="Z49:Z58" si="36">IF(T49=0,0,X49/T49)</f>
        <v>-0.96373849485652419</v>
      </c>
    </row>
    <row r="50" spans="1:26" s="24" customFormat="1" hidden="1" outlineLevel="2" x14ac:dyDescent="0.25">
      <c r="A50" s="29"/>
      <c r="B50" s="11" t="str">
        <f>CONCATENATE("          ", "6362", " - ", "ADVERTISING EXPENSE")</f>
        <v xml:space="preserve">          6362 - ADVERTISING EXPENSE</v>
      </c>
      <c r="C50" s="11"/>
      <c r="D50" s="7">
        <v>7.42</v>
      </c>
      <c r="E50" s="2"/>
      <c r="F50" s="6">
        <f t="shared" si="29"/>
        <v>1.0281278885786493E-4</v>
      </c>
      <c r="G50" s="2"/>
      <c r="H50" s="7">
        <v>553</v>
      </c>
      <c r="I50" s="2"/>
      <c r="J50" s="6">
        <f t="shared" si="30"/>
        <v>4.6283896886508205E-2</v>
      </c>
      <c r="K50" s="2"/>
      <c r="L50" s="7">
        <f t="shared" si="31"/>
        <v>-545.58000000000004</v>
      </c>
      <c r="M50" s="2"/>
      <c r="N50" s="6">
        <f t="shared" si="32"/>
        <v>-0.98658227848101276</v>
      </c>
      <c r="O50" s="11"/>
      <c r="P50" s="7">
        <v>133.94999999999999</v>
      </c>
      <c r="Q50" s="2"/>
      <c r="R50" s="6">
        <f t="shared" si="33"/>
        <v>6.8970311100126651E-4</v>
      </c>
      <c r="S50" s="2"/>
      <c r="T50" s="7">
        <v>3694</v>
      </c>
      <c r="U50" s="2"/>
      <c r="V50" s="6">
        <f t="shared" si="34"/>
        <v>4.1441360586955057E-2</v>
      </c>
      <c r="W50" s="2"/>
      <c r="X50" s="7">
        <f t="shared" si="35"/>
        <v>-3560.05</v>
      </c>
      <c r="Y50" s="2"/>
      <c r="Z50" s="6">
        <f t="shared" si="36"/>
        <v>-0.96373849485652419</v>
      </c>
    </row>
    <row r="51" spans="1:26" s="28" customFormat="1" outlineLevel="1" collapsed="1" x14ac:dyDescent="0.25">
      <c r="A51" s="27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SUM(OSRRefD22_3x_0)</f>
        <v>1.74</v>
      </c>
      <c r="E51" s="1"/>
      <c r="F51" s="5">
        <f t="shared" si="29"/>
        <v>2.4109737548879378E-5</v>
      </c>
      <c r="G51" s="1"/>
      <c r="H51" s="1">
        <f>SUM(OSRRefH22_3x_0)</f>
        <v>5</v>
      </c>
      <c r="I51" s="1"/>
      <c r="J51" s="5">
        <f t="shared" si="30"/>
        <v>4.1848008034817542E-4</v>
      </c>
      <c r="K51" s="1"/>
      <c r="L51" s="1">
        <f t="shared" si="31"/>
        <v>-3.26</v>
      </c>
      <c r="M51" s="1"/>
      <c r="N51" s="5">
        <f t="shared" si="32"/>
        <v>-0.65199999999999991</v>
      </c>
      <c r="O51" s="14"/>
      <c r="P51" s="1">
        <f>SUM(OSRRefP22_3x_0)</f>
        <v>8.7899999999999991</v>
      </c>
      <c r="Q51" s="1"/>
      <c r="R51" s="5">
        <f t="shared" si="33"/>
        <v>4.5259353084741561E-5</v>
      </c>
      <c r="S51" s="1"/>
      <c r="T51" s="1">
        <f>SUM(OSRRefT22_3x_0)</f>
        <v>60</v>
      </c>
      <c r="U51" s="1"/>
      <c r="V51" s="5">
        <f t="shared" si="34"/>
        <v>6.7311359913841459E-4</v>
      </c>
      <c r="W51" s="1"/>
      <c r="X51" s="1">
        <f t="shared" si="35"/>
        <v>-51.21</v>
      </c>
      <c r="Y51" s="1"/>
      <c r="Z51" s="5">
        <f t="shared" si="36"/>
        <v>-0.85350000000000004</v>
      </c>
    </row>
    <row r="52" spans="1:26" s="24" customFormat="1" hidden="1" outlineLevel="2" x14ac:dyDescent="0.25">
      <c r="A52" s="29"/>
      <c r="B52" s="11" t="str">
        <f>CONCATENATE("          ", "6272", " - ", "CASH (OVER/SHORT)")</f>
        <v xml:space="preserve">          6272 - CASH (OVER/SHORT)</v>
      </c>
      <c r="C52" s="11"/>
      <c r="D52" s="7">
        <v>1.74</v>
      </c>
      <c r="E52" s="2"/>
      <c r="F52" s="6">
        <f t="shared" si="29"/>
        <v>2.4109737548879378E-5</v>
      </c>
      <c r="G52" s="2"/>
      <c r="H52" s="7">
        <v>5</v>
      </c>
      <c r="I52" s="2"/>
      <c r="J52" s="6">
        <f t="shared" si="30"/>
        <v>4.1848008034817542E-4</v>
      </c>
      <c r="K52" s="2"/>
      <c r="L52" s="7">
        <f t="shared" si="31"/>
        <v>-3.26</v>
      </c>
      <c r="M52" s="2"/>
      <c r="N52" s="6">
        <f t="shared" si="32"/>
        <v>-0.65199999999999991</v>
      </c>
      <c r="O52" s="11"/>
      <c r="P52" s="7">
        <v>8.7899999999999991</v>
      </c>
      <c r="Q52" s="2"/>
      <c r="R52" s="6">
        <f t="shared" si="33"/>
        <v>4.5259353084741561E-5</v>
      </c>
      <c r="S52" s="2"/>
      <c r="T52" s="7">
        <v>60</v>
      </c>
      <c r="U52" s="2"/>
      <c r="V52" s="6">
        <f t="shared" si="34"/>
        <v>6.7311359913841459E-4</v>
      </c>
      <c r="W52" s="2"/>
      <c r="X52" s="7">
        <f t="shared" si="35"/>
        <v>-51.21</v>
      </c>
      <c r="Y52" s="2"/>
      <c r="Z52" s="6">
        <f t="shared" si="36"/>
        <v>-0.85350000000000004</v>
      </c>
    </row>
    <row r="53" spans="1:26" s="28" customFormat="1" outlineLevel="1" collapsed="1" x14ac:dyDescent="0.25">
      <c r="A53" s="27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SUM(OSRRefD22_4x_0)</f>
        <v>639.55999999999995</v>
      </c>
      <c r="E53" s="1"/>
      <c r="F53" s="5">
        <f t="shared" si="29"/>
        <v>8.8618527280237315E-3</v>
      </c>
      <c r="G53" s="1"/>
      <c r="H53" s="1">
        <f>SUM(OSRRefH22_4x_0)</f>
        <v>4397</v>
      </c>
      <c r="I53" s="1"/>
      <c r="J53" s="5">
        <f t="shared" si="30"/>
        <v>0.36801138265818545</v>
      </c>
      <c r="K53" s="1"/>
      <c r="L53" s="1">
        <f t="shared" si="31"/>
        <v>-3757.44</v>
      </c>
      <c r="M53" s="1"/>
      <c r="N53" s="5">
        <f t="shared" si="32"/>
        <v>-0.85454628155560608</v>
      </c>
      <c r="O53" s="14"/>
      <c r="P53" s="1">
        <f>SUM(OSRRefP22_4x_0)</f>
        <v>3254.76</v>
      </c>
      <c r="Q53" s="1"/>
      <c r="R53" s="5">
        <f t="shared" si="33"/>
        <v>1.6758627081466835E-2</v>
      </c>
      <c r="S53" s="1"/>
      <c r="T53" s="1">
        <f>SUM(OSRRefT22_4x_0)</f>
        <v>19248</v>
      </c>
      <c r="U53" s="1"/>
      <c r="V53" s="5">
        <f t="shared" si="34"/>
        <v>0.21593484260360341</v>
      </c>
      <c r="W53" s="1"/>
      <c r="X53" s="1">
        <f t="shared" si="35"/>
        <v>-15993.24</v>
      </c>
      <c r="Y53" s="1"/>
      <c r="Z53" s="5">
        <f t="shared" si="36"/>
        <v>-0.83090399002493764</v>
      </c>
    </row>
    <row r="54" spans="1:26" s="24" customFormat="1" hidden="1" outlineLevel="2" x14ac:dyDescent="0.25">
      <c r="A54" s="29"/>
      <c r="B54" s="11" t="str">
        <f>CONCATENATE("          ", "6381", " - ", "BANK/CREDIT CARD FEES")</f>
        <v xml:space="preserve">          6381 - BANK/CREDIT CARD FEES</v>
      </c>
      <c r="C54" s="11"/>
      <c r="D54" s="7">
        <v>639.55999999999995</v>
      </c>
      <c r="E54" s="2"/>
      <c r="F54" s="6">
        <f t="shared" si="29"/>
        <v>8.8618527280237315E-3</v>
      </c>
      <c r="G54" s="2"/>
      <c r="H54" s="7">
        <v>4397</v>
      </c>
      <c r="I54" s="2"/>
      <c r="J54" s="6">
        <f t="shared" si="30"/>
        <v>0.36801138265818545</v>
      </c>
      <c r="K54" s="2"/>
      <c r="L54" s="7">
        <f t="shared" si="31"/>
        <v>-3757.44</v>
      </c>
      <c r="M54" s="2"/>
      <c r="N54" s="6">
        <f t="shared" si="32"/>
        <v>-0.85454628155560608</v>
      </c>
      <c r="O54" s="11"/>
      <c r="P54" s="7">
        <v>3254.76</v>
      </c>
      <c r="Q54" s="2"/>
      <c r="R54" s="6">
        <f t="shared" si="33"/>
        <v>1.6758627081466835E-2</v>
      </c>
      <c r="S54" s="2"/>
      <c r="T54" s="7">
        <v>19248</v>
      </c>
      <c r="U54" s="2"/>
      <c r="V54" s="6">
        <f t="shared" si="34"/>
        <v>0.21593484260360341</v>
      </c>
      <c r="W54" s="2"/>
      <c r="X54" s="7">
        <f t="shared" si="35"/>
        <v>-15993.24</v>
      </c>
      <c r="Y54" s="2"/>
      <c r="Z54" s="6">
        <f t="shared" si="36"/>
        <v>-0.83090399002493764</v>
      </c>
    </row>
    <row r="55" spans="1:26" s="28" customFormat="1" outlineLevel="1" collapsed="1" x14ac:dyDescent="0.25">
      <c r="A55" s="27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SUM(OSRRefD22_5x_0)</f>
        <v>36720.759999999995</v>
      </c>
      <c r="E55" s="1"/>
      <c r="F55" s="5">
        <f t="shared" si="29"/>
        <v>0.50880912999734929</v>
      </c>
      <c r="G55" s="1"/>
      <c r="H55" s="1">
        <f>SUM(OSRRefH22_5x_0)</f>
        <v>37717</v>
      </c>
      <c r="I55" s="1"/>
      <c r="J55" s="5">
        <f t="shared" si="30"/>
        <v>3.1567626380984266</v>
      </c>
      <c r="K55" s="1"/>
      <c r="L55" s="1">
        <f t="shared" si="31"/>
        <v>-996.24000000000524</v>
      </c>
      <c r="M55" s="1"/>
      <c r="N55" s="5">
        <f t="shared" si="32"/>
        <v>-2.6413553570008359E-2</v>
      </c>
      <c r="O55" s="14"/>
      <c r="P55" s="1">
        <f>SUM(OSRRefP22_5x_0)</f>
        <v>223148.08000000002</v>
      </c>
      <c r="Q55" s="1"/>
      <c r="R55" s="5">
        <f t="shared" si="33"/>
        <v>1.1489804030605413</v>
      </c>
      <c r="S55" s="1"/>
      <c r="T55" s="1">
        <f>SUM(OSRRefT22_5x_0)</f>
        <v>228906</v>
      </c>
      <c r="U55" s="1"/>
      <c r="V55" s="5">
        <f t="shared" si="34"/>
        <v>2.5679956920729654</v>
      </c>
      <c r="W55" s="1"/>
      <c r="X55" s="1">
        <f t="shared" si="35"/>
        <v>-5757.9199999999837</v>
      </c>
      <c r="Y55" s="1"/>
      <c r="Z55" s="5">
        <f t="shared" si="36"/>
        <v>-2.5154080714354293E-2</v>
      </c>
    </row>
    <row r="56" spans="1:26" s="24" customFormat="1" hidden="1" outlineLevel="2" x14ac:dyDescent="0.25">
      <c r="A56" s="29"/>
      <c r="B56" s="11" t="str">
        <f>CONCATENATE("          ", "6321", " - ", "BUILDING DEPRECIATION")</f>
        <v xml:space="preserve">          6321 - BUILDING DEPRECIATION</v>
      </c>
      <c r="C56" s="11"/>
      <c r="D56" s="7">
        <v>23583.489999999998</v>
      </c>
      <c r="E56" s="2"/>
      <c r="F56" s="6">
        <f t="shared" si="29"/>
        <v>0.32677687033713865</v>
      </c>
      <c r="G56" s="2"/>
      <c r="H56" s="7"/>
      <c r="I56" s="2"/>
      <c r="J56" s="6">
        <f t="shared" si="30"/>
        <v>0</v>
      </c>
      <c r="K56" s="2"/>
      <c r="L56" s="7">
        <f t="shared" si="31"/>
        <v>23583.489999999998</v>
      </c>
      <c r="M56" s="2"/>
      <c r="N56" s="6">
        <f t="shared" si="32"/>
        <v>0</v>
      </c>
      <c r="O56" s="11"/>
      <c r="P56" s="7">
        <v>142285.13</v>
      </c>
      <c r="Q56" s="2"/>
      <c r="R56" s="6">
        <f t="shared" si="33"/>
        <v>0.73262035692586525</v>
      </c>
      <c r="S56" s="2"/>
      <c r="T56" s="7"/>
      <c r="U56" s="2"/>
      <c r="V56" s="6">
        <f t="shared" si="34"/>
        <v>0</v>
      </c>
      <c r="W56" s="2"/>
      <c r="X56" s="7">
        <f t="shared" si="35"/>
        <v>142285.13</v>
      </c>
      <c r="Y56" s="2"/>
      <c r="Z56" s="6">
        <f t="shared" si="36"/>
        <v>0</v>
      </c>
    </row>
    <row r="57" spans="1:26" s="24" customFormat="1" hidden="1" outlineLevel="2" x14ac:dyDescent="0.25">
      <c r="A57" s="29"/>
      <c r="B57" s="11" t="str">
        <f>CONCATENATE("          ", "6322", " - ", "EQUIPMENT DEPRECIATION EXPENSE")</f>
        <v xml:space="preserve">          6322 - EQUIPMENT DEPRECIATION EXPENSE</v>
      </c>
      <c r="C57" s="11"/>
      <c r="D57" s="7">
        <v>13137.27</v>
      </c>
      <c r="E57" s="2"/>
      <c r="F57" s="6">
        <f t="shared" si="29"/>
        <v>0.18203225966021069</v>
      </c>
      <c r="G57" s="2"/>
      <c r="H57" s="7">
        <v>37167</v>
      </c>
      <c r="I57" s="2"/>
      <c r="J57" s="6">
        <f t="shared" si="30"/>
        <v>3.1107298292601273</v>
      </c>
      <c r="K57" s="2"/>
      <c r="L57" s="7">
        <f t="shared" si="31"/>
        <v>-24029.73</v>
      </c>
      <c r="M57" s="2"/>
      <c r="N57" s="6">
        <f t="shared" si="32"/>
        <v>-0.64653402211639355</v>
      </c>
      <c r="O57" s="11"/>
      <c r="P57" s="7">
        <v>80862.95</v>
      </c>
      <c r="Q57" s="2"/>
      <c r="R57" s="6">
        <f t="shared" si="33"/>
        <v>0.41636004613467609</v>
      </c>
      <c r="S57" s="2"/>
      <c r="T57" s="7">
        <v>225606</v>
      </c>
      <c r="U57" s="2"/>
      <c r="V57" s="6">
        <f t="shared" si="34"/>
        <v>2.5309744441203526</v>
      </c>
      <c r="W57" s="2"/>
      <c r="X57" s="7">
        <f t="shared" si="35"/>
        <v>-144743.04999999999</v>
      </c>
      <c r="Y57" s="2"/>
      <c r="Z57" s="6">
        <f t="shared" si="36"/>
        <v>-0.64157447053713101</v>
      </c>
    </row>
    <row r="58" spans="1:26" s="24" customFormat="1" hidden="1" outlineLevel="2" x14ac:dyDescent="0.25">
      <c r="A58" s="29"/>
      <c r="B58" s="11" t="str">
        <f>CONCATENATE("          ", "6326", " - ", "VEHICLES DEPRECIATION EXPENSE")</f>
        <v xml:space="preserve">          6326 - VEHICLES DEPRECIATION EXPENSE</v>
      </c>
      <c r="C58" s="11"/>
      <c r="D58" s="7"/>
      <c r="E58" s="2"/>
      <c r="F58" s="6">
        <f t="shared" si="29"/>
        <v>0</v>
      </c>
      <c r="G58" s="2"/>
      <c r="H58" s="7">
        <v>550</v>
      </c>
      <c r="I58" s="2"/>
      <c r="J58" s="6">
        <f t="shared" si="30"/>
        <v>4.6032808838299299E-2</v>
      </c>
      <c r="K58" s="2"/>
      <c r="L58" s="7">
        <f t="shared" si="31"/>
        <v>-550</v>
      </c>
      <c r="M58" s="2"/>
      <c r="N58" s="6">
        <f t="shared" si="32"/>
        <v>-1</v>
      </c>
      <c r="O58" s="11"/>
      <c r="P58" s="7"/>
      <c r="Q58" s="2"/>
      <c r="R58" s="6">
        <f t="shared" si="33"/>
        <v>0</v>
      </c>
      <c r="S58" s="2"/>
      <c r="T58" s="7">
        <v>3300</v>
      </c>
      <c r="U58" s="2"/>
      <c r="V58" s="6">
        <f t="shared" si="34"/>
        <v>3.7021247952612801E-2</v>
      </c>
      <c r="W58" s="2"/>
      <c r="X58" s="7">
        <f t="shared" si="35"/>
        <v>-3300</v>
      </c>
      <c r="Y58" s="2"/>
      <c r="Z58" s="6">
        <f t="shared" si="36"/>
        <v>-1</v>
      </c>
    </row>
    <row r="59" spans="1:26" s="28" customFormat="1" outlineLevel="1" collapsed="1" x14ac:dyDescent="0.25">
      <c r="A59" s="27"/>
      <c r="B59" s="14" t="str">
        <f>CONCATENATE("     ","Employees' Appreciation                           ")</f>
        <v xml:space="preserve">     Employees' Appreciation                           </v>
      </c>
      <c r="C59" s="14"/>
      <c r="D59" s="1">
        <f>SUM(OSRRefD22_6x_0)</f>
        <v>10</v>
      </c>
      <c r="E59" s="1"/>
      <c r="F59" s="5">
        <f t="shared" ref="F59:F77" si="37">IF(D$12=0,0,D59/D$12)</f>
        <v>1.385617100510309E-4</v>
      </c>
      <c r="G59" s="1"/>
      <c r="H59" s="1">
        <f>SUM(OSRRefH22_6x_0)</f>
        <v>100</v>
      </c>
      <c r="I59" s="1"/>
      <c r="J59" s="5">
        <f t="shared" ref="J59:J77" si="38">IF(H$12=0,0,H59/H$12)</f>
        <v>8.3696016069635081E-3</v>
      </c>
      <c r="K59" s="1"/>
      <c r="L59" s="1">
        <f t="shared" ref="L59:L77" si="39">+D59-H59</f>
        <v>-90</v>
      </c>
      <c r="M59" s="1"/>
      <c r="N59" s="5">
        <f t="shared" ref="N59:N77" si="40">IF(H59=0,0,L59/H59)</f>
        <v>-0.9</v>
      </c>
      <c r="O59" s="14"/>
      <c r="P59" s="1">
        <f>SUM(OSRRefP22_6x_0)</f>
        <v>10</v>
      </c>
      <c r="Q59" s="1"/>
      <c r="R59" s="5">
        <f t="shared" ref="R59:R77" si="41">IF(P$12=0,0,P59/P$12)</f>
        <v>5.1489593953062075E-5</v>
      </c>
      <c r="S59" s="1"/>
      <c r="T59" s="1">
        <f>SUM(OSRRefT22_6x_0)</f>
        <v>100</v>
      </c>
      <c r="U59" s="1"/>
      <c r="V59" s="5">
        <f t="shared" ref="V59:V77" si="42">IF(T$12=0,0,T59/T$12)</f>
        <v>1.1218559985640244E-3</v>
      </c>
      <c r="W59" s="1"/>
      <c r="X59" s="1">
        <f t="shared" ref="X59:X77" si="43">+P59-T59</f>
        <v>-90</v>
      </c>
      <c r="Y59" s="1"/>
      <c r="Z59" s="5">
        <f t="shared" ref="Z59:Z77" si="44">IF(T59=0,0,X59/T59)</f>
        <v>-0.9</v>
      </c>
    </row>
    <row r="60" spans="1:26" s="24" customFormat="1" hidden="1" outlineLevel="2" x14ac:dyDescent="0.25">
      <c r="A60" s="29"/>
      <c r="B60" s="11" t="str">
        <f>CONCATENATE("          ", "6277", " - ", "EMPLOYEE APPRECIATION")</f>
        <v xml:space="preserve">          6277 - EMPLOYEE APPRECIATION</v>
      </c>
      <c r="C60" s="11"/>
      <c r="D60" s="7">
        <v>10</v>
      </c>
      <c r="E60" s="2"/>
      <c r="F60" s="6">
        <f t="shared" si="37"/>
        <v>1.385617100510309E-4</v>
      </c>
      <c r="G60" s="2"/>
      <c r="H60" s="7">
        <v>100</v>
      </c>
      <c r="I60" s="2"/>
      <c r="J60" s="6">
        <f t="shared" si="38"/>
        <v>8.3696016069635081E-3</v>
      </c>
      <c r="K60" s="2"/>
      <c r="L60" s="7">
        <f t="shared" si="39"/>
        <v>-90</v>
      </c>
      <c r="M60" s="2"/>
      <c r="N60" s="6">
        <f t="shared" si="40"/>
        <v>-0.9</v>
      </c>
      <c r="O60" s="11"/>
      <c r="P60" s="7">
        <v>10</v>
      </c>
      <c r="Q60" s="2"/>
      <c r="R60" s="6">
        <f t="shared" si="41"/>
        <v>5.1489593953062075E-5</v>
      </c>
      <c r="S60" s="2"/>
      <c r="T60" s="7">
        <v>100</v>
      </c>
      <c r="U60" s="2"/>
      <c r="V60" s="6">
        <f t="shared" si="42"/>
        <v>1.1218559985640244E-3</v>
      </c>
      <c r="W60" s="2"/>
      <c r="X60" s="7">
        <f t="shared" si="43"/>
        <v>-90</v>
      </c>
      <c r="Y60" s="2"/>
      <c r="Z60" s="6">
        <f t="shared" si="44"/>
        <v>-0.9</v>
      </c>
    </row>
    <row r="61" spans="1:26" s="28" customFormat="1" outlineLevel="1" collapsed="1" x14ac:dyDescent="0.25">
      <c r="A61" s="27"/>
      <c r="B61" s="14" t="str">
        <f>CONCATENATE("     ","Equipment Rental                                  ")</f>
        <v xml:space="preserve">     Equipment Rental                                  </v>
      </c>
      <c r="C61" s="14"/>
      <c r="D61" s="1">
        <f>SUM(OSRRefD22_7x_0)</f>
        <v>297.93</v>
      </c>
      <c r="E61" s="1"/>
      <c r="F61" s="5">
        <f t="shared" si="37"/>
        <v>4.128169027550364E-3</v>
      </c>
      <c r="G61" s="1"/>
      <c r="H61" s="1">
        <f>SUM(OSRRefH22_7x_0)</f>
        <v>303.33333333333297</v>
      </c>
      <c r="I61" s="1"/>
      <c r="J61" s="5">
        <f t="shared" si="38"/>
        <v>2.5387791541122612E-2</v>
      </c>
      <c r="K61" s="1"/>
      <c r="L61" s="1">
        <f t="shared" si="39"/>
        <v>-5.4033333333329665</v>
      </c>
      <c r="M61" s="1"/>
      <c r="N61" s="5">
        <f t="shared" si="40"/>
        <v>-1.7813186813185625E-2</v>
      </c>
      <c r="O61" s="14"/>
      <c r="P61" s="1">
        <f>SUM(OSRRefP22_7x_0)</f>
        <v>4373.62</v>
      </c>
      <c r="Q61" s="1"/>
      <c r="R61" s="5">
        <f t="shared" si="41"/>
        <v>2.2519591790499137E-2</v>
      </c>
      <c r="S61" s="1"/>
      <c r="T61" s="1">
        <f>SUM(OSRRefT22_7x_0)</f>
        <v>1918.999999999998</v>
      </c>
      <c r="U61" s="1"/>
      <c r="V61" s="5">
        <f t="shared" si="42"/>
        <v>2.1528416612443604E-2</v>
      </c>
      <c r="W61" s="1"/>
      <c r="X61" s="1">
        <f t="shared" si="43"/>
        <v>2454.6200000000017</v>
      </c>
      <c r="Y61" s="1"/>
      <c r="Z61" s="5">
        <f t="shared" si="44"/>
        <v>1.2791141219385118</v>
      </c>
    </row>
    <row r="62" spans="1:26" s="24" customFormat="1" hidden="1" outlineLevel="2" x14ac:dyDescent="0.25">
      <c r="A62" s="29"/>
      <c r="B62" s="11" t="str">
        <f>CONCATENATE("          ", "6351", " - ", "EQUIPMENT RENTAL")</f>
        <v xml:space="preserve">          6351 - EQUIPMENT RENTAL</v>
      </c>
      <c r="C62" s="11"/>
      <c r="D62" s="7">
        <v>297.93</v>
      </c>
      <c r="E62" s="2"/>
      <c r="F62" s="6">
        <f t="shared" si="37"/>
        <v>4.128169027550364E-3</v>
      </c>
      <c r="G62" s="2"/>
      <c r="H62" s="7">
        <v>303.33333333333297</v>
      </c>
      <c r="I62" s="2"/>
      <c r="J62" s="6">
        <f t="shared" si="38"/>
        <v>2.5387791541122612E-2</v>
      </c>
      <c r="K62" s="2"/>
      <c r="L62" s="7">
        <f t="shared" si="39"/>
        <v>-5.4033333333329665</v>
      </c>
      <c r="M62" s="2"/>
      <c r="N62" s="6">
        <f t="shared" si="40"/>
        <v>-1.7813186813185625E-2</v>
      </c>
      <c r="O62" s="11"/>
      <c r="P62" s="7">
        <v>4373.62</v>
      </c>
      <c r="Q62" s="2"/>
      <c r="R62" s="6">
        <f t="shared" si="41"/>
        <v>2.2519591790499137E-2</v>
      </c>
      <c r="S62" s="2"/>
      <c r="T62" s="7">
        <v>1918.999999999998</v>
      </c>
      <c r="U62" s="2"/>
      <c r="V62" s="6">
        <f t="shared" si="42"/>
        <v>2.1528416612443604E-2</v>
      </c>
      <c r="W62" s="2"/>
      <c r="X62" s="7">
        <f t="shared" si="43"/>
        <v>2454.6200000000017</v>
      </c>
      <c r="Y62" s="2"/>
      <c r="Z62" s="6">
        <f t="shared" si="44"/>
        <v>1.2791141219385118</v>
      </c>
    </row>
    <row r="63" spans="1:26" s="28" customFormat="1" outlineLevel="1" collapsed="1" x14ac:dyDescent="0.25">
      <c r="A63" s="27"/>
      <c r="B63" s="14" t="str">
        <f>CONCATENATE("     ","Freight out/Postage                               ")</f>
        <v xml:space="preserve">     Freight out/Postage                               </v>
      </c>
      <c r="C63" s="14"/>
      <c r="D63" s="1">
        <f>SUM(OSRRefD22_8x_0)</f>
        <v>0</v>
      </c>
      <c r="E63" s="1"/>
      <c r="F63" s="5">
        <f t="shared" si="37"/>
        <v>0</v>
      </c>
      <c r="G63" s="1"/>
      <c r="H63" s="1">
        <f>SUM(OSRRefH22_8x_0)</f>
        <v>0</v>
      </c>
      <c r="I63" s="1"/>
      <c r="J63" s="5">
        <f t="shared" si="38"/>
        <v>0</v>
      </c>
      <c r="K63" s="1"/>
      <c r="L63" s="1">
        <f t="shared" si="39"/>
        <v>0</v>
      </c>
      <c r="M63" s="1"/>
      <c r="N63" s="5">
        <f t="shared" si="40"/>
        <v>0</v>
      </c>
      <c r="O63" s="14"/>
      <c r="P63" s="1">
        <f>SUM(OSRRefP22_8x_0)</f>
        <v>-5.41</v>
      </c>
      <c r="Q63" s="1"/>
      <c r="R63" s="5">
        <f t="shared" si="41"/>
        <v>-2.7855870328606584E-5</v>
      </c>
      <c r="S63" s="1"/>
      <c r="T63" s="1">
        <f>SUM(OSRRefT22_8x_0)</f>
        <v>0</v>
      </c>
      <c r="U63" s="1"/>
      <c r="V63" s="5">
        <f t="shared" si="42"/>
        <v>0</v>
      </c>
      <c r="W63" s="1"/>
      <c r="X63" s="1">
        <f t="shared" si="43"/>
        <v>-5.41</v>
      </c>
      <c r="Y63" s="1"/>
      <c r="Z63" s="5">
        <f t="shared" si="44"/>
        <v>0</v>
      </c>
    </row>
    <row r="64" spans="1:26" s="24" customFormat="1" hidden="1" outlineLevel="2" x14ac:dyDescent="0.25">
      <c r="A64" s="29"/>
      <c r="B64" s="11" t="str">
        <f>CONCATENATE("          ", "6307", " - ", "POSTAGE")</f>
        <v xml:space="preserve">          6307 - POSTAGE</v>
      </c>
      <c r="C64" s="11"/>
      <c r="D64" s="7"/>
      <c r="E64" s="2"/>
      <c r="F64" s="6">
        <f t="shared" si="37"/>
        <v>0</v>
      </c>
      <c r="G64" s="2"/>
      <c r="H64" s="7"/>
      <c r="I64" s="2"/>
      <c r="J64" s="6">
        <f t="shared" si="38"/>
        <v>0</v>
      </c>
      <c r="K64" s="2"/>
      <c r="L64" s="7">
        <f t="shared" si="39"/>
        <v>0</v>
      </c>
      <c r="M64" s="2"/>
      <c r="N64" s="6">
        <f t="shared" si="40"/>
        <v>0</v>
      </c>
      <c r="O64" s="11"/>
      <c r="P64" s="7">
        <v>-5.41</v>
      </c>
      <c r="Q64" s="2"/>
      <c r="R64" s="6">
        <f t="shared" si="41"/>
        <v>-2.7855870328606584E-5</v>
      </c>
      <c r="S64" s="2"/>
      <c r="T64" s="7"/>
      <c r="U64" s="2"/>
      <c r="V64" s="6">
        <f t="shared" si="42"/>
        <v>0</v>
      </c>
      <c r="W64" s="2"/>
      <c r="X64" s="7">
        <f t="shared" si="43"/>
        <v>-5.41</v>
      </c>
      <c r="Y64" s="2"/>
      <c r="Z64" s="6">
        <f t="shared" si="44"/>
        <v>0</v>
      </c>
    </row>
    <row r="65" spans="1:26" s="28" customFormat="1" outlineLevel="1" collapsed="1" x14ac:dyDescent="0.25">
      <c r="A65" s="27"/>
      <c r="B65" s="14" t="str">
        <f>CONCATENATE("     ","General                                           ")</f>
        <v xml:space="preserve">     General                                           </v>
      </c>
      <c r="C65" s="14"/>
      <c r="D65" s="1">
        <f>SUM(OSRRefD22_9x_0)</f>
        <v>459</v>
      </c>
      <c r="E65" s="1"/>
      <c r="F65" s="5">
        <f t="shared" si="37"/>
        <v>6.3599824913423185E-3</v>
      </c>
      <c r="G65" s="1"/>
      <c r="H65" s="1">
        <f>SUM(OSRRefH22_9x_0)</f>
        <v>455</v>
      </c>
      <c r="I65" s="1"/>
      <c r="J65" s="5">
        <f t="shared" si="38"/>
        <v>3.8081687311683966E-2</v>
      </c>
      <c r="K65" s="1"/>
      <c r="L65" s="1">
        <f t="shared" si="39"/>
        <v>4</v>
      </c>
      <c r="M65" s="1"/>
      <c r="N65" s="5">
        <f t="shared" si="40"/>
        <v>8.7912087912087912E-3</v>
      </c>
      <c r="O65" s="14"/>
      <c r="P65" s="1">
        <f>SUM(OSRRefP22_9x_0)</f>
        <v>4680.45</v>
      </c>
      <c r="Q65" s="1"/>
      <c r="R65" s="5">
        <f t="shared" si="41"/>
        <v>2.4099447001760938E-2</v>
      </c>
      <c r="S65" s="1"/>
      <c r="T65" s="1">
        <f>SUM(OSRRefT22_9x_0)</f>
        <v>4810</v>
      </c>
      <c r="U65" s="1"/>
      <c r="V65" s="5">
        <f t="shared" si="42"/>
        <v>5.3961273530929568E-2</v>
      </c>
      <c r="W65" s="1"/>
      <c r="X65" s="1">
        <f t="shared" si="43"/>
        <v>-129.55000000000018</v>
      </c>
      <c r="Y65" s="1"/>
      <c r="Z65" s="5">
        <f t="shared" si="44"/>
        <v>-2.693347193347197E-2</v>
      </c>
    </row>
    <row r="66" spans="1:26" s="24" customFormat="1" hidden="1" outlineLevel="2" x14ac:dyDescent="0.25">
      <c r="A66" s="29"/>
      <c r="B66" s="11" t="str">
        <f>CONCATENATE("          ", "6279", " - ", "GENERAL EXPENSE")</f>
        <v xml:space="preserve">          6279 - GENERAL EXPENSE</v>
      </c>
      <c r="C66" s="11"/>
      <c r="D66" s="7">
        <v>459</v>
      </c>
      <c r="E66" s="2"/>
      <c r="F66" s="6">
        <f t="shared" si="37"/>
        <v>6.3599824913423185E-3</v>
      </c>
      <c r="G66" s="2"/>
      <c r="H66" s="7">
        <v>455</v>
      </c>
      <c r="I66" s="2"/>
      <c r="J66" s="6">
        <f t="shared" si="38"/>
        <v>3.8081687311683966E-2</v>
      </c>
      <c r="K66" s="2"/>
      <c r="L66" s="7">
        <f t="shared" si="39"/>
        <v>4</v>
      </c>
      <c r="M66" s="2"/>
      <c r="N66" s="6">
        <f t="shared" si="40"/>
        <v>8.7912087912087912E-3</v>
      </c>
      <c r="O66" s="11"/>
      <c r="P66" s="7">
        <v>4680.45</v>
      </c>
      <c r="Q66" s="2"/>
      <c r="R66" s="6">
        <f t="shared" si="41"/>
        <v>2.4099447001760938E-2</v>
      </c>
      <c r="S66" s="2"/>
      <c r="T66" s="7">
        <v>4810</v>
      </c>
      <c r="U66" s="2"/>
      <c r="V66" s="6">
        <f t="shared" si="42"/>
        <v>5.3961273530929568E-2</v>
      </c>
      <c r="W66" s="2"/>
      <c r="X66" s="7">
        <f t="shared" si="43"/>
        <v>-129.55000000000018</v>
      </c>
      <c r="Y66" s="2"/>
      <c r="Z66" s="6">
        <f t="shared" si="44"/>
        <v>-2.693347193347197E-2</v>
      </c>
    </row>
    <row r="67" spans="1:26" s="28" customFormat="1" outlineLevel="1" collapsed="1" x14ac:dyDescent="0.25">
      <c r="A67" s="27"/>
      <c r="B67" s="14" t="str">
        <f>CONCATENATE("     ","Insurance                                         ")</f>
        <v xml:space="preserve">     Insurance                                         </v>
      </c>
      <c r="C67" s="14"/>
      <c r="D67" s="1">
        <f>SUM(OSRRefD22_10x_0)</f>
        <v>4240.13</v>
      </c>
      <c r="E67" s="1"/>
      <c r="F67" s="5">
        <f t="shared" si="37"/>
        <v>5.8751966363867765E-2</v>
      </c>
      <c r="G67" s="1"/>
      <c r="H67" s="1">
        <f>SUM(OSRRefH22_10x_0)</f>
        <v>4565</v>
      </c>
      <c r="I67" s="1"/>
      <c r="J67" s="5">
        <f t="shared" si="38"/>
        <v>0.38207231335788416</v>
      </c>
      <c r="K67" s="1"/>
      <c r="L67" s="1">
        <f t="shared" si="39"/>
        <v>-324.86999999999989</v>
      </c>
      <c r="M67" s="1"/>
      <c r="N67" s="5">
        <f t="shared" si="40"/>
        <v>-7.1165388828039411E-2</v>
      </c>
      <c r="O67" s="14"/>
      <c r="P67" s="1">
        <f>SUM(OSRRefP22_10x_0)</f>
        <v>31552.780000000002</v>
      </c>
      <c r="Q67" s="1"/>
      <c r="R67" s="5">
        <f t="shared" si="41"/>
        <v>0.16246398302902981</v>
      </c>
      <c r="S67" s="1"/>
      <c r="T67" s="1">
        <f>SUM(OSRRefT22_10x_0)</f>
        <v>27390</v>
      </c>
      <c r="U67" s="1"/>
      <c r="V67" s="5">
        <f t="shared" si="42"/>
        <v>0.30727635800668623</v>
      </c>
      <c r="W67" s="1"/>
      <c r="X67" s="1">
        <f t="shared" si="43"/>
        <v>4162.7800000000025</v>
      </c>
      <c r="Y67" s="1"/>
      <c r="Z67" s="5">
        <f t="shared" si="44"/>
        <v>0.15198174516246815</v>
      </c>
    </row>
    <row r="68" spans="1:26" s="24" customFormat="1" hidden="1" outlineLevel="2" x14ac:dyDescent="0.25">
      <c r="A68" s="29"/>
      <c r="B68" s="11" t="str">
        <f>CONCATENATE("          ", "6314", " - ", "LIABILITY INSURANCE")</f>
        <v xml:space="preserve">          6314 - LIABILITY INSURANCE</v>
      </c>
      <c r="C68" s="11"/>
      <c r="D68" s="7">
        <v>4240.13</v>
      </c>
      <c r="E68" s="2"/>
      <c r="F68" s="6">
        <f t="shared" si="37"/>
        <v>5.8751966363867765E-2</v>
      </c>
      <c r="G68" s="2"/>
      <c r="H68" s="7">
        <v>4565</v>
      </c>
      <c r="I68" s="2"/>
      <c r="J68" s="6">
        <f t="shared" si="38"/>
        <v>0.38207231335788416</v>
      </c>
      <c r="K68" s="2"/>
      <c r="L68" s="7">
        <f t="shared" si="39"/>
        <v>-324.86999999999989</v>
      </c>
      <c r="M68" s="2"/>
      <c r="N68" s="6">
        <f t="shared" si="40"/>
        <v>-7.1165388828039411E-2</v>
      </c>
      <c r="O68" s="11"/>
      <c r="P68" s="7">
        <v>31552.780000000002</v>
      </c>
      <c r="Q68" s="2"/>
      <c r="R68" s="6">
        <f t="shared" si="41"/>
        <v>0.16246398302902981</v>
      </c>
      <c r="S68" s="2"/>
      <c r="T68" s="7">
        <v>27390</v>
      </c>
      <c r="U68" s="2"/>
      <c r="V68" s="6">
        <f t="shared" si="42"/>
        <v>0.30727635800668623</v>
      </c>
      <c r="W68" s="2"/>
      <c r="X68" s="7">
        <f t="shared" si="43"/>
        <v>4162.7800000000025</v>
      </c>
      <c r="Y68" s="2"/>
      <c r="Z68" s="6">
        <f t="shared" si="44"/>
        <v>0.15198174516246815</v>
      </c>
    </row>
    <row r="69" spans="1:26" s="28" customFormat="1" outlineLevel="1" collapsed="1" x14ac:dyDescent="0.25">
      <c r="A69" s="27"/>
      <c r="B69" s="14" t="str">
        <f>CONCATENATE("     ","Interest                                          ")</f>
        <v xml:space="preserve">     Interest                                          </v>
      </c>
      <c r="C69" s="14"/>
      <c r="D69" s="1">
        <f>SUM(OSRRefD22_11x_0)</f>
        <v>7510</v>
      </c>
      <c r="E69" s="1"/>
      <c r="F69" s="5">
        <f t="shared" si="37"/>
        <v>0.10405984424832421</v>
      </c>
      <c r="G69" s="1"/>
      <c r="H69" s="1">
        <f>SUM(OSRRefH22_11x_0)</f>
        <v>7510</v>
      </c>
      <c r="I69" s="1"/>
      <c r="J69" s="5">
        <f t="shared" si="38"/>
        <v>0.62855708068295946</v>
      </c>
      <c r="K69" s="1"/>
      <c r="L69" s="1">
        <f t="shared" si="39"/>
        <v>0</v>
      </c>
      <c r="M69" s="1"/>
      <c r="N69" s="5">
        <f t="shared" si="40"/>
        <v>0</v>
      </c>
      <c r="O69" s="14"/>
      <c r="P69" s="1">
        <f>SUM(OSRRefP22_11x_0)</f>
        <v>44573.15</v>
      </c>
      <c r="Q69" s="1"/>
      <c r="R69" s="5">
        <f t="shared" si="41"/>
        <v>0.22950533947089291</v>
      </c>
      <c r="S69" s="1"/>
      <c r="T69" s="1">
        <f>SUM(OSRRefT22_11x_0)</f>
        <v>45060</v>
      </c>
      <c r="U69" s="1"/>
      <c r="V69" s="5">
        <f t="shared" si="42"/>
        <v>0.5055083129529494</v>
      </c>
      <c r="W69" s="1"/>
      <c r="X69" s="1">
        <f t="shared" si="43"/>
        <v>-486.84999999999854</v>
      </c>
      <c r="Y69" s="1"/>
      <c r="Z69" s="5">
        <f t="shared" si="44"/>
        <v>-1.0804482911673291E-2</v>
      </c>
    </row>
    <row r="70" spans="1:26" s="24" customFormat="1" hidden="1" outlineLevel="2" x14ac:dyDescent="0.25">
      <c r="A70" s="29"/>
      <c r="B70" s="11" t="str">
        <f>CONCATENATE("          ", "6401", " - ", "INTEREST EXPENSE")</f>
        <v xml:space="preserve">          6401 - INTEREST EXPENSE</v>
      </c>
      <c r="C70" s="11"/>
      <c r="D70" s="7">
        <v>7510</v>
      </c>
      <c r="E70" s="2"/>
      <c r="F70" s="6">
        <f t="shared" si="37"/>
        <v>0.10405984424832421</v>
      </c>
      <c r="G70" s="2"/>
      <c r="H70" s="7">
        <v>7510</v>
      </c>
      <c r="I70" s="2"/>
      <c r="J70" s="6">
        <f t="shared" si="38"/>
        <v>0.62855708068295946</v>
      </c>
      <c r="K70" s="2"/>
      <c r="L70" s="7">
        <f t="shared" si="39"/>
        <v>0</v>
      </c>
      <c r="M70" s="2"/>
      <c r="N70" s="6">
        <f t="shared" si="40"/>
        <v>0</v>
      </c>
      <c r="O70" s="11"/>
      <c r="P70" s="7">
        <v>44573.15</v>
      </c>
      <c r="Q70" s="2"/>
      <c r="R70" s="6">
        <f t="shared" si="41"/>
        <v>0.22950533947089291</v>
      </c>
      <c r="S70" s="2"/>
      <c r="T70" s="7">
        <v>45060</v>
      </c>
      <c r="U70" s="2"/>
      <c r="V70" s="6">
        <f t="shared" si="42"/>
        <v>0.5055083129529494</v>
      </c>
      <c r="W70" s="2"/>
      <c r="X70" s="7">
        <f t="shared" si="43"/>
        <v>-486.84999999999854</v>
      </c>
      <c r="Y70" s="2"/>
      <c r="Z70" s="6">
        <f t="shared" si="44"/>
        <v>-1.0804482911673291E-2</v>
      </c>
    </row>
    <row r="71" spans="1:26" s="28" customFormat="1" outlineLevel="1" collapsed="1" x14ac:dyDescent="0.25">
      <c r="A71" s="27"/>
      <c r="B71" s="14" t="str">
        <f>CONCATENATE("     ","Rent                                              ")</f>
        <v xml:space="preserve">     Rent                                              </v>
      </c>
      <c r="C71" s="14"/>
      <c r="D71" s="1">
        <f>SUM(OSRRefD22_12x_0)</f>
        <v>5550</v>
      </c>
      <c r="E71" s="1"/>
      <c r="F71" s="5">
        <f t="shared" si="37"/>
        <v>7.6901749078322146E-2</v>
      </c>
      <c r="G71" s="1"/>
      <c r="H71" s="1">
        <f>SUM(OSRRefH22_12x_0)</f>
        <v>1943</v>
      </c>
      <c r="I71" s="1"/>
      <c r="J71" s="5">
        <f t="shared" si="38"/>
        <v>0.16262135922330098</v>
      </c>
      <c r="K71" s="1"/>
      <c r="L71" s="1">
        <f t="shared" si="39"/>
        <v>3607</v>
      </c>
      <c r="M71" s="1"/>
      <c r="N71" s="5">
        <f t="shared" si="40"/>
        <v>1.856407617086979</v>
      </c>
      <c r="O71" s="14"/>
      <c r="P71" s="1">
        <f>SUM(OSRRefP22_12x_0)</f>
        <v>11100</v>
      </c>
      <c r="Q71" s="1"/>
      <c r="R71" s="5">
        <f t="shared" si="41"/>
        <v>5.7153449287898908E-2</v>
      </c>
      <c r="S71" s="1"/>
      <c r="T71" s="1">
        <f>SUM(OSRRefT22_12x_0)</f>
        <v>11658</v>
      </c>
      <c r="U71" s="1"/>
      <c r="V71" s="5">
        <f t="shared" si="42"/>
        <v>0.13078597231259395</v>
      </c>
      <c r="W71" s="1"/>
      <c r="X71" s="1">
        <f t="shared" si="43"/>
        <v>-558</v>
      </c>
      <c r="Y71" s="1"/>
      <c r="Z71" s="5">
        <f t="shared" si="44"/>
        <v>-4.7864127637673698E-2</v>
      </c>
    </row>
    <row r="72" spans="1:26" s="24" customFormat="1" hidden="1" outlineLevel="2" x14ac:dyDescent="0.25">
      <c r="A72" s="29"/>
      <c r="B72" s="11" t="str">
        <f>CONCATENATE("          ", "6273", " - ", "RENT")</f>
        <v xml:space="preserve">          6273 - RENT</v>
      </c>
      <c r="C72" s="11"/>
      <c r="D72" s="7">
        <v>5550</v>
      </c>
      <c r="E72" s="2"/>
      <c r="F72" s="6">
        <f t="shared" si="37"/>
        <v>7.6901749078322146E-2</v>
      </c>
      <c r="G72" s="2"/>
      <c r="H72" s="7">
        <v>1943</v>
      </c>
      <c r="I72" s="2"/>
      <c r="J72" s="6">
        <f t="shared" si="38"/>
        <v>0.16262135922330098</v>
      </c>
      <c r="K72" s="2"/>
      <c r="L72" s="7">
        <f t="shared" si="39"/>
        <v>3607</v>
      </c>
      <c r="M72" s="2"/>
      <c r="N72" s="6">
        <f t="shared" si="40"/>
        <v>1.856407617086979</v>
      </c>
      <c r="O72" s="11"/>
      <c r="P72" s="7">
        <v>11100</v>
      </c>
      <c r="Q72" s="2"/>
      <c r="R72" s="6">
        <f t="shared" si="41"/>
        <v>5.7153449287898908E-2</v>
      </c>
      <c r="S72" s="2"/>
      <c r="T72" s="7">
        <v>11658</v>
      </c>
      <c r="U72" s="2"/>
      <c r="V72" s="6">
        <f t="shared" si="42"/>
        <v>0.13078597231259395</v>
      </c>
      <c r="W72" s="2"/>
      <c r="X72" s="7">
        <f t="shared" si="43"/>
        <v>-558</v>
      </c>
      <c r="Y72" s="2"/>
      <c r="Z72" s="6">
        <f t="shared" si="44"/>
        <v>-4.7864127637673698E-2</v>
      </c>
    </row>
    <row r="73" spans="1:26" s="28" customFormat="1" outlineLevel="1" collapsed="1" x14ac:dyDescent="0.25">
      <c r="A73" s="27"/>
      <c r="B73" s="14" t="str">
        <f>CONCATENATE("     ","Repair and Maintenance                            ")</f>
        <v xml:space="preserve">     Repair and Maintenance                            </v>
      </c>
      <c r="C73" s="14"/>
      <c r="D73" s="1">
        <f>SUM(OSRRefD22_13x_0)</f>
        <v>1686.72</v>
      </c>
      <c r="E73" s="1"/>
      <c r="F73" s="5">
        <f t="shared" si="37"/>
        <v>2.3371480757727485E-2</v>
      </c>
      <c r="G73" s="1"/>
      <c r="H73" s="1">
        <f>SUM(OSRRefH22_13x_0)</f>
        <v>3342</v>
      </c>
      <c r="I73" s="1"/>
      <c r="J73" s="5">
        <f t="shared" si="38"/>
        <v>0.27971208570472045</v>
      </c>
      <c r="K73" s="1"/>
      <c r="L73" s="1">
        <f t="shared" si="39"/>
        <v>-1655.28</v>
      </c>
      <c r="M73" s="1"/>
      <c r="N73" s="5">
        <f t="shared" si="40"/>
        <v>-0.49529622980251348</v>
      </c>
      <c r="O73" s="14"/>
      <c r="P73" s="1">
        <f>SUM(OSRRefP22_13x_0)</f>
        <v>19858.980000000003</v>
      </c>
      <c r="Q73" s="1"/>
      <c r="R73" s="5">
        <f t="shared" si="41"/>
        <v>0.1022530816521981</v>
      </c>
      <c r="S73" s="1"/>
      <c r="T73" s="1">
        <f>SUM(OSRRefT22_13x_0)</f>
        <v>16459</v>
      </c>
      <c r="U73" s="1"/>
      <c r="V73" s="5">
        <f t="shared" si="42"/>
        <v>0.18464627880365275</v>
      </c>
      <c r="W73" s="1"/>
      <c r="X73" s="1">
        <f t="shared" si="43"/>
        <v>3399.9800000000032</v>
      </c>
      <c r="Y73" s="1"/>
      <c r="Z73" s="5">
        <f t="shared" si="44"/>
        <v>0.20657269578953782</v>
      </c>
    </row>
    <row r="74" spans="1:26" s="24" customFormat="1" hidden="1" outlineLevel="2" x14ac:dyDescent="0.25">
      <c r="A74" s="29"/>
      <c r="B74" s="11" t="str">
        <f>CONCATENATE("          ", "6371", " - ", "COMPUTER SOFTWARE MAINTENANCE")</f>
        <v xml:space="preserve">          6371 - COMPUTER SOFTWARE MAINTENANCE</v>
      </c>
      <c r="C74" s="11"/>
      <c r="D74" s="7"/>
      <c r="E74" s="2"/>
      <c r="F74" s="6">
        <f t="shared" si="37"/>
        <v>0</v>
      </c>
      <c r="G74" s="2"/>
      <c r="H74" s="7"/>
      <c r="I74" s="2"/>
      <c r="J74" s="6">
        <f t="shared" si="38"/>
        <v>0</v>
      </c>
      <c r="K74" s="2"/>
      <c r="L74" s="7">
        <f t="shared" si="39"/>
        <v>0</v>
      </c>
      <c r="M74" s="2"/>
      <c r="N74" s="6">
        <f t="shared" si="40"/>
        <v>0</v>
      </c>
      <c r="O74" s="11"/>
      <c r="P74" s="7"/>
      <c r="Q74" s="2"/>
      <c r="R74" s="6">
        <f t="shared" si="41"/>
        <v>0</v>
      </c>
      <c r="S74" s="2"/>
      <c r="T74" s="7">
        <v>0</v>
      </c>
      <c r="U74" s="2"/>
      <c r="V74" s="6">
        <f t="shared" si="42"/>
        <v>0</v>
      </c>
      <c r="W74" s="2"/>
      <c r="X74" s="7">
        <f t="shared" si="43"/>
        <v>0</v>
      </c>
      <c r="Y74" s="2"/>
      <c r="Z74" s="6">
        <f t="shared" si="44"/>
        <v>0</v>
      </c>
    </row>
    <row r="75" spans="1:26" s="24" customFormat="1" hidden="1" outlineLevel="2" x14ac:dyDescent="0.25">
      <c r="A75" s="29"/>
      <c r="B75" s="11" t="str">
        <f>CONCATENATE("          ", "6372", " - ", "COMPUTER HARDWARE MAINTENANCE")</f>
        <v xml:space="preserve">          6372 - COMPUTER HARDWARE MAINTENANCE</v>
      </c>
      <c r="C75" s="11"/>
      <c r="D75" s="7"/>
      <c r="E75" s="2"/>
      <c r="F75" s="6">
        <f t="shared" si="37"/>
        <v>0</v>
      </c>
      <c r="G75" s="2"/>
      <c r="H75" s="7"/>
      <c r="I75" s="2"/>
      <c r="J75" s="6">
        <f t="shared" si="38"/>
        <v>0</v>
      </c>
      <c r="K75" s="2"/>
      <c r="L75" s="7">
        <f t="shared" si="39"/>
        <v>0</v>
      </c>
      <c r="M75" s="2"/>
      <c r="N75" s="6">
        <f t="shared" si="40"/>
        <v>0</v>
      </c>
      <c r="O75" s="11"/>
      <c r="P75" s="7"/>
      <c r="Q75" s="2"/>
      <c r="R75" s="6">
        <f t="shared" si="41"/>
        <v>0</v>
      </c>
      <c r="S75" s="2"/>
      <c r="T75" s="7">
        <v>0</v>
      </c>
      <c r="U75" s="2"/>
      <c r="V75" s="6">
        <f t="shared" si="42"/>
        <v>0</v>
      </c>
      <c r="W75" s="2"/>
      <c r="X75" s="7">
        <f t="shared" si="43"/>
        <v>0</v>
      </c>
      <c r="Y75" s="2"/>
      <c r="Z75" s="6">
        <f t="shared" si="44"/>
        <v>0</v>
      </c>
    </row>
    <row r="76" spans="1:26" s="24" customFormat="1" hidden="1" outlineLevel="2" x14ac:dyDescent="0.25">
      <c r="A76" s="29"/>
      <c r="B76" s="11" t="str">
        <f>CONCATENATE("          ", "6373", " - ", "MAINTENANCE CONTRACTS")</f>
        <v xml:space="preserve">          6373 - MAINTENANCE CONTRACTS</v>
      </c>
      <c r="C76" s="11"/>
      <c r="D76" s="7">
        <v>1244.25</v>
      </c>
      <c r="E76" s="2"/>
      <c r="F76" s="6">
        <f t="shared" si="37"/>
        <v>1.7240540773099521E-2</v>
      </c>
      <c r="G76" s="2"/>
      <c r="H76" s="7">
        <v>1861</v>
      </c>
      <c r="I76" s="2"/>
      <c r="J76" s="6">
        <f t="shared" si="38"/>
        <v>0.1557582859055909</v>
      </c>
      <c r="K76" s="2"/>
      <c r="L76" s="7">
        <f t="shared" si="39"/>
        <v>-616.75</v>
      </c>
      <c r="M76" s="2"/>
      <c r="N76" s="6">
        <f t="shared" si="40"/>
        <v>-0.33140784524449218</v>
      </c>
      <c r="O76" s="11"/>
      <c r="P76" s="7">
        <v>11021.44</v>
      </c>
      <c r="Q76" s="2"/>
      <c r="R76" s="6">
        <f t="shared" si="41"/>
        <v>5.6748947037803657E-2</v>
      </c>
      <c r="S76" s="2"/>
      <c r="T76" s="7">
        <v>3769</v>
      </c>
      <c r="U76" s="2"/>
      <c r="V76" s="6">
        <f t="shared" si="42"/>
        <v>4.2282752585878075E-2</v>
      </c>
      <c r="W76" s="2"/>
      <c r="X76" s="7">
        <f t="shared" si="43"/>
        <v>7252.4400000000005</v>
      </c>
      <c r="Y76" s="2"/>
      <c r="Z76" s="6">
        <f t="shared" si="44"/>
        <v>1.9242345449721412</v>
      </c>
    </row>
    <row r="77" spans="1:26" s="24" customFormat="1" hidden="1" outlineLevel="2" x14ac:dyDescent="0.25">
      <c r="A77" s="29"/>
      <c r="B77" s="11" t="str">
        <f>CONCATENATE("          ", "6375", " - ", "OUTSIDE REPAIRS &amp; MAINTENANCE")</f>
        <v xml:space="preserve">          6375 - OUTSIDE REPAIRS &amp; MAINTENANCE</v>
      </c>
      <c r="C77" s="11"/>
      <c r="D77" s="7">
        <v>442.47</v>
      </c>
      <c r="E77" s="2"/>
      <c r="F77" s="6">
        <f t="shared" si="37"/>
        <v>6.1309399846279644E-3</v>
      </c>
      <c r="G77" s="2"/>
      <c r="H77" s="7">
        <v>1481</v>
      </c>
      <c r="I77" s="2"/>
      <c r="J77" s="6">
        <f t="shared" si="38"/>
        <v>0.12395379979912956</v>
      </c>
      <c r="K77" s="2"/>
      <c r="L77" s="7">
        <f t="shared" si="39"/>
        <v>-1038.53</v>
      </c>
      <c r="M77" s="2"/>
      <c r="N77" s="6">
        <f t="shared" si="40"/>
        <v>-0.70123565158676571</v>
      </c>
      <c r="O77" s="11"/>
      <c r="P77" s="7">
        <v>8837.5400000000009</v>
      </c>
      <c r="Q77" s="2"/>
      <c r="R77" s="6">
        <f t="shared" si="41"/>
        <v>4.5504134614394426E-2</v>
      </c>
      <c r="S77" s="2"/>
      <c r="T77" s="7">
        <v>12690</v>
      </c>
      <c r="U77" s="2"/>
      <c r="V77" s="6">
        <f t="shared" si="42"/>
        <v>0.14236352621777468</v>
      </c>
      <c r="W77" s="2"/>
      <c r="X77" s="7">
        <f t="shared" si="43"/>
        <v>-3852.4599999999991</v>
      </c>
      <c r="Y77" s="2"/>
      <c r="Z77" s="6">
        <f t="shared" si="44"/>
        <v>-0.30358234830575248</v>
      </c>
    </row>
    <row r="78" spans="1:26" s="28" customFormat="1" outlineLevel="1" collapsed="1" x14ac:dyDescent="0.25">
      <c r="A78" s="27"/>
      <c r="B78" s="14" t="str">
        <f>CONCATENATE("     ","Royalty &amp; Commissions                             ")</f>
        <v xml:space="preserve">     Royalty &amp; Commissions                             </v>
      </c>
      <c r="C78" s="14"/>
      <c r="D78" s="1">
        <f>SUM(OSRRefD22_14x_0)</f>
        <v>0</v>
      </c>
      <c r="E78" s="1"/>
      <c r="F78" s="5">
        <f t="shared" ref="F78:F80" si="45">IF(D$12=0,0,D78/D$12)</f>
        <v>0</v>
      </c>
      <c r="G78" s="1"/>
      <c r="H78" s="1">
        <f>SUM(OSRRefH22_14x_0)</f>
        <v>0</v>
      </c>
      <c r="I78" s="1"/>
      <c r="J78" s="5">
        <f t="shared" ref="J78:J80" si="46">IF(H$12=0,0,H78/H$12)</f>
        <v>0</v>
      </c>
      <c r="K78" s="1"/>
      <c r="L78" s="1">
        <f t="shared" ref="L78:L80" si="47">+D78-H78</f>
        <v>0</v>
      </c>
      <c r="M78" s="1"/>
      <c r="N78" s="5">
        <f t="shared" ref="N78:N80" si="48">IF(H78=0,0,L78/H78)</f>
        <v>0</v>
      </c>
      <c r="O78" s="14"/>
      <c r="P78" s="1">
        <f>SUM(OSRRefP22_14x_0)</f>
        <v>0</v>
      </c>
      <c r="Q78" s="1"/>
      <c r="R78" s="5">
        <f t="shared" ref="R78:R80" si="49">IF(P$12=0,0,P78/P$12)</f>
        <v>0</v>
      </c>
      <c r="S78" s="1"/>
      <c r="T78" s="1">
        <f>SUM(OSRRefT22_14x_0)</f>
        <v>0</v>
      </c>
      <c r="U78" s="1"/>
      <c r="V78" s="5">
        <f t="shared" ref="V78:V80" si="50">IF(T$12=0,0,T78/T$12)</f>
        <v>0</v>
      </c>
      <c r="W78" s="1"/>
      <c r="X78" s="1">
        <f t="shared" ref="X78:X80" si="51">+P78-T78</f>
        <v>0</v>
      </c>
      <c r="Y78" s="1"/>
      <c r="Z78" s="5">
        <f t="shared" ref="Z78:Z80" si="52">IF(T78=0,0,X78/T78)</f>
        <v>0</v>
      </c>
    </row>
    <row r="79" spans="1:26" s="24" customFormat="1" hidden="1" outlineLevel="2" x14ac:dyDescent="0.25">
      <c r="A79" s="29"/>
      <c r="B79" s="11" t="str">
        <f>CONCATENATE("          ", "6254", " - ", "ROYALTY &amp; COMMISSIONS")</f>
        <v xml:space="preserve">          6254 - ROYALTY &amp; COMMISSIONS</v>
      </c>
      <c r="C79" s="11"/>
      <c r="D79" s="7"/>
      <c r="E79" s="2"/>
      <c r="F79" s="6">
        <f t="shared" si="45"/>
        <v>0</v>
      </c>
      <c r="G79" s="2"/>
      <c r="H79" s="7">
        <v>0</v>
      </c>
      <c r="I79" s="2"/>
      <c r="J79" s="6">
        <f t="shared" si="46"/>
        <v>0</v>
      </c>
      <c r="K79" s="2"/>
      <c r="L79" s="7">
        <f t="shared" si="47"/>
        <v>0</v>
      </c>
      <c r="M79" s="2"/>
      <c r="N79" s="6">
        <f t="shared" si="48"/>
        <v>0</v>
      </c>
      <c r="O79" s="11"/>
      <c r="P79" s="7"/>
      <c r="Q79" s="2"/>
      <c r="R79" s="6">
        <f t="shared" si="49"/>
        <v>0</v>
      </c>
      <c r="S79" s="2"/>
      <c r="T79" s="7">
        <v>0</v>
      </c>
      <c r="U79" s="2"/>
      <c r="V79" s="6">
        <f t="shared" si="50"/>
        <v>0</v>
      </c>
      <c r="W79" s="2"/>
      <c r="X79" s="7">
        <f t="shared" si="51"/>
        <v>0</v>
      </c>
      <c r="Y79" s="2"/>
      <c r="Z79" s="6">
        <f t="shared" si="52"/>
        <v>0</v>
      </c>
    </row>
    <row r="80" spans="1:26" s="24" customFormat="1" hidden="1" outlineLevel="2" x14ac:dyDescent="0.25">
      <c r="A80" s="29"/>
      <c r="B80" s="11" t="str">
        <f>CONCATENATE("          ", "6259", " - ", "ROYALTY &amp; COMMISSIONS")</f>
        <v xml:space="preserve">          6259 - ROYALTY &amp; COMMISSIONS</v>
      </c>
      <c r="C80" s="11"/>
      <c r="D80" s="7"/>
      <c r="E80" s="2"/>
      <c r="F80" s="6">
        <f t="shared" si="45"/>
        <v>0</v>
      </c>
      <c r="G80" s="2"/>
      <c r="H80" s="7">
        <v>0</v>
      </c>
      <c r="I80" s="2"/>
      <c r="J80" s="6">
        <f t="shared" si="46"/>
        <v>0</v>
      </c>
      <c r="K80" s="2"/>
      <c r="L80" s="7">
        <f t="shared" si="47"/>
        <v>0</v>
      </c>
      <c r="M80" s="2"/>
      <c r="N80" s="6">
        <f t="shared" si="48"/>
        <v>0</v>
      </c>
      <c r="O80" s="11"/>
      <c r="P80" s="7"/>
      <c r="Q80" s="2"/>
      <c r="R80" s="6">
        <f t="shared" si="49"/>
        <v>0</v>
      </c>
      <c r="S80" s="2"/>
      <c r="T80" s="7">
        <v>0</v>
      </c>
      <c r="U80" s="2"/>
      <c r="V80" s="6">
        <f t="shared" si="50"/>
        <v>0</v>
      </c>
      <c r="W80" s="2"/>
      <c r="X80" s="7">
        <f t="shared" si="51"/>
        <v>0</v>
      </c>
      <c r="Y80" s="2"/>
      <c r="Z80" s="6">
        <f t="shared" si="52"/>
        <v>0</v>
      </c>
    </row>
    <row r="81" spans="1:26" s="28" customFormat="1" outlineLevel="1" collapsed="1" x14ac:dyDescent="0.25">
      <c r="A81" s="27"/>
      <c r="B81" s="14" t="str">
        <f>CONCATENATE("     ","Services                                          ")</f>
        <v xml:space="preserve">     Services                                          </v>
      </c>
      <c r="C81" s="14"/>
      <c r="D81" s="1">
        <f>SUM(OSRRefD22_15x_0)</f>
        <v>11160.029999999999</v>
      </c>
      <c r="E81" s="1"/>
      <c r="F81" s="5">
        <f t="shared" ref="F81:F86" si="53">IF(D$12=0,0,D81/D$12)</f>
        <v>0.15463528410208063</v>
      </c>
      <c r="G81" s="1"/>
      <c r="H81" s="1">
        <f>SUM(OSRRefH22_15x_0)</f>
        <v>9189</v>
      </c>
      <c r="I81" s="1"/>
      <c r="J81" s="5">
        <f t="shared" ref="J81:J86" si="54">IF(H$12=0,0,H81/H$12)</f>
        <v>0.76908269166387677</v>
      </c>
      <c r="K81" s="1"/>
      <c r="L81" s="1">
        <f t="shared" ref="L81:L86" si="55">+D81-H81</f>
        <v>1971.0299999999988</v>
      </c>
      <c r="M81" s="1"/>
      <c r="N81" s="5">
        <f t="shared" ref="N81:N86" si="56">IF(H81=0,0,L81/H81)</f>
        <v>0.21449885732941548</v>
      </c>
      <c r="O81" s="14"/>
      <c r="P81" s="1">
        <f>SUM(OSRRefP22_15x_0)</f>
        <v>36689.26</v>
      </c>
      <c r="Q81" s="1"/>
      <c r="R81" s="5">
        <f t="shared" ref="R81:R86" si="57">IF(P$12=0,0,P81/P$12)</f>
        <v>0.18891150998383224</v>
      </c>
      <c r="S81" s="1"/>
      <c r="T81" s="1">
        <f>SUM(OSRRefT22_15x_0)</f>
        <v>42509</v>
      </c>
      <c r="U81" s="1"/>
      <c r="V81" s="5">
        <f t="shared" ref="V81:V86" si="58">IF(T$12=0,0,T81/T$12)</f>
        <v>0.47688976642958109</v>
      </c>
      <c r="W81" s="1"/>
      <c r="X81" s="1">
        <f t="shared" ref="X81:X86" si="59">+P81-T81</f>
        <v>-5819.739999999998</v>
      </c>
      <c r="Y81" s="1"/>
      <c r="Z81" s="5">
        <f t="shared" ref="Z81:Z86" si="60">IF(T81=0,0,X81/T81)</f>
        <v>-0.13690606695052807</v>
      </c>
    </row>
    <row r="82" spans="1:26" s="24" customFormat="1" hidden="1" outlineLevel="2" x14ac:dyDescent="0.25">
      <c r="A82" s="29"/>
      <c r="B82" s="11" t="str">
        <f>CONCATENATE("          ", "6282", " - ", "JANITORIAL/EXTERMINATOR EXPENS")</f>
        <v xml:space="preserve">          6282 - JANITORIAL/EXTERMINATOR EXPENS</v>
      </c>
      <c r="C82" s="11"/>
      <c r="D82" s="7">
        <v>2505.04</v>
      </c>
      <c r="E82" s="2"/>
      <c r="F82" s="6">
        <f t="shared" si="53"/>
        <v>3.4710262614623448E-2</v>
      </c>
      <c r="G82" s="2"/>
      <c r="H82" s="7">
        <v>1582</v>
      </c>
      <c r="I82" s="2"/>
      <c r="J82" s="6">
        <f t="shared" si="54"/>
        <v>0.1324070974221627</v>
      </c>
      <c r="K82" s="2"/>
      <c r="L82" s="7">
        <f t="shared" si="55"/>
        <v>923.04</v>
      </c>
      <c r="M82" s="2"/>
      <c r="N82" s="6">
        <f t="shared" si="56"/>
        <v>0.58346396965865988</v>
      </c>
      <c r="O82" s="11"/>
      <c r="P82" s="7">
        <v>4257.6899999999996</v>
      </c>
      <c r="Q82" s="2"/>
      <c r="R82" s="6">
        <f t="shared" si="57"/>
        <v>2.1922672927801284E-2</v>
      </c>
      <c r="S82" s="2"/>
      <c r="T82" s="7">
        <v>6357</v>
      </c>
      <c r="U82" s="2"/>
      <c r="V82" s="6">
        <f t="shared" si="58"/>
        <v>7.1316385828715023E-2</v>
      </c>
      <c r="W82" s="2"/>
      <c r="X82" s="7">
        <f t="shared" si="59"/>
        <v>-2099.3100000000004</v>
      </c>
      <c r="Y82" s="2"/>
      <c r="Z82" s="6">
        <f t="shared" si="60"/>
        <v>-0.33023596035865982</v>
      </c>
    </row>
    <row r="83" spans="1:26" s="24" customFormat="1" hidden="1" outlineLevel="2" x14ac:dyDescent="0.25">
      <c r="A83" s="29"/>
      <c r="B83" s="11" t="str">
        <f>CONCATENATE("          ", "6283", " - ", "PLANT SERVICE")</f>
        <v xml:space="preserve">          6283 - PLANT SERVICE</v>
      </c>
      <c r="C83" s="11"/>
      <c r="D83" s="7"/>
      <c r="E83" s="2"/>
      <c r="F83" s="6">
        <f t="shared" si="53"/>
        <v>0</v>
      </c>
      <c r="G83" s="2"/>
      <c r="H83" s="7">
        <v>0</v>
      </c>
      <c r="I83" s="2"/>
      <c r="J83" s="6">
        <f t="shared" si="54"/>
        <v>0</v>
      </c>
      <c r="K83" s="2"/>
      <c r="L83" s="7">
        <f t="shared" si="55"/>
        <v>0</v>
      </c>
      <c r="M83" s="2"/>
      <c r="N83" s="6">
        <f t="shared" si="56"/>
        <v>0</v>
      </c>
      <c r="O83" s="11"/>
      <c r="P83" s="7"/>
      <c r="Q83" s="2"/>
      <c r="R83" s="6">
        <f t="shared" si="57"/>
        <v>0</v>
      </c>
      <c r="S83" s="2"/>
      <c r="T83" s="7">
        <v>248</v>
      </c>
      <c r="U83" s="2"/>
      <c r="V83" s="6">
        <f t="shared" si="58"/>
        <v>2.7822028764387802E-3</v>
      </c>
      <c r="W83" s="2"/>
      <c r="X83" s="7">
        <f t="shared" si="59"/>
        <v>-248</v>
      </c>
      <c r="Y83" s="2"/>
      <c r="Z83" s="6">
        <f t="shared" si="60"/>
        <v>-1</v>
      </c>
    </row>
    <row r="84" spans="1:26" s="24" customFormat="1" hidden="1" outlineLevel="2" x14ac:dyDescent="0.25">
      <c r="A84" s="29"/>
      <c r="B84" s="11" t="str">
        <f>CONCATENATE("          ", "6284", " - ", "TRASH REMOVAL EXPENSE")</f>
        <v xml:space="preserve">          6284 - TRASH REMOVAL EXPENSE</v>
      </c>
      <c r="C84" s="11"/>
      <c r="D84" s="7">
        <v>5369</v>
      </c>
      <c r="E84" s="2"/>
      <c r="F84" s="6">
        <f t="shared" si="53"/>
        <v>7.4393782126398494E-2</v>
      </c>
      <c r="G84" s="2"/>
      <c r="H84" s="7">
        <v>4566</v>
      </c>
      <c r="I84" s="2"/>
      <c r="J84" s="6">
        <f t="shared" si="54"/>
        <v>0.38215600937395378</v>
      </c>
      <c r="K84" s="2"/>
      <c r="L84" s="7">
        <f t="shared" si="55"/>
        <v>803</v>
      </c>
      <c r="M84" s="2"/>
      <c r="N84" s="6">
        <f t="shared" si="56"/>
        <v>0.17586508979413054</v>
      </c>
      <c r="O84" s="11"/>
      <c r="P84" s="7">
        <v>18868</v>
      </c>
      <c r="Q84" s="2"/>
      <c r="R84" s="6">
        <f t="shared" si="57"/>
        <v>9.7150565870637529E-2</v>
      </c>
      <c r="S84" s="2"/>
      <c r="T84" s="7">
        <v>17358</v>
      </c>
      <c r="U84" s="2"/>
      <c r="V84" s="6">
        <f t="shared" si="58"/>
        <v>0.19473176423074334</v>
      </c>
      <c r="W84" s="2"/>
      <c r="X84" s="7">
        <f t="shared" si="59"/>
        <v>1510</v>
      </c>
      <c r="Y84" s="2"/>
      <c r="Z84" s="6">
        <f t="shared" si="60"/>
        <v>8.6991588892729579E-2</v>
      </c>
    </row>
    <row r="85" spans="1:26" s="24" customFormat="1" hidden="1" outlineLevel="2" x14ac:dyDescent="0.25">
      <c r="A85" s="29"/>
      <c r="B85" s="11" t="str">
        <f>CONCATENATE("          ", "6285", " - ", "JANITORIAL SERVICES")</f>
        <v xml:space="preserve">          6285 - JANITORIAL SERVICES</v>
      </c>
      <c r="C85" s="11"/>
      <c r="D85" s="7">
        <v>3179.44</v>
      </c>
      <c r="E85" s="2"/>
      <c r="F85" s="6">
        <f t="shared" si="53"/>
        <v>4.4054864340464968E-2</v>
      </c>
      <c r="G85" s="2"/>
      <c r="H85" s="7">
        <v>3041</v>
      </c>
      <c r="I85" s="2"/>
      <c r="J85" s="6">
        <f t="shared" si="54"/>
        <v>0.25451958486776027</v>
      </c>
      <c r="K85" s="2"/>
      <c r="L85" s="7">
        <f t="shared" si="55"/>
        <v>138.44000000000005</v>
      </c>
      <c r="M85" s="2"/>
      <c r="N85" s="6">
        <f t="shared" si="56"/>
        <v>4.5524498520223632E-2</v>
      </c>
      <c r="O85" s="11"/>
      <c r="P85" s="7">
        <v>12770.81</v>
      </c>
      <c r="Q85" s="2"/>
      <c r="R85" s="6">
        <f t="shared" si="57"/>
        <v>6.5756382135170474E-2</v>
      </c>
      <c r="S85" s="2"/>
      <c r="T85" s="7">
        <v>18546</v>
      </c>
      <c r="U85" s="2"/>
      <c r="V85" s="6">
        <f t="shared" si="58"/>
        <v>0.20805941349368395</v>
      </c>
      <c r="W85" s="2"/>
      <c r="X85" s="7">
        <f t="shared" si="59"/>
        <v>-5775.1900000000005</v>
      </c>
      <c r="Y85" s="2"/>
      <c r="Z85" s="6">
        <f t="shared" si="60"/>
        <v>-0.31139814515259356</v>
      </c>
    </row>
    <row r="86" spans="1:26" s="24" customFormat="1" hidden="1" outlineLevel="2" x14ac:dyDescent="0.25">
      <c r="A86" s="29"/>
      <c r="B86" s="11" t="str">
        <f>CONCATENATE("          ", "6286", " - ", "LAUNDRY EXPENSE")</f>
        <v xml:space="preserve">          6286 - LAUNDRY EXPENSE</v>
      </c>
      <c r="C86" s="11"/>
      <c r="D86" s="7">
        <v>106.55</v>
      </c>
      <c r="E86" s="2"/>
      <c r="F86" s="6">
        <f t="shared" si="53"/>
        <v>1.4763750205937342E-3</v>
      </c>
      <c r="G86" s="2"/>
      <c r="H86" s="7">
        <v>0</v>
      </c>
      <c r="I86" s="2"/>
      <c r="J86" s="6">
        <f t="shared" si="54"/>
        <v>0</v>
      </c>
      <c r="K86" s="2"/>
      <c r="L86" s="7">
        <f t="shared" si="55"/>
        <v>106.55</v>
      </c>
      <c r="M86" s="2"/>
      <c r="N86" s="6">
        <f t="shared" si="56"/>
        <v>0</v>
      </c>
      <c r="O86" s="11"/>
      <c r="P86" s="7">
        <v>792.76</v>
      </c>
      <c r="Q86" s="2"/>
      <c r="R86" s="6">
        <f t="shared" si="57"/>
        <v>4.0818890502229491E-3</v>
      </c>
      <c r="S86" s="2"/>
      <c r="T86" s="7">
        <v>0</v>
      </c>
      <c r="U86" s="2"/>
      <c r="V86" s="6">
        <f t="shared" si="58"/>
        <v>0</v>
      </c>
      <c r="W86" s="2"/>
      <c r="X86" s="7">
        <f t="shared" si="59"/>
        <v>792.76</v>
      </c>
      <c r="Y86" s="2"/>
      <c r="Z86" s="6">
        <f t="shared" si="60"/>
        <v>0</v>
      </c>
    </row>
    <row r="87" spans="1:26" s="28" customFormat="1" outlineLevel="1" collapsed="1" x14ac:dyDescent="0.25">
      <c r="A87" s="27"/>
      <c r="B87" s="14" t="str">
        <f>CONCATENATE("     ","Subscriptions &amp; Dues                              ")</f>
        <v xml:space="preserve">     Subscriptions &amp; Dues                              </v>
      </c>
      <c r="C87" s="14"/>
      <c r="D87" s="1">
        <f>SUM(OSRRefD22_16x_0)</f>
        <v>262.83999999999997</v>
      </c>
      <c r="E87" s="1"/>
      <c r="F87" s="5">
        <f t="shared" ref="F87:F89" si="61">IF(D$12=0,0,D87/D$12)</f>
        <v>3.6419559869812958E-3</v>
      </c>
      <c r="G87" s="1"/>
      <c r="H87" s="1">
        <f>SUM(OSRRefH22_16x_0)</f>
        <v>1097</v>
      </c>
      <c r="I87" s="1"/>
      <c r="J87" s="5">
        <f t="shared" ref="J87:J89" si="62">IF(H$12=0,0,H87/H$12)</f>
        <v>9.1814529628389693E-2</v>
      </c>
      <c r="K87" s="1"/>
      <c r="L87" s="1">
        <f t="shared" ref="L87:L89" si="63">+D87-H87</f>
        <v>-834.16000000000008</v>
      </c>
      <c r="M87" s="1"/>
      <c r="N87" s="5">
        <f t="shared" ref="N87:N89" si="64">IF(H87=0,0,L87/H87)</f>
        <v>-0.76040109389243393</v>
      </c>
      <c r="O87" s="14"/>
      <c r="P87" s="1">
        <f>SUM(OSRRefP22_16x_0)</f>
        <v>534.16999999999996</v>
      </c>
      <c r="Q87" s="1"/>
      <c r="R87" s="5">
        <f t="shared" ref="R87:R89" si="65">IF(P$12=0,0,P87/P$12)</f>
        <v>2.7504196401907169E-3</v>
      </c>
      <c r="S87" s="1"/>
      <c r="T87" s="1">
        <f>SUM(OSRRefT22_16x_0)</f>
        <v>2082</v>
      </c>
      <c r="U87" s="1"/>
      <c r="V87" s="5">
        <f t="shared" ref="V87:V89" si="66">IF(T$12=0,0,T87/T$12)</f>
        <v>2.3357041890102986E-2</v>
      </c>
      <c r="W87" s="1"/>
      <c r="X87" s="1">
        <f t="shared" ref="X87:X89" si="67">+P87-T87</f>
        <v>-1547.83</v>
      </c>
      <c r="Y87" s="1"/>
      <c r="Z87" s="5">
        <f t="shared" ref="Z87:Z89" si="68">IF(T87=0,0,X87/T87)</f>
        <v>-0.74343419788664744</v>
      </c>
    </row>
    <row r="88" spans="1:26" s="24" customFormat="1" hidden="1" outlineLevel="2" x14ac:dyDescent="0.25">
      <c r="A88" s="29"/>
      <c r="B88" s="11" t="str">
        <f>CONCATENATE("          ", "6258", " - ", "MEMBERSHIP DUES")</f>
        <v xml:space="preserve">          6258 - MEMBERSHIP DUES</v>
      </c>
      <c r="C88" s="11"/>
      <c r="D88" s="7"/>
      <c r="E88" s="2"/>
      <c r="F88" s="6">
        <f t="shared" si="61"/>
        <v>0</v>
      </c>
      <c r="G88" s="2"/>
      <c r="H88" s="7">
        <v>900</v>
      </c>
      <c r="I88" s="2"/>
      <c r="J88" s="6">
        <f t="shared" si="62"/>
        <v>7.5326414462671576E-2</v>
      </c>
      <c r="K88" s="2"/>
      <c r="L88" s="7">
        <f t="shared" si="63"/>
        <v>-900</v>
      </c>
      <c r="M88" s="2"/>
      <c r="N88" s="6">
        <f t="shared" si="64"/>
        <v>-1</v>
      </c>
      <c r="O88" s="11"/>
      <c r="P88" s="7"/>
      <c r="Q88" s="2"/>
      <c r="R88" s="6">
        <f t="shared" si="65"/>
        <v>0</v>
      </c>
      <c r="S88" s="2"/>
      <c r="T88" s="7">
        <v>900</v>
      </c>
      <c r="U88" s="2"/>
      <c r="V88" s="6">
        <f t="shared" si="66"/>
        <v>1.009670398707622E-2</v>
      </c>
      <c r="W88" s="2"/>
      <c r="X88" s="7">
        <f t="shared" si="67"/>
        <v>-900</v>
      </c>
      <c r="Y88" s="2"/>
      <c r="Z88" s="6">
        <f t="shared" si="68"/>
        <v>-1</v>
      </c>
    </row>
    <row r="89" spans="1:26" s="24" customFormat="1" hidden="1" outlineLevel="2" x14ac:dyDescent="0.25">
      <c r="A89" s="29"/>
      <c r="B89" s="11" t="str">
        <f>CONCATENATE("          ", "6275", " - ", "SUBSCRIPTIONS")</f>
        <v xml:space="preserve">          6275 - SUBSCRIPTIONS</v>
      </c>
      <c r="C89" s="11"/>
      <c r="D89" s="7">
        <v>262.83999999999997</v>
      </c>
      <c r="E89" s="2"/>
      <c r="F89" s="6">
        <f t="shared" si="61"/>
        <v>3.6419559869812958E-3</v>
      </c>
      <c r="G89" s="2"/>
      <c r="H89" s="7">
        <v>197</v>
      </c>
      <c r="I89" s="2"/>
      <c r="J89" s="6">
        <f t="shared" si="62"/>
        <v>1.648811516571811E-2</v>
      </c>
      <c r="K89" s="2"/>
      <c r="L89" s="7">
        <f t="shared" si="63"/>
        <v>65.839999999999975</v>
      </c>
      <c r="M89" s="2"/>
      <c r="N89" s="6">
        <f t="shared" si="64"/>
        <v>0.33421319796954302</v>
      </c>
      <c r="O89" s="11"/>
      <c r="P89" s="7">
        <v>534.16999999999996</v>
      </c>
      <c r="Q89" s="2"/>
      <c r="R89" s="6">
        <f t="shared" si="65"/>
        <v>2.7504196401907169E-3</v>
      </c>
      <c r="S89" s="2"/>
      <c r="T89" s="7">
        <v>1182</v>
      </c>
      <c r="U89" s="2"/>
      <c r="V89" s="6">
        <f t="shared" si="66"/>
        <v>1.3260337903026767E-2</v>
      </c>
      <c r="W89" s="2"/>
      <c r="X89" s="7">
        <f t="shared" si="67"/>
        <v>-647.83000000000004</v>
      </c>
      <c r="Y89" s="2"/>
      <c r="Z89" s="6">
        <f t="shared" si="68"/>
        <v>-0.54807952622673439</v>
      </c>
    </row>
    <row r="90" spans="1:26" s="28" customFormat="1" outlineLevel="1" collapsed="1" x14ac:dyDescent="0.25">
      <c r="A90" s="27"/>
      <c r="B90" s="14" t="str">
        <f>CONCATENATE("     ","Supplies                                          ")</f>
        <v xml:space="preserve">     Supplies                                          </v>
      </c>
      <c r="C90" s="14"/>
      <c r="D90" s="1">
        <f>SUM(OSRRefD22_17x_0)</f>
        <v>24.36</v>
      </c>
      <c r="E90" s="1"/>
      <c r="F90" s="5">
        <f t="shared" ref="F90:F101" si="69">IF(D$12=0,0,D90/D$12)</f>
        <v>3.3753632568431127E-4</v>
      </c>
      <c r="G90" s="1"/>
      <c r="H90" s="1">
        <f>SUM(OSRRefH22_17x_0)</f>
        <v>2292</v>
      </c>
      <c r="I90" s="1"/>
      <c r="J90" s="5">
        <f t="shared" ref="J90:J101" si="70">IF(H$12=0,0,H90/H$12)</f>
        <v>0.19183126883160362</v>
      </c>
      <c r="K90" s="1"/>
      <c r="L90" s="1">
        <f t="shared" ref="L90:L101" si="71">+D90-H90</f>
        <v>-2267.64</v>
      </c>
      <c r="M90" s="1"/>
      <c r="N90" s="5">
        <f t="shared" ref="N90:N101" si="72">IF(H90=0,0,L90/H90)</f>
        <v>-0.98937172774869109</v>
      </c>
      <c r="O90" s="14"/>
      <c r="P90" s="1">
        <f>SUM(OSRRefP22_17x_0)</f>
        <v>-21546.320000000003</v>
      </c>
      <c r="Q90" s="1"/>
      <c r="R90" s="5">
        <f t="shared" ref="R90:R101" si="73">IF(P$12=0,0,P90/P$12)</f>
        <v>-0.11094112679827407</v>
      </c>
      <c r="S90" s="1"/>
      <c r="T90" s="1">
        <f>SUM(OSRRefT22_17x_0)</f>
        <v>14980</v>
      </c>
      <c r="U90" s="1"/>
      <c r="V90" s="5">
        <f t="shared" ref="V90:V101" si="74">IF(T$12=0,0,T90/T$12)</f>
        <v>0.16805402858489085</v>
      </c>
      <c r="W90" s="1"/>
      <c r="X90" s="1">
        <f t="shared" ref="X90:X101" si="75">+P90-T90</f>
        <v>-36526.320000000007</v>
      </c>
      <c r="Y90" s="1"/>
      <c r="Z90" s="5">
        <f t="shared" ref="Z90:Z101" si="76">IF(T90=0,0,X90/T90)</f>
        <v>-2.4383391188251005</v>
      </c>
    </row>
    <row r="91" spans="1:26" s="24" customFormat="1" hidden="1" outlineLevel="2" x14ac:dyDescent="0.25">
      <c r="A91" s="29"/>
      <c r="B91" s="11" t="str">
        <f>CONCATENATE("          ", "6234", " - ", "EXPENDABLE SUPPLIES &amp; EQUIPMEN")</f>
        <v xml:space="preserve">          6234 - EXPENDABLE SUPPLIES &amp; EQUIPMEN</v>
      </c>
      <c r="C91" s="11"/>
      <c r="D91" s="7"/>
      <c r="E91" s="2"/>
      <c r="F91" s="6">
        <f t="shared" si="69"/>
        <v>0</v>
      </c>
      <c r="G91" s="2"/>
      <c r="H91" s="7"/>
      <c r="I91" s="2"/>
      <c r="J91" s="6">
        <f t="shared" si="70"/>
        <v>0</v>
      </c>
      <c r="K91" s="2"/>
      <c r="L91" s="7">
        <f t="shared" si="71"/>
        <v>0</v>
      </c>
      <c r="M91" s="2"/>
      <c r="N91" s="6">
        <f t="shared" si="72"/>
        <v>0</v>
      </c>
      <c r="O91" s="11"/>
      <c r="P91" s="7">
        <v>310.91000000000003</v>
      </c>
      <c r="Q91" s="2"/>
      <c r="R91" s="6">
        <f t="shared" si="73"/>
        <v>1.6008629655946533E-3</v>
      </c>
      <c r="S91" s="2"/>
      <c r="T91" s="7">
        <v>68</v>
      </c>
      <c r="U91" s="2"/>
      <c r="V91" s="6">
        <f t="shared" si="74"/>
        <v>7.6286207902353652E-4</v>
      </c>
      <c r="W91" s="2"/>
      <c r="X91" s="7">
        <f t="shared" si="75"/>
        <v>242.91000000000003</v>
      </c>
      <c r="Y91" s="2"/>
      <c r="Z91" s="6">
        <f t="shared" si="76"/>
        <v>3.5722058823529417</v>
      </c>
    </row>
    <row r="92" spans="1:26" s="24" customFormat="1" hidden="1" outlineLevel="2" x14ac:dyDescent="0.25">
      <c r="A92" s="29"/>
      <c r="B92" s="11" t="str">
        <f>CONCATENATE("          ", "6235", " - ", "COVID-19 EXPENSES")</f>
        <v xml:space="preserve">          6235 - COVID-19 EXPENSES</v>
      </c>
      <c r="C92" s="11"/>
      <c r="D92" s="7"/>
      <c r="E92" s="2"/>
      <c r="F92" s="6">
        <f t="shared" si="69"/>
        <v>0</v>
      </c>
      <c r="G92" s="2"/>
      <c r="H92" s="7">
        <v>0</v>
      </c>
      <c r="I92" s="2"/>
      <c r="J92" s="6">
        <f t="shared" si="70"/>
        <v>0</v>
      </c>
      <c r="K92" s="2"/>
      <c r="L92" s="7">
        <f t="shared" si="71"/>
        <v>0</v>
      </c>
      <c r="M92" s="2"/>
      <c r="N92" s="6">
        <f t="shared" si="72"/>
        <v>0</v>
      </c>
      <c r="O92" s="11"/>
      <c r="P92" s="7">
        <v>6881.86</v>
      </c>
      <c r="Q92" s="2"/>
      <c r="R92" s="6">
        <f t="shared" si="73"/>
        <v>3.5434417704181979E-2</v>
      </c>
      <c r="S92" s="2"/>
      <c r="T92" s="7">
        <v>0</v>
      </c>
      <c r="U92" s="2"/>
      <c r="V92" s="6">
        <f t="shared" si="74"/>
        <v>0</v>
      </c>
      <c r="W92" s="2"/>
      <c r="X92" s="7">
        <f t="shared" si="75"/>
        <v>6881.86</v>
      </c>
      <c r="Y92" s="2"/>
      <c r="Z92" s="6">
        <f t="shared" si="76"/>
        <v>0</v>
      </c>
    </row>
    <row r="93" spans="1:26" s="24" customFormat="1" hidden="1" outlineLevel="2" x14ac:dyDescent="0.25">
      <c r="A93" s="29"/>
      <c r="B93" s="11" t="str">
        <f>CONCATENATE("          ", "6237", " - ", "JANITORIAL SUPPLIES")</f>
        <v xml:space="preserve">          6237 - JANITORIAL SUPPLIES</v>
      </c>
      <c r="C93" s="11"/>
      <c r="D93" s="7">
        <v>18.86</v>
      </c>
      <c r="E93" s="2"/>
      <c r="F93" s="6">
        <f t="shared" si="69"/>
        <v>2.613273851562443E-4</v>
      </c>
      <c r="G93" s="2"/>
      <c r="H93" s="7">
        <v>2011</v>
      </c>
      <c r="I93" s="2"/>
      <c r="J93" s="6">
        <f t="shared" si="70"/>
        <v>0.16831268831603616</v>
      </c>
      <c r="K93" s="2"/>
      <c r="L93" s="7">
        <f t="shared" si="71"/>
        <v>-1992.14</v>
      </c>
      <c r="M93" s="2"/>
      <c r="N93" s="6">
        <f t="shared" si="72"/>
        <v>-0.99062158130283451</v>
      </c>
      <c r="O93" s="11"/>
      <c r="P93" s="7">
        <v>358.91</v>
      </c>
      <c r="Q93" s="2"/>
      <c r="R93" s="6">
        <f t="shared" si="73"/>
        <v>1.8480130165693513E-3</v>
      </c>
      <c r="S93" s="2"/>
      <c r="T93" s="7">
        <v>5709</v>
      </c>
      <c r="U93" s="2"/>
      <c r="V93" s="6">
        <f t="shared" si="74"/>
        <v>6.4046758958020145E-2</v>
      </c>
      <c r="W93" s="2"/>
      <c r="X93" s="7">
        <f t="shared" si="75"/>
        <v>-5350.09</v>
      </c>
      <c r="Y93" s="2"/>
      <c r="Z93" s="6">
        <f t="shared" si="76"/>
        <v>-0.93713259765282886</v>
      </c>
    </row>
    <row r="94" spans="1:26" s="24" customFormat="1" hidden="1" outlineLevel="2" x14ac:dyDescent="0.25">
      <c r="A94" s="29"/>
      <c r="B94" s="11" t="str">
        <f>CONCATENATE("          ", "6239", " - ", "KITCHEN SUPPLIES")</f>
        <v xml:space="preserve">          6239 - KITCHEN SUPPLIES</v>
      </c>
      <c r="C94" s="11"/>
      <c r="D94" s="7"/>
      <c r="E94" s="2"/>
      <c r="F94" s="6">
        <f t="shared" si="69"/>
        <v>0</v>
      </c>
      <c r="G94" s="2"/>
      <c r="H94" s="7">
        <v>0</v>
      </c>
      <c r="I94" s="2"/>
      <c r="J94" s="6">
        <f t="shared" si="70"/>
        <v>0</v>
      </c>
      <c r="K94" s="2"/>
      <c r="L94" s="7">
        <f t="shared" si="71"/>
        <v>0</v>
      </c>
      <c r="M94" s="2"/>
      <c r="N94" s="6">
        <f t="shared" si="72"/>
        <v>0</v>
      </c>
      <c r="O94" s="11"/>
      <c r="P94" s="7">
        <v>19.829999999999998</v>
      </c>
      <c r="Q94" s="2"/>
      <c r="R94" s="6">
        <f t="shared" si="73"/>
        <v>1.0210386480892209E-4</v>
      </c>
      <c r="S94" s="2"/>
      <c r="T94" s="7">
        <v>232</v>
      </c>
      <c r="U94" s="2"/>
      <c r="V94" s="6">
        <f t="shared" si="74"/>
        <v>2.6027059166685365E-3</v>
      </c>
      <c r="W94" s="2"/>
      <c r="X94" s="7">
        <f t="shared" si="75"/>
        <v>-212.17000000000002</v>
      </c>
      <c r="Y94" s="2"/>
      <c r="Z94" s="6">
        <f t="shared" si="76"/>
        <v>-0.91452586206896558</v>
      </c>
    </row>
    <row r="95" spans="1:26" s="24" customFormat="1" hidden="1" outlineLevel="2" x14ac:dyDescent="0.25">
      <c r="A95" s="29"/>
      <c r="B95" s="11" t="str">
        <f>CONCATENATE("          ", "6241", " - ", "OFFICE EXPENSE")</f>
        <v xml:space="preserve">          6241 - OFFICE EXPENSE</v>
      </c>
      <c r="C95" s="11"/>
      <c r="D95" s="7">
        <v>5.5</v>
      </c>
      <c r="E95" s="2"/>
      <c r="F95" s="6">
        <f t="shared" si="69"/>
        <v>7.6208940528066995E-5</v>
      </c>
      <c r="G95" s="2"/>
      <c r="H95" s="7">
        <v>25</v>
      </c>
      <c r="I95" s="2"/>
      <c r="J95" s="6">
        <f t="shared" si="70"/>
        <v>2.092400401740877E-3</v>
      </c>
      <c r="K95" s="2"/>
      <c r="L95" s="7">
        <f t="shared" si="71"/>
        <v>-19.5</v>
      </c>
      <c r="M95" s="2"/>
      <c r="N95" s="6">
        <f t="shared" si="72"/>
        <v>-0.78</v>
      </c>
      <c r="O95" s="11"/>
      <c r="P95" s="7">
        <v>-29117.83</v>
      </c>
      <c r="Q95" s="2"/>
      <c r="R95" s="6">
        <f t="shared" si="73"/>
        <v>-0.14992652434942896</v>
      </c>
      <c r="S95" s="2"/>
      <c r="T95" s="7">
        <v>5412</v>
      </c>
      <c r="U95" s="2"/>
      <c r="V95" s="6">
        <f t="shared" si="74"/>
        <v>6.0714846642284999E-2</v>
      </c>
      <c r="W95" s="2"/>
      <c r="X95" s="7">
        <f t="shared" si="75"/>
        <v>-34529.83</v>
      </c>
      <c r="Y95" s="2"/>
      <c r="Z95" s="6">
        <f t="shared" si="76"/>
        <v>-6.380234663710274</v>
      </c>
    </row>
    <row r="96" spans="1:26" s="24" customFormat="1" hidden="1" outlineLevel="2" x14ac:dyDescent="0.25">
      <c r="A96" s="29"/>
      <c r="B96" s="11" t="str">
        <f>CONCATENATE("          ", "6243", " - ", "PAPER SUPPLIES")</f>
        <v xml:space="preserve">          6243 - PAPER SUPPLIES</v>
      </c>
      <c r="C96" s="11"/>
      <c r="D96" s="7"/>
      <c r="E96" s="2"/>
      <c r="F96" s="6">
        <f t="shared" si="69"/>
        <v>0</v>
      </c>
      <c r="G96" s="2"/>
      <c r="H96" s="7">
        <v>256</v>
      </c>
      <c r="I96" s="2"/>
      <c r="J96" s="6">
        <f t="shared" si="70"/>
        <v>2.1426180113826583E-2</v>
      </c>
      <c r="K96" s="2"/>
      <c r="L96" s="7">
        <f t="shared" si="71"/>
        <v>-256</v>
      </c>
      <c r="M96" s="2"/>
      <c r="N96" s="6">
        <f t="shared" si="72"/>
        <v>-1</v>
      </c>
      <c r="O96" s="11"/>
      <c r="P96" s="7"/>
      <c r="Q96" s="2"/>
      <c r="R96" s="6">
        <f t="shared" si="73"/>
        <v>0</v>
      </c>
      <c r="S96" s="2"/>
      <c r="T96" s="7">
        <v>3148</v>
      </c>
      <c r="U96" s="2"/>
      <c r="V96" s="6">
        <f t="shared" si="74"/>
        <v>3.5316026834795483E-2</v>
      </c>
      <c r="W96" s="2"/>
      <c r="X96" s="7">
        <f t="shared" si="75"/>
        <v>-3148</v>
      </c>
      <c r="Y96" s="2"/>
      <c r="Z96" s="6">
        <f t="shared" si="76"/>
        <v>-1</v>
      </c>
    </row>
    <row r="97" spans="1:26" s="24" customFormat="1" hidden="1" outlineLevel="2" x14ac:dyDescent="0.25">
      <c r="A97" s="29"/>
      <c r="B97" s="11" t="str">
        <f>CONCATENATE("          ", "6244", " - ", "SAFETY SUPPLY EXPENSE")</f>
        <v xml:space="preserve">          6244 - SAFETY SUPPLY EXPENSE</v>
      </c>
      <c r="C97" s="11"/>
      <c r="D97" s="7"/>
      <c r="E97" s="2"/>
      <c r="F97" s="6">
        <f t="shared" si="69"/>
        <v>0</v>
      </c>
      <c r="G97" s="2"/>
      <c r="H97" s="7">
        <v>0</v>
      </c>
      <c r="I97" s="2"/>
      <c r="J97" s="6">
        <f t="shared" si="70"/>
        <v>0</v>
      </c>
      <c r="K97" s="2"/>
      <c r="L97" s="7">
        <f t="shared" si="71"/>
        <v>0</v>
      </c>
      <c r="M97" s="2"/>
      <c r="N97" s="6">
        <f t="shared" si="72"/>
        <v>0</v>
      </c>
      <c r="O97" s="11"/>
      <c r="P97" s="7"/>
      <c r="Q97" s="2"/>
      <c r="R97" s="6">
        <f t="shared" si="73"/>
        <v>0</v>
      </c>
      <c r="S97" s="2"/>
      <c r="T97" s="7">
        <v>0</v>
      </c>
      <c r="U97" s="2"/>
      <c r="V97" s="6">
        <f t="shared" si="74"/>
        <v>0</v>
      </c>
      <c r="W97" s="2"/>
      <c r="X97" s="7">
        <f t="shared" si="75"/>
        <v>0</v>
      </c>
      <c r="Y97" s="2"/>
      <c r="Z97" s="6">
        <f t="shared" si="76"/>
        <v>0</v>
      </c>
    </row>
    <row r="98" spans="1:26" s="24" customFormat="1" hidden="1" outlineLevel="2" x14ac:dyDescent="0.25">
      <c r="A98" s="29"/>
      <c r="B98" s="11" t="str">
        <f>CONCATENATE("          ", "6245", " - ", "PRINTING")</f>
        <v xml:space="preserve">          6245 - PRINTING</v>
      </c>
      <c r="C98" s="11"/>
      <c r="D98" s="7"/>
      <c r="E98" s="2"/>
      <c r="F98" s="6">
        <f t="shared" si="69"/>
        <v>0</v>
      </c>
      <c r="G98" s="2"/>
      <c r="H98" s="7">
        <v>0</v>
      </c>
      <c r="I98" s="2"/>
      <c r="J98" s="6">
        <f t="shared" si="70"/>
        <v>0</v>
      </c>
      <c r="K98" s="2"/>
      <c r="L98" s="7">
        <f t="shared" si="71"/>
        <v>0</v>
      </c>
      <c r="M98" s="2"/>
      <c r="N98" s="6">
        <f t="shared" si="72"/>
        <v>0</v>
      </c>
      <c r="O98" s="11"/>
      <c r="P98" s="7"/>
      <c r="Q98" s="2"/>
      <c r="R98" s="6">
        <f t="shared" si="73"/>
        <v>0</v>
      </c>
      <c r="S98" s="2"/>
      <c r="T98" s="7">
        <v>0</v>
      </c>
      <c r="U98" s="2"/>
      <c r="V98" s="6">
        <f t="shared" si="74"/>
        <v>0</v>
      </c>
      <c r="W98" s="2"/>
      <c r="X98" s="7">
        <f t="shared" si="75"/>
        <v>0</v>
      </c>
      <c r="Y98" s="2"/>
      <c r="Z98" s="6">
        <f t="shared" si="76"/>
        <v>0</v>
      </c>
    </row>
    <row r="99" spans="1:26" s="24" customFormat="1" hidden="1" outlineLevel="2" x14ac:dyDescent="0.25">
      <c r="A99" s="29"/>
      <c r="B99" s="11" t="str">
        <f>CONCATENATE("          ", "6246", " - ", "REPLACEMENTS")</f>
        <v xml:space="preserve">          6246 - REPLACEMENTS</v>
      </c>
      <c r="C99" s="11"/>
      <c r="D99" s="7"/>
      <c r="E99" s="2"/>
      <c r="F99" s="6">
        <f t="shared" si="69"/>
        <v>0</v>
      </c>
      <c r="G99" s="2"/>
      <c r="H99" s="7">
        <v>0</v>
      </c>
      <c r="I99" s="2"/>
      <c r="J99" s="6">
        <f t="shared" si="70"/>
        <v>0</v>
      </c>
      <c r="K99" s="2"/>
      <c r="L99" s="7">
        <f t="shared" si="71"/>
        <v>0</v>
      </c>
      <c r="M99" s="2"/>
      <c r="N99" s="6">
        <f t="shared" si="72"/>
        <v>0</v>
      </c>
      <c r="O99" s="11"/>
      <c r="P99" s="7"/>
      <c r="Q99" s="2"/>
      <c r="R99" s="6">
        <f t="shared" si="73"/>
        <v>0</v>
      </c>
      <c r="S99" s="2"/>
      <c r="T99" s="7">
        <v>0</v>
      </c>
      <c r="U99" s="2"/>
      <c r="V99" s="6">
        <f t="shared" si="74"/>
        <v>0</v>
      </c>
      <c r="W99" s="2"/>
      <c r="X99" s="7">
        <f t="shared" si="75"/>
        <v>0</v>
      </c>
      <c r="Y99" s="2"/>
      <c r="Z99" s="6">
        <f t="shared" si="76"/>
        <v>0</v>
      </c>
    </row>
    <row r="100" spans="1:26" s="24" customFormat="1" hidden="1" outlineLevel="2" x14ac:dyDescent="0.25">
      <c r="A100" s="29"/>
      <c r="B100" s="11" t="str">
        <f>CONCATENATE("          ", "6247", " - ", "STORE SUPPLIES")</f>
        <v xml:space="preserve">          6247 - STORE SUPPLIES</v>
      </c>
      <c r="C100" s="11"/>
      <c r="D100" s="7"/>
      <c r="E100" s="2"/>
      <c r="F100" s="6">
        <f t="shared" si="69"/>
        <v>0</v>
      </c>
      <c r="G100" s="2"/>
      <c r="H100" s="7">
        <v>0</v>
      </c>
      <c r="I100" s="2"/>
      <c r="J100" s="6">
        <f t="shared" si="70"/>
        <v>0</v>
      </c>
      <c r="K100" s="2"/>
      <c r="L100" s="7">
        <f t="shared" si="71"/>
        <v>0</v>
      </c>
      <c r="M100" s="2"/>
      <c r="N100" s="6">
        <f t="shared" si="72"/>
        <v>0</v>
      </c>
      <c r="O100" s="11"/>
      <c r="P100" s="7"/>
      <c r="Q100" s="2"/>
      <c r="R100" s="6">
        <f t="shared" si="73"/>
        <v>0</v>
      </c>
      <c r="S100" s="2"/>
      <c r="T100" s="7">
        <v>411</v>
      </c>
      <c r="U100" s="2"/>
      <c r="V100" s="6">
        <f t="shared" si="74"/>
        <v>4.6108281540981396E-3</v>
      </c>
      <c r="W100" s="2"/>
      <c r="X100" s="7">
        <f t="shared" si="75"/>
        <v>-411</v>
      </c>
      <c r="Y100" s="2"/>
      <c r="Z100" s="6">
        <f t="shared" si="76"/>
        <v>-1</v>
      </c>
    </row>
    <row r="101" spans="1:26" s="24" customFormat="1" hidden="1" outlineLevel="2" x14ac:dyDescent="0.25">
      <c r="A101" s="29"/>
      <c r="B101" s="11" t="str">
        <f>CONCATENATE("          ", "6248", " - ", "UNIFORMS")</f>
        <v xml:space="preserve">          6248 - UNIFORMS</v>
      </c>
      <c r="C101" s="11"/>
      <c r="D101" s="7"/>
      <c r="E101" s="2"/>
      <c r="F101" s="6">
        <f t="shared" si="69"/>
        <v>0</v>
      </c>
      <c r="G101" s="2"/>
      <c r="H101" s="7">
        <v>0</v>
      </c>
      <c r="I101" s="2"/>
      <c r="J101" s="6">
        <f t="shared" si="70"/>
        <v>0</v>
      </c>
      <c r="K101" s="2"/>
      <c r="L101" s="7">
        <f t="shared" si="71"/>
        <v>0</v>
      </c>
      <c r="M101" s="2"/>
      <c r="N101" s="6">
        <f t="shared" si="72"/>
        <v>0</v>
      </c>
      <c r="O101" s="11"/>
      <c r="P101" s="7"/>
      <c r="Q101" s="2"/>
      <c r="R101" s="6">
        <f t="shared" si="73"/>
        <v>0</v>
      </c>
      <c r="S101" s="2"/>
      <c r="T101" s="7">
        <v>0</v>
      </c>
      <c r="U101" s="2"/>
      <c r="V101" s="6">
        <f t="shared" si="74"/>
        <v>0</v>
      </c>
      <c r="W101" s="2"/>
      <c r="X101" s="7">
        <f t="shared" si="75"/>
        <v>0</v>
      </c>
      <c r="Y101" s="2"/>
      <c r="Z101" s="6">
        <f t="shared" si="76"/>
        <v>0</v>
      </c>
    </row>
    <row r="102" spans="1:26" s="28" customFormat="1" outlineLevel="1" collapsed="1" x14ac:dyDescent="0.25">
      <c r="A102" s="27"/>
      <c r="B102" s="14" t="str">
        <f>CONCATENATE("     ","Telephone/Data Lines                              ")</f>
        <v xml:space="preserve">     Telephone/Data Lines                              </v>
      </c>
      <c r="C102" s="14"/>
      <c r="D102" s="1">
        <f>SUM(OSRRefD22_18x_0)</f>
        <v>593.1</v>
      </c>
      <c r="E102" s="1"/>
      <c r="F102" s="5">
        <f t="shared" ref="F102:F104" si="77">IF(D$12=0,0,D102/D$12)</f>
        <v>8.2180950231266429E-3</v>
      </c>
      <c r="G102" s="1"/>
      <c r="H102" s="1">
        <f>SUM(OSRRefH22_18x_0)</f>
        <v>384</v>
      </c>
      <c r="I102" s="1"/>
      <c r="J102" s="5">
        <f t="shared" ref="J102:J104" si="78">IF(H$12=0,0,H102/H$12)</f>
        <v>3.2139270170739871E-2</v>
      </c>
      <c r="K102" s="1"/>
      <c r="L102" s="1">
        <f t="shared" ref="L102:L104" si="79">+D102-H102</f>
        <v>209.10000000000002</v>
      </c>
      <c r="M102" s="1"/>
      <c r="N102" s="5">
        <f t="shared" ref="N102:N104" si="80">IF(H102=0,0,L102/H102)</f>
        <v>0.54453125000000002</v>
      </c>
      <c r="O102" s="14"/>
      <c r="P102" s="1">
        <f>SUM(OSRRefP22_18x_0)</f>
        <v>4651.2700000000004</v>
      </c>
      <c r="Q102" s="1"/>
      <c r="R102" s="5">
        <f t="shared" ref="R102:R104" si="81">IF(P$12=0,0,P102/P$12)</f>
        <v>2.3949200366605909E-2</v>
      </c>
      <c r="S102" s="1"/>
      <c r="T102" s="1">
        <f>SUM(OSRRefT22_18x_0)</f>
        <v>2052</v>
      </c>
      <c r="U102" s="1"/>
      <c r="V102" s="5">
        <f t="shared" ref="V102:V104" si="82">IF(T$12=0,0,T102/T$12)</f>
        <v>2.3020485090533779E-2</v>
      </c>
      <c r="W102" s="1"/>
      <c r="X102" s="1">
        <f t="shared" ref="X102:X104" si="83">+P102-T102</f>
        <v>2599.2700000000004</v>
      </c>
      <c r="Y102" s="1"/>
      <c r="Z102" s="5">
        <f t="shared" ref="Z102:Z104" si="84">IF(T102=0,0,X102/T102)</f>
        <v>1.2667007797270957</v>
      </c>
    </row>
    <row r="103" spans="1:26" s="24" customFormat="1" hidden="1" outlineLevel="2" x14ac:dyDescent="0.25">
      <c r="A103" s="29"/>
      <c r="B103" s="11" t="str">
        <f>CONCATENATE("          ", "6303", " - ", "DATA PHONE LINES")</f>
        <v xml:space="preserve">          6303 - DATA PHONE LINES</v>
      </c>
      <c r="C103" s="11"/>
      <c r="D103" s="7"/>
      <c r="E103" s="2"/>
      <c r="F103" s="6">
        <f t="shared" si="77"/>
        <v>0</v>
      </c>
      <c r="G103" s="2"/>
      <c r="H103" s="7">
        <v>134</v>
      </c>
      <c r="I103" s="2"/>
      <c r="J103" s="6">
        <f t="shared" si="78"/>
        <v>1.1215266153331101E-2</v>
      </c>
      <c r="K103" s="2"/>
      <c r="L103" s="7">
        <f t="shared" si="79"/>
        <v>-134</v>
      </c>
      <c r="M103" s="2"/>
      <c r="N103" s="6">
        <f t="shared" si="80"/>
        <v>-1</v>
      </c>
      <c r="O103" s="11"/>
      <c r="P103" s="7"/>
      <c r="Q103" s="2"/>
      <c r="R103" s="6">
        <f t="shared" si="81"/>
        <v>0</v>
      </c>
      <c r="S103" s="2"/>
      <c r="T103" s="7">
        <v>852</v>
      </c>
      <c r="U103" s="2"/>
      <c r="V103" s="6">
        <f t="shared" si="82"/>
        <v>9.5582131077654869E-3</v>
      </c>
      <c r="W103" s="2"/>
      <c r="X103" s="7">
        <f t="shared" si="83"/>
        <v>-852</v>
      </c>
      <c r="Y103" s="2"/>
      <c r="Z103" s="6">
        <f t="shared" si="84"/>
        <v>-1</v>
      </c>
    </row>
    <row r="104" spans="1:26" s="24" customFormat="1" hidden="1" outlineLevel="2" x14ac:dyDescent="0.25">
      <c r="A104" s="29"/>
      <c r="B104" s="11" t="str">
        <f>CONCATENATE("          ", "6309", " - ", "TELEPHONE")</f>
        <v xml:space="preserve">          6309 - TELEPHONE</v>
      </c>
      <c r="C104" s="11"/>
      <c r="D104" s="7">
        <v>593.1</v>
      </c>
      <c r="E104" s="2"/>
      <c r="F104" s="6">
        <f t="shared" si="77"/>
        <v>8.2180950231266429E-3</v>
      </c>
      <c r="G104" s="2"/>
      <c r="H104" s="7">
        <v>250</v>
      </c>
      <c r="I104" s="2"/>
      <c r="J104" s="6">
        <f t="shared" si="78"/>
        <v>2.0924004017408772E-2</v>
      </c>
      <c r="K104" s="2"/>
      <c r="L104" s="7">
        <f t="shared" si="79"/>
        <v>343.1</v>
      </c>
      <c r="M104" s="2"/>
      <c r="N104" s="6">
        <f t="shared" si="80"/>
        <v>1.3724000000000001</v>
      </c>
      <c r="O104" s="11"/>
      <c r="P104" s="7">
        <v>4651.2700000000004</v>
      </c>
      <c r="Q104" s="2"/>
      <c r="R104" s="6">
        <f t="shared" si="81"/>
        <v>2.3949200366605909E-2</v>
      </c>
      <c r="S104" s="2"/>
      <c r="T104" s="7">
        <v>1200</v>
      </c>
      <c r="U104" s="2"/>
      <c r="V104" s="6">
        <f t="shared" si="82"/>
        <v>1.3462271982768292E-2</v>
      </c>
      <c r="W104" s="2"/>
      <c r="X104" s="7">
        <f t="shared" si="83"/>
        <v>3451.2700000000004</v>
      </c>
      <c r="Y104" s="2"/>
      <c r="Z104" s="6">
        <f t="shared" si="84"/>
        <v>2.8760583333333338</v>
      </c>
    </row>
    <row r="105" spans="1:26" s="28" customFormat="1" outlineLevel="1" collapsed="1" x14ac:dyDescent="0.25">
      <c r="A105" s="27"/>
      <c r="B105" s="14" t="str">
        <f>CONCATENATE("     ","Training                                          ")</f>
        <v xml:space="preserve">     Training                                          </v>
      </c>
      <c r="C105" s="14"/>
      <c r="D105" s="1">
        <f>SUM(OSRRefD22_19x_0)</f>
        <v>0</v>
      </c>
      <c r="E105" s="1"/>
      <c r="F105" s="5">
        <f t="shared" ref="F105:F110" si="85">IF(D$12=0,0,D105/D$12)</f>
        <v>0</v>
      </c>
      <c r="G105" s="1"/>
      <c r="H105" s="1">
        <f>SUM(OSRRefH22_19x_0)</f>
        <v>0</v>
      </c>
      <c r="I105" s="1"/>
      <c r="J105" s="5">
        <f t="shared" ref="J105:J110" si="86">IF(H$12=0,0,H105/H$12)</f>
        <v>0</v>
      </c>
      <c r="K105" s="1"/>
      <c r="L105" s="1">
        <f t="shared" ref="L105:L110" si="87">+D105-H105</f>
        <v>0</v>
      </c>
      <c r="M105" s="1"/>
      <c r="N105" s="5">
        <f t="shared" ref="N105:N110" si="88">IF(H105=0,0,L105/H105)</f>
        <v>0</v>
      </c>
      <c r="O105" s="14"/>
      <c r="P105" s="1">
        <f>SUM(OSRRefP22_19x_0)</f>
        <v>400</v>
      </c>
      <c r="Q105" s="1"/>
      <c r="R105" s="5">
        <f t="shared" ref="R105:R110" si="89">IF(P$12=0,0,P105/P$12)</f>
        <v>2.059583758122483E-3</v>
      </c>
      <c r="S105" s="1"/>
      <c r="T105" s="1">
        <f>SUM(OSRRefT22_19x_0)</f>
        <v>0</v>
      </c>
      <c r="U105" s="1"/>
      <c r="V105" s="5">
        <f t="shared" ref="V105:V110" si="90">IF(T$12=0,0,T105/T$12)</f>
        <v>0</v>
      </c>
      <c r="W105" s="1"/>
      <c r="X105" s="1">
        <f t="shared" ref="X105:X110" si="91">+P105-T105</f>
        <v>400</v>
      </c>
      <c r="Y105" s="1"/>
      <c r="Z105" s="5">
        <f t="shared" ref="Z105:Z110" si="92">IF(T105=0,0,X105/T105)</f>
        <v>0</v>
      </c>
    </row>
    <row r="106" spans="1:26" s="24" customFormat="1" hidden="1" outlineLevel="2" x14ac:dyDescent="0.25">
      <c r="A106" s="29"/>
      <c r="B106" s="11" t="str">
        <f>CONCATENATE("          ", "6376", " - ", "TRAINING")</f>
        <v xml:space="preserve">          6376 - TRAINING</v>
      </c>
      <c r="C106" s="11"/>
      <c r="D106" s="7"/>
      <c r="E106" s="2"/>
      <c r="F106" s="6">
        <f t="shared" si="85"/>
        <v>0</v>
      </c>
      <c r="G106" s="2"/>
      <c r="H106" s="7">
        <v>0</v>
      </c>
      <c r="I106" s="2"/>
      <c r="J106" s="6">
        <f t="shared" si="86"/>
        <v>0</v>
      </c>
      <c r="K106" s="2"/>
      <c r="L106" s="7">
        <f t="shared" si="87"/>
        <v>0</v>
      </c>
      <c r="M106" s="2"/>
      <c r="N106" s="6">
        <f t="shared" si="88"/>
        <v>0</v>
      </c>
      <c r="O106" s="11"/>
      <c r="P106" s="7">
        <v>400</v>
      </c>
      <c r="Q106" s="2"/>
      <c r="R106" s="6">
        <f t="shared" si="89"/>
        <v>2.059583758122483E-3</v>
      </c>
      <c r="S106" s="2"/>
      <c r="T106" s="7">
        <v>0</v>
      </c>
      <c r="U106" s="2"/>
      <c r="V106" s="6">
        <f t="shared" si="90"/>
        <v>0</v>
      </c>
      <c r="W106" s="2"/>
      <c r="X106" s="7">
        <f t="shared" si="91"/>
        <v>400</v>
      </c>
      <c r="Y106" s="2"/>
      <c r="Z106" s="6">
        <f t="shared" si="92"/>
        <v>0</v>
      </c>
    </row>
    <row r="107" spans="1:26" s="28" customFormat="1" outlineLevel="1" collapsed="1" x14ac:dyDescent="0.25">
      <c r="A107" s="27"/>
      <c r="B107" s="14" t="str">
        <f>CONCATENATE("     ","Travel                                            ")</f>
        <v xml:space="preserve">     Travel                                            </v>
      </c>
      <c r="C107" s="14"/>
      <c r="D107" s="1">
        <f>SUM(OSRRefD22_20x_0)</f>
        <v>0</v>
      </c>
      <c r="E107" s="1"/>
      <c r="F107" s="5">
        <f t="shared" si="85"/>
        <v>0</v>
      </c>
      <c r="G107" s="1"/>
      <c r="H107" s="1">
        <f>SUM(OSRRefH22_20x_0)</f>
        <v>0</v>
      </c>
      <c r="I107" s="1"/>
      <c r="J107" s="5">
        <f t="shared" si="86"/>
        <v>0</v>
      </c>
      <c r="K107" s="1"/>
      <c r="L107" s="1">
        <f t="shared" si="87"/>
        <v>0</v>
      </c>
      <c r="M107" s="1"/>
      <c r="N107" s="5">
        <f t="shared" si="88"/>
        <v>0</v>
      </c>
      <c r="O107" s="14"/>
      <c r="P107" s="1">
        <f>SUM(OSRRefP22_20x_0)</f>
        <v>332.21</v>
      </c>
      <c r="Q107" s="1"/>
      <c r="R107" s="5">
        <f t="shared" si="89"/>
        <v>1.7105358007146751E-3</v>
      </c>
      <c r="S107" s="1"/>
      <c r="T107" s="1">
        <f>SUM(OSRRefT22_20x_0)</f>
        <v>0</v>
      </c>
      <c r="U107" s="1"/>
      <c r="V107" s="5">
        <f t="shared" si="90"/>
        <v>0</v>
      </c>
      <c r="W107" s="1"/>
      <c r="X107" s="1">
        <f t="shared" si="91"/>
        <v>332.21</v>
      </c>
      <c r="Y107" s="1"/>
      <c r="Z107" s="5">
        <f t="shared" si="92"/>
        <v>0</v>
      </c>
    </row>
    <row r="108" spans="1:26" s="24" customFormat="1" hidden="1" outlineLevel="2" x14ac:dyDescent="0.25">
      <c r="A108" s="29"/>
      <c r="B108" s="11" t="str">
        <f>CONCATENATE("          ", "6292", " - ", "TRAVEL/CONFERENCE")</f>
        <v xml:space="preserve">          6292 - TRAVEL/CONFERENCE</v>
      </c>
      <c r="C108" s="11"/>
      <c r="D108" s="7"/>
      <c r="E108" s="2"/>
      <c r="F108" s="6">
        <f t="shared" si="85"/>
        <v>0</v>
      </c>
      <c r="G108" s="2"/>
      <c r="H108" s="7"/>
      <c r="I108" s="2"/>
      <c r="J108" s="6">
        <f t="shared" si="86"/>
        <v>0</v>
      </c>
      <c r="K108" s="2"/>
      <c r="L108" s="7">
        <f t="shared" si="87"/>
        <v>0</v>
      </c>
      <c r="M108" s="2"/>
      <c r="N108" s="6">
        <f t="shared" si="88"/>
        <v>0</v>
      </c>
      <c r="O108" s="11"/>
      <c r="P108" s="7"/>
      <c r="Q108" s="2"/>
      <c r="R108" s="6">
        <f t="shared" si="89"/>
        <v>0</v>
      </c>
      <c r="S108" s="2"/>
      <c r="T108" s="7">
        <v>0</v>
      </c>
      <c r="U108" s="2"/>
      <c r="V108" s="6">
        <f t="shared" si="90"/>
        <v>0</v>
      </c>
      <c r="W108" s="2"/>
      <c r="X108" s="7">
        <f t="shared" si="91"/>
        <v>0</v>
      </c>
      <c r="Y108" s="2"/>
      <c r="Z108" s="6">
        <f t="shared" si="92"/>
        <v>0</v>
      </c>
    </row>
    <row r="109" spans="1:26" s="24" customFormat="1" hidden="1" outlineLevel="2" x14ac:dyDescent="0.25">
      <c r="A109" s="29"/>
      <c r="B109" s="11" t="str">
        <f>CONCATENATE("          ", "6294", " - ", "TRAVEL OPERATIONAL")</f>
        <v xml:space="preserve">          6294 - TRAVEL OPERATIONAL</v>
      </c>
      <c r="C109" s="11"/>
      <c r="D109" s="7"/>
      <c r="E109" s="2"/>
      <c r="F109" s="6">
        <f t="shared" si="85"/>
        <v>0</v>
      </c>
      <c r="G109" s="2"/>
      <c r="H109" s="7"/>
      <c r="I109" s="2"/>
      <c r="J109" s="6">
        <f t="shared" si="86"/>
        <v>0</v>
      </c>
      <c r="K109" s="2"/>
      <c r="L109" s="7">
        <f t="shared" si="87"/>
        <v>0</v>
      </c>
      <c r="M109" s="2"/>
      <c r="N109" s="6">
        <f t="shared" si="88"/>
        <v>0</v>
      </c>
      <c r="O109" s="11"/>
      <c r="P109" s="7"/>
      <c r="Q109" s="2"/>
      <c r="R109" s="6">
        <f t="shared" si="89"/>
        <v>0</v>
      </c>
      <c r="S109" s="2"/>
      <c r="T109" s="7">
        <v>0</v>
      </c>
      <c r="U109" s="2"/>
      <c r="V109" s="6">
        <f t="shared" si="90"/>
        <v>0</v>
      </c>
      <c r="W109" s="2"/>
      <c r="X109" s="7">
        <f t="shared" si="91"/>
        <v>0</v>
      </c>
      <c r="Y109" s="2"/>
      <c r="Z109" s="6">
        <f t="shared" si="92"/>
        <v>0</v>
      </c>
    </row>
    <row r="110" spans="1:26" s="24" customFormat="1" hidden="1" outlineLevel="2" x14ac:dyDescent="0.25">
      <c r="A110" s="29"/>
      <c r="B110" s="11" t="str">
        <f>CONCATENATE("          ", "6298", " - ", "VEHICLE MILEAGE")</f>
        <v xml:space="preserve">          6298 - VEHICLE MILEAGE</v>
      </c>
      <c r="C110" s="11"/>
      <c r="D110" s="7"/>
      <c r="E110" s="2"/>
      <c r="F110" s="6">
        <f t="shared" si="85"/>
        <v>0</v>
      </c>
      <c r="G110" s="2"/>
      <c r="H110" s="7"/>
      <c r="I110" s="2"/>
      <c r="J110" s="6">
        <f t="shared" si="86"/>
        <v>0</v>
      </c>
      <c r="K110" s="2"/>
      <c r="L110" s="7">
        <f t="shared" si="87"/>
        <v>0</v>
      </c>
      <c r="M110" s="2"/>
      <c r="N110" s="6">
        <f t="shared" si="88"/>
        <v>0</v>
      </c>
      <c r="O110" s="11"/>
      <c r="P110" s="7">
        <v>332.21</v>
      </c>
      <c r="Q110" s="2"/>
      <c r="R110" s="6">
        <f t="shared" si="89"/>
        <v>1.7105358007146751E-3</v>
      </c>
      <c r="S110" s="2"/>
      <c r="T110" s="7"/>
      <c r="U110" s="2"/>
      <c r="V110" s="6">
        <f t="shared" si="90"/>
        <v>0</v>
      </c>
      <c r="W110" s="2"/>
      <c r="X110" s="7">
        <f t="shared" si="91"/>
        <v>332.21</v>
      </c>
      <c r="Y110" s="2"/>
      <c r="Z110" s="6">
        <f t="shared" si="92"/>
        <v>0</v>
      </c>
    </row>
    <row r="111" spans="1:26" s="28" customFormat="1" outlineLevel="1" collapsed="1" x14ac:dyDescent="0.25">
      <c r="A111" s="27"/>
      <c r="B111" s="14" t="str">
        <f>CONCATENATE("     ","Utilities                                         ")</f>
        <v xml:space="preserve">     Utilities                                         </v>
      </c>
      <c r="C111" s="14"/>
      <c r="D111" s="1">
        <f>SUM(OSRRefD22_21x_0)</f>
        <v>3660</v>
      </c>
      <c r="E111" s="1"/>
      <c r="F111" s="5">
        <f t="shared" ref="F111:F112" si="93">IF(D$12=0,0,D111/D$12)</f>
        <v>5.071358587867731E-2</v>
      </c>
      <c r="G111" s="1"/>
      <c r="H111" s="1">
        <f>SUM(OSRRefH22_21x_0)</f>
        <v>3300</v>
      </c>
      <c r="I111" s="1"/>
      <c r="J111" s="5">
        <f t="shared" ref="J111:J112" si="94">IF(H$12=0,0,H111/H$12)</f>
        <v>0.2761968530297958</v>
      </c>
      <c r="K111" s="1"/>
      <c r="L111" s="1">
        <f t="shared" ref="L111:L112" si="95">+D111-H111</f>
        <v>360</v>
      </c>
      <c r="M111" s="1"/>
      <c r="N111" s="5">
        <f t="shared" ref="N111:N112" si="96">IF(H111=0,0,L111/H111)</f>
        <v>0.10909090909090909</v>
      </c>
      <c r="O111" s="14"/>
      <c r="P111" s="1">
        <f>SUM(OSRRefP22_21x_0)</f>
        <v>992</v>
      </c>
      <c r="Q111" s="1"/>
      <c r="R111" s="5">
        <f t="shared" ref="R111:R112" si="97">IF(P$12=0,0,P111/P$12)</f>
        <v>5.107767720143758E-3</v>
      </c>
      <c r="S111" s="1"/>
      <c r="T111" s="1">
        <f>SUM(OSRRefT22_21x_0)</f>
        <v>19800</v>
      </c>
      <c r="U111" s="1"/>
      <c r="V111" s="5">
        <f t="shared" ref="V111:V112" si="98">IF(T$12=0,0,T111/T$12)</f>
        <v>0.22212748771567681</v>
      </c>
      <c r="W111" s="1"/>
      <c r="X111" s="1">
        <f t="shared" ref="X111:X112" si="99">+P111-T111</f>
        <v>-18808</v>
      </c>
      <c r="Y111" s="1"/>
      <c r="Z111" s="5">
        <f t="shared" ref="Z111:Z112" si="100">IF(T111=0,0,X111/T111)</f>
        <v>-0.94989898989898991</v>
      </c>
    </row>
    <row r="112" spans="1:26" s="24" customFormat="1" hidden="1" outlineLevel="2" x14ac:dyDescent="0.25">
      <c r="A112" s="29"/>
      <c r="B112" s="11" t="str">
        <f>CONCATENATE("          ", "6274", " - ", "UTILITIES")</f>
        <v xml:space="preserve">          6274 - UTILITIES</v>
      </c>
      <c r="C112" s="11"/>
      <c r="D112" s="7">
        <v>3660</v>
      </c>
      <c r="E112" s="2"/>
      <c r="F112" s="6">
        <f t="shared" si="93"/>
        <v>5.071358587867731E-2</v>
      </c>
      <c r="G112" s="2"/>
      <c r="H112" s="7">
        <v>3300</v>
      </c>
      <c r="I112" s="2"/>
      <c r="J112" s="6">
        <f t="shared" si="94"/>
        <v>0.2761968530297958</v>
      </c>
      <c r="K112" s="2"/>
      <c r="L112" s="7">
        <f t="shared" si="95"/>
        <v>360</v>
      </c>
      <c r="M112" s="2"/>
      <c r="N112" s="6">
        <f t="shared" si="96"/>
        <v>0.10909090909090909</v>
      </c>
      <c r="O112" s="11"/>
      <c r="P112" s="7">
        <v>992</v>
      </c>
      <c r="Q112" s="2"/>
      <c r="R112" s="6">
        <f t="shared" si="97"/>
        <v>5.107767720143758E-3</v>
      </c>
      <c r="S112" s="2"/>
      <c r="T112" s="7">
        <v>19800</v>
      </c>
      <c r="U112" s="2"/>
      <c r="V112" s="6">
        <f t="shared" si="98"/>
        <v>0.22212748771567681</v>
      </c>
      <c r="W112" s="2"/>
      <c r="X112" s="7">
        <f t="shared" si="99"/>
        <v>-18808</v>
      </c>
      <c r="Y112" s="2"/>
      <c r="Z112" s="6">
        <f t="shared" si="100"/>
        <v>-0.94989898989898991</v>
      </c>
    </row>
    <row r="113" spans="1:26" s="53" customFormat="1" x14ac:dyDescent="0.25">
      <c r="A113" s="36"/>
      <c r="B113" s="36"/>
      <c r="C113" s="36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6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collapsed="1" x14ac:dyDescent="0.25">
      <c r="A114" s="10"/>
      <c r="B114" s="26" t="s">
        <v>0</v>
      </c>
      <c r="C114" s="10"/>
      <c r="D114" s="4">
        <f>SUM(OSRRefD25x_0)</f>
        <v>11120.800000000001</v>
      </c>
      <c r="E114" s="4"/>
      <c r="F114" s="12">
        <f t="shared" ref="F114:F118" si="101">IF(D$12=0,0,D114/D$12)</f>
        <v>0.15409170651355045</v>
      </c>
      <c r="G114" s="4"/>
      <c r="H114" s="4">
        <f>SUM(OSRRefH25x_0)</f>
        <v>8053</v>
      </c>
      <c r="I114" s="4"/>
      <c r="J114" s="12">
        <f t="shared" ref="J114:J118" si="102">IF(H$12=0,0,H114/H$12)</f>
        <v>0.67400401740877136</v>
      </c>
      <c r="K114" s="4"/>
      <c r="L114" s="4">
        <f t="shared" ref="L114:L118" si="103">+D114-H114</f>
        <v>3067.8000000000011</v>
      </c>
      <c r="M114" s="4"/>
      <c r="N114" s="12">
        <f t="shared" ref="N114:N118" si="104">IF(H114=0,0,L114/H114)</f>
        <v>0.38095119831118851</v>
      </c>
      <c r="O114" s="10"/>
      <c r="P114" s="4">
        <f>SUM(OSRRefP25x_0)</f>
        <v>15371.47</v>
      </c>
      <c r="Q114" s="4"/>
      <c r="R114" s="12">
        <f t="shared" ref="R114:R118" si="105">IF(P$12=0,0,P114/P$12)</f>
        <v>7.9147074876167511E-2</v>
      </c>
      <c r="S114" s="4"/>
      <c r="T114" s="4">
        <f>SUM(OSRRefT25x_0)</f>
        <v>27403</v>
      </c>
      <c r="U114" s="4"/>
      <c r="V114" s="12">
        <f t="shared" ref="V114:V118" si="106">IF(T$12=0,0,T114/T$12)</f>
        <v>0.30742219928649961</v>
      </c>
      <c r="W114" s="4"/>
      <c r="X114" s="4">
        <f t="shared" ref="X114:X118" si="107">+P114-T114</f>
        <v>-12031.53</v>
      </c>
      <c r="Y114" s="4"/>
      <c r="Z114" s="12">
        <f t="shared" ref="Z114:Z118" si="108">IF(T114=0,0,X114/T114)</f>
        <v>-0.43905886216837575</v>
      </c>
    </row>
    <row r="115" spans="1:26" s="24" customFormat="1" hidden="1" outlineLevel="1" x14ac:dyDescent="0.25">
      <c r="A115" s="51"/>
      <c r="B115" s="11" t="str">
        <f>CONCATENATE("          ", "9150", " - ", "MISC. INCOME")</f>
        <v xml:space="preserve">          9150 - MISC. INCOME</v>
      </c>
      <c r="C115" s="11"/>
      <c r="D115" s="2">
        <f>--804.28</f>
        <v>804.28</v>
      </c>
      <c r="E115" s="2"/>
      <c r="F115" s="22">
        <f t="shared" si="101"/>
        <v>1.1144241215984313E-2</v>
      </c>
      <c r="G115" s="2"/>
      <c r="H115" s="2">
        <v>2164</v>
      </c>
      <c r="I115" s="2"/>
      <c r="J115" s="22">
        <f t="shared" si="102"/>
        <v>0.18111817877469033</v>
      </c>
      <c r="K115" s="2"/>
      <c r="L115" s="2">
        <f t="shared" si="103"/>
        <v>-1359.72</v>
      </c>
      <c r="M115" s="2"/>
      <c r="N115" s="22">
        <f t="shared" si="104"/>
        <v>-0.62833641404805918</v>
      </c>
      <c r="O115" s="11"/>
      <c r="P115" s="2">
        <f>--1728.05</f>
        <v>1728.05</v>
      </c>
      <c r="Q115" s="2"/>
      <c r="R115" s="22">
        <f t="shared" si="105"/>
        <v>8.8976592830588928E-3</v>
      </c>
      <c r="S115" s="2"/>
      <c r="T115" s="2">
        <v>11350</v>
      </c>
      <c r="U115" s="2"/>
      <c r="V115" s="22">
        <f t="shared" si="106"/>
        <v>0.12733065583701675</v>
      </c>
      <c r="W115" s="2"/>
      <c r="X115" s="2">
        <f t="shared" si="107"/>
        <v>-9621.9500000000007</v>
      </c>
      <c r="Y115" s="2"/>
      <c r="Z115" s="22">
        <f t="shared" si="108"/>
        <v>-0.84774889867841419</v>
      </c>
    </row>
    <row r="116" spans="1:26" s="24" customFormat="1" hidden="1" outlineLevel="1" x14ac:dyDescent="0.25">
      <c r="A116" s="51"/>
      <c r="B116" s="11" t="str">
        <f>CONCATENATE("          ", "9151", " - ", "MISC. INCOME")</f>
        <v xml:space="preserve">          9151 - MISC. INCOME</v>
      </c>
      <c r="C116" s="11"/>
      <c r="D116" s="2">
        <f>0</f>
        <v>0</v>
      </c>
      <c r="E116" s="2"/>
      <c r="F116" s="22">
        <f t="shared" si="101"/>
        <v>0</v>
      </c>
      <c r="G116" s="2"/>
      <c r="H116" s="2">
        <v>2712</v>
      </c>
      <c r="I116" s="2"/>
      <c r="J116" s="22">
        <f t="shared" si="102"/>
        <v>0.22698359558085035</v>
      </c>
      <c r="K116" s="2"/>
      <c r="L116" s="2">
        <f t="shared" si="103"/>
        <v>-2712</v>
      </c>
      <c r="M116" s="2"/>
      <c r="N116" s="22">
        <f t="shared" si="104"/>
        <v>-1</v>
      </c>
      <c r="O116" s="11"/>
      <c r="P116" s="2">
        <f>0</f>
        <v>0</v>
      </c>
      <c r="Q116" s="2"/>
      <c r="R116" s="22">
        <f t="shared" si="105"/>
        <v>0</v>
      </c>
      <c r="S116" s="2"/>
      <c r="T116" s="2">
        <v>11130</v>
      </c>
      <c r="U116" s="2"/>
      <c r="V116" s="22">
        <f t="shared" si="106"/>
        <v>0.1248625726401759</v>
      </c>
      <c r="W116" s="2"/>
      <c r="X116" s="2">
        <f t="shared" si="107"/>
        <v>-11130</v>
      </c>
      <c r="Y116" s="2"/>
      <c r="Z116" s="22">
        <f t="shared" si="108"/>
        <v>-1</v>
      </c>
    </row>
    <row r="117" spans="1:26" s="24" customFormat="1" hidden="1" outlineLevel="1" x14ac:dyDescent="0.25">
      <c r="A117" s="51"/>
      <c r="B117" s="11" t="str">
        <f>CONCATENATE("          ", "9160", " - ", "MISC. INCOME")</f>
        <v xml:space="preserve">          9160 - MISC. INCOME</v>
      </c>
      <c r="C117" s="11"/>
      <c r="D117" s="2">
        <f>--10000</f>
        <v>10000</v>
      </c>
      <c r="E117" s="2"/>
      <c r="F117" s="22">
        <f t="shared" si="101"/>
        <v>0.13856171005103091</v>
      </c>
      <c r="G117" s="2"/>
      <c r="H117" s="2">
        <v>3177</v>
      </c>
      <c r="I117" s="2"/>
      <c r="J117" s="22">
        <f t="shared" si="102"/>
        <v>0.26590224305323068</v>
      </c>
      <c r="K117" s="2"/>
      <c r="L117" s="2">
        <f t="shared" si="103"/>
        <v>6823</v>
      </c>
      <c r="M117" s="2"/>
      <c r="N117" s="22">
        <f t="shared" si="104"/>
        <v>2.1476235442241109</v>
      </c>
      <c r="O117" s="11"/>
      <c r="P117" s="2">
        <f>--12328.25</f>
        <v>12328.25</v>
      </c>
      <c r="Q117" s="2"/>
      <c r="R117" s="22">
        <f t="shared" si="105"/>
        <v>6.3477658665183762E-2</v>
      </c>
      <c r="S117" s="2"/>
      <c r="T117" s="2">
        <v>4923</v>
      </c>
      <c r="U117" s="2"/>
      <c r="V117" s="22">
        <f t="shared" si="106"/>
        <v>5.5228970809306915E-2</v>
      </c>
      <c r="W117" s="2"/>
      <c r="X117" s="2">
        <f t="shared" si="107"/>
        <v>7405.25</v>
      </c>
      <c r="Y117" s="2"/>
      <c r="Z117" s="22">
        <f t="shared" si="108"/>
        <v>1.5042149096079627</v>
      </c>
    </row>
    <row r="118" spans="1:26" s="24" customFormat="1" hidden="1" outlineLevel="1" x14ac:dyDescent="0.25">
      <c r="A118" s="51"/>
      <c r="B118" s="11" t="str">
        <f>CONCATENATE("          ", "9165", " - ", "OTHER INCOME")</f>
        <v xml:space="preserve">          9165 - OTHER INCOME</v>
      </c>
      <c r="C118" s="11"/>
      <c r="D118" s="2">
        <f>--316.52</f>
        <v>316.52</v>
      </c>
      <c r="E118" s="2"/>
      <c r="F118" s="22">
        <f t="shared" si="101"/>
        <v>4.3857552465352296E-3</v>
      </c>
      <c r="G118" s="2"/>
      <c r="H118" s="2"/>
      <c r="I118" s="2"/>
      <c r="J118" s="22">
        <f t="shared" si="102"/>
        <v>0</v>
      </c>
      <c r="K118" s="2"/>
      <c r="L118" s="2">
        <f t="shared" si="103"/>
        <v>316.52</v>
      </c>
      <c r="M118" s="2"/>
      <c r="N118" s="22">
        <f t="shared" si="104"/>
        <v>0</v>
      </c>
      <c r="O118" s="11"/>
      <c r="P118" s="2">
        <f>--1315.17</f>
        <v>1315.17</v>
      </c>
      <c r="Q118" s="2"/>
      <c r="R118" s="22">
        <f t="shared" si="105"/>
        <v>6.7717569279248657E-3</v>
      </c>
      <c r="S118" s="2"/>
      <c r="T118" s="2"/>
      <c r="U118" s="2"/>
      <c r="V118" s="22">
        <f t="shared" si="106"/>
        <v>0</v>
      </c>
      <c r="W118" s="2"/>
      <c r="X118" s="2">
        <f t="shared" si="107"/>
        <v>1315.17</v>
      </c>
      <c r="Y118" s="2"/>
      <c r="Z118" s="22">
        <f t="shared" si="108"/>
        <v>0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5" t="s">
        <v>3</v>
      </c>
      <c r="C120" s="25"/>
      <c r="D120" s="21">
        <f>+D25-D27+D114</f>
        <v>-36515.710000000006</v>
      </c>
      <c r="E120" s="13"/>
      <c r="F120" s="19">
        <f>IF(D$12=0,0,D120/D$12)</f>
        <v>-0.5059679221327531</v>
      </c>
      <c r="G120" s="13"/>
      <c r="H120" s="21">
        <f>+H25-H27+H114</f>
        <v>-92764.625989502543</v>
      </c>
      <c r="I120" s="13"/>
      <c r="J120" s="19">
        <f>IF(H$12=0,0,H120/H$12)</f>
        <v>-7.7640296275110936</v>
      </c>
      <c r="K120" s="16"/>
      <c r="L120" s="21">
        <f>+D120-H120</f>
        <v>56248.915989502537</v>
      </c>
      <c r="M120" s="16"/>
      <c r="N120" s="19">
        <f>IF(H120=0,0,L120/H120)</f>
        <v>-0.60636169649266725</v>
      </c>
      <c r="O120" s="26"/>
      <c r="P120" s="21">
        <f>+P25-P27+P114</f>
        <v>-484110.4800000001</v>
      </c>
      <c r="Q120" s="13"/>
      <c r="R120" s="19">
        <f>IF(P$12=0,0,P120/P$12)</f>
        <v>-2.4926652043621984</v>
      </c>
      <c r="S120" s="13"/>
      <c r="T120" s="21">
        <f>+T25-T27+T114</f>
        <v>-568081.42223956157</v>
      </c>
      <c r="U120" s="13"/>
      <c r="V120" s="19">
        <f>IF(T$12=0,0,T120/T$12)</f>
        <v>-6.3730555121223444</v>
      </c>
      <c r="W120" s="16"/>
      <c r="X120" s="21">
        <f>+P120-T120</f>
        <v>83970.942239561467</v>
      </c>
      <c r="Y120" s="16"/>
      <c r="Z120" s="19">
        <f>IF(T120=0,0,X120/T120)</f>
        <v>-0.14781497678364613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2"/>
      <c r="B122" s="10" t="s">
        <v>14</v>
      </c>
      <c r="C122" s="10"/>
      <c r="D122" s="4">
        <v>16540.91</v>
      </c>
      <c r="E122" s="4"/>
      <c r="F122" s="12">
        <f>IF(D$12=0,0,D122/D$12)</f>
        <v>0.22919367754001976</v>
      </c>
      <c r="G122" s="4"/>
      <c r="H122" s="4">
        <v>3142</v>
      </c>
      <c r="I122" s="4"/>
      <c r="J122" s="12">
        <f>IF(H$12=0,0,H122/H$12)</f>
        <v>0.26297288249079342</v>
      </c>
      <c r="K122" s="4"/>
      <c r="L122" s="4">
        <f>+D122-H122</f>
        <v>13398.91</v>
      </c>
      <c r="M122" s="4"/>
      <c r="N122" s="12">
        <f>IF(H122=0,0,L122/H122)</f>
        <v>4.2644525779758116</v>
      </c>
      <c r="O122" s="10"/>
      <c r="P122" s="4">
        <v>35933.699999999997</v>
      </c>
      <c r="Q122" s="4"/>
      <c r="R122" s="12">
        <f>IF(P$12=0,0,P122/P$12)</f>
        <v>0.18502116222311465</v>
      </c>
      <c r="S122" s="4"/>
      <c r="T122" s="4">
        <v>16909</v>
      </c>
      <c r="U122" s="4"/>
      <c r="V122" s="12">
        <f>IF(T$12=0,0,T122/T$12)</f>
        <v>0.18969463079719087</v>
      </c>
      <c r="W122" s="4"/>
      <c r="X122" s="4">
        <f>+P122-T122</f>
        <v>19024.699999999997</v>
      </c>
      <c r="Y122" s="4"/>
      <c r="Z122" s="12">
        <f>IF(T122=0,0,X122/T122)</f>
        <v>1.1251227157135251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5" t="s">
        <v>4</v>
      </c>
      <c r="C124" s="25"/>
      <c r="D124" s="34">
        <f>+D120-D122</f>
        <v>-53056.62000000001</v>
      </c>
      <c r="E124" s="13"/>
      <c r="F124" s="31">
        <f>IF(D$12=0,0,D124/D$12)</f>
        <v>-0.73516159967277284</v>
      </c>
      <c r="G124" s="13"/>
      <c r="H124" s="34">
        <f>+H120-H122</f>
        <v>-95906.625989502543</v>
      </c>
      <c r="I124" s="13"/>
      <c r="J124" s="31">
        <f>IF(H$12=0,0,H124/H$12)</f>
        <v>-8.0270025100018874</v>
      </c>
      <c r="K124" s="16"/>
      <c r="L124" s="34">
        <f>D124-H124</f>
        <v>42850.005989502533</v>
      </c>
      <c r="M124" s="16"/>
      <c r="N124" s="31">
        <f>IF(H124=0,0,L124/H124)</f>
        <v>-0.44678879636734048</v>
      </c>
      <c r="O124" s="26"/>
      <c r="P124" s="34">
        <f>+P120-P122</f>
        <v>-520044.18000000011</v>
      </c>
      <c r="Q124" s="13"/>
      <c r="R124" s="31">
        <f>IF(P$12=0,0,P124/P$12)</f>
        <v>-2.6776863665853132</v>
      </c>
      <c r="S124" s="13"/>
      <c r="T124" s="34">
        <f>+T120-T122</f>
        <v>-584990.42223956157</v>
      </c>
      <c r="U124" s="13"/>
      <c r="V124" s="31">
        <f>IF(T$12=0,0,T124/T$12)</f>
        <v>-6.5627501429195352</v>
      </c>
      <c r="W124" s="16"/>
      <c r="X124" s="34">
        <f>P124-T124</f>
        <v>64946.242239561456</v>
      </c>
      <c r="Y124" s="16"/>
      <c r="Z124" s="31">
        <f>IF(T124=0,0,X124/T124)</f>
        <v>-0.11102103516656395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5" t="s">
        <v>5</v>
      </c>
      <c r="C127" s="25"/>
      <c r="D127" s="33">
        <f>SUM(D124:D126)</f>
        <v>-53056.62000000001</v>
      </c>
      <c r="E127" s="13"/>
      <c r="F127" s="32">
        <f>IF(D$12=0,0,D127/D$12)</f>
        <v>-0.73516159967277284</v>
      </c>
      <c r="G127" s="13"/>
      <c r="H127" s="33">
        <f>SUM(H124:H126)</f>
        <v>-95906.625989502543</v>
      </c>
      <c r="I127" s="13"/>
      <c r="J127" s="32">
        <f>IF(H$12=0,0,H127/H$12)</f>
        <v>-8.0270025100018874</v>
      </c>
      <c r="K127" s="16"/>
      <c r="L127" s="33">
        <f>+D127-H127</f>
        <v>42850.005989502533</v>
      </c>
      <c r="M127" s="16"/>
      <c r="N127" s="32">
        <f>IF(H127=0,0,L127/H127)</f>
        <v>-0.44678879636734048</v>
      </c>
      <c r="O127" s="26"/>
      <c r="P127" s="33">
        <f>SUM(P124:P126)</f>
        <v>-520044.18000000011</v>
      </c>
      <c r="Q127" s="13"/>
      <c r="R127" s="32">
        <f>IF(P$12=0,0,P127/P$12)</f>
        <v>-2.6776863665853132</v>
      </c>
      <c r="S127" s="13"/>
      <c r="T127" s="33">
        <f>SUM(T124:T126)</f>
        <v>-584990.42223956157</v>
      </c>
      <c r="U127" s="13"/>
      <c r="V127" s="32">
        <f>IF(T$12=0,0,T127/T$12)</f>
        <v>-6.5627501429195352</v>
      </c>
      <c r="W127" s="16"/>
      <c r="X127" s="33">
        <f>+P127-T127</f>
        <v>64946.242239561456</v>
      </c>
      <c r="Y127" s="16"/>
      <c r="Z127" s="32">
        <f>IF(T127=0,0,X127/T127)</f>
        <v>-0.11102103516656395</v>
      </c>
    </row>
    <row r="128" spans="1:26" ht="15.75" thickTop="1" x14ac:dyDescent="0.25">
      <c r="A128" s="9"/>
      <c r="C128" s="9"/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63">
        <v>44209.518215625001</v>
      </c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60" t="s">
        <v>314</v>
      </c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A131" s="9"/>
      <c r="B131" s="58"/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4" x14ac:dyDescent="0.25"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","405", " - ", "Library Starbucks")</f>
        <v>Department 405 - Library Starbucks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 t="shared" ref="P13:P14" si="5"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0</v>
      </c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 t="shared" si="5"/>
        <v>0</v>
      </c>
      <c r="Q14" s="2"/>
      <c r="R14" s="22"/>
      <c r="S14" s="2"/>
      <c r="T14" s="2">
        <v>0</v>
      </c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0</v>
      </c>
      <c r="I17" s="2"/>
      <c r="J17" s="22">
        <f t="shared" si="7"/>
        <v>0</v>
      </c>
      <c r="K17" s="2"/>
      <c r="L17" s="2">
        <f t="shared" si="8"/>
        <v>0</v>
      </c>
      <c r="M17" s="2"/>
      <c r="N17" s="22">
        <f t="shared" si="9"/>
        <v>0</v>
      </c>
      <c r="O17" s="11"/>
      <c r="P17" s="2"/>
      <c r="Q17" s="2"/>
      <c r="R17" s="22">
        <f t="shared" si="10"/>
        <v>0</v>
      </c>
      <c r="S17" s="2"/>
      <c r="T17" s="2">
        <v>0</v>
      </c>
      <c r="U17" s="2"/>
      <c r="V17" s="22">
        <f t="shared" si="11"/>
        <v>0</v>
      </c>
      <c r="W17" s="2"/>
      <c r="X17" s="2">
        <f t="shared" si="12"/>
        <v>0</v>
      </c>
      <c r="Y17" s="2"/>
      <c r="Z17" s="22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21">
        <f>D12-D16</f>
        <v>0</v>
      </c>
      <c r="E19" s="13"/>
      <c r="F19" s="19">
        <f>IF(D$12=0,0,D19/D$12)</f>
        <v>0</v>
      </c>
      <c r="G19" s="13"/>
      <c r="H19" s="21">
        <f>H12-H16</f>
        <v>0</v>
      </c>
      <c r="I19" s="13"/>
      <c r="J19" s="19">
        <f>IF(H$12=0,0,H19/H$12)</f>
        <v>0</v>
      </c>
      <c r="K19" s="16"/>
      <c r="L19" s="21">
        <f>+D19-H19</f>
        <v>0</v>
      </c>
      <c r="M19" s="16"/>
      <c r="N19" s="19">
        <f>IF(H19=0,0,L19/H19)</f>
        <v>0</v>
      </c>
      <c r="O19" s="26"/>
      <c r="P19" s="21">
        <f>P12-P16</f>
        <v>0</v>
      </c>
      <c r="Q19" s="13"/>
      <c r="R19" s="19">
        <f>IF(P$12=0,0,P19/P$12)</f>
        <v>0</v>
      </c>
      <c r="S19" s="13"/>
      <c r="T19" s="21">
        <f>T12-T16</f>
        <v>0</v>
      </c>
      <c r="U19" s="13"/>
      <c r="V19" s="19">
        <f>IF(T$12=0,0,T19/T$12)</f>
        <v>0</v>
      </c>
      <c r="W19" s="16"/>
      <c r="X19" s="21">
        <f>+P19-T19</f>
        <v>0</v>
      </c>
      <c r="Y19" s="16"/>
      <c r="Z19" s="19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20">
        <f>SUM(OSRRefD22x_0)</f>
        <v>11318.36</v>
      </c>
      <c r="E21" s="20"/>
      <c r="F21" s="30">
        <f t="shared" ref="F21:F30" si="14">IF(D$12=0,0,D21/D$12)</f>
        <v>0</v>
      </c>
      <c r="G21" s="20"/>
      <c r="H21" s="20">
        <f>SUM(OSRRefH22x_0)</f>
        <v>7384.333333333333</v>
      </c>
      <c r="I21" s="20"/>
      <c r="J21" s="30">
        <f t="shared" ref="J21:J30" si="15">IF(H$12=0,0,H21/H$12)</f>
        <v>0</v>
      </c>
      <c r="K21" s="4"/>
      <c r="L21" s="20">
        <f t="shared" ref="L21:L30" si="16">+D21-H21</f>
        <v>3934.0266666666676</v>
      </c>
      <c r="M21" s="4"/>
      <c r="N21" s="30">
        <f t="shared" ref="N21:N30" si="17">IF(H21=0,0,L21/H21)</f>
        <v>0.53275312598745106</v>
      </c>
      <c r="O21" s="10"/>
      <c r="P21" s="20">
        <f>SUM(OSRRefP22x_0)</f>
        <v>45190.04</v>
      </c>
      <c r="Q21" s="20"/>
      <c r="R21" s="30">
        <f t="shared" ref="R21:R30" si="18">IF(P$12=0,0,P21/P$12)</f>
        <v>0</v>
      </c>
      <c r="S21" s="20"/>
      <c r="T21" s="20">
        <f>SUM(OSRRefT22x_0)</f>
        <v>44597</v>
      </c>
      <c r="U21" s="20"/>
      <c r="V21" s="30">
        <f t="shared" ref="V21:V30" si="19">IF(T$12=0,0,T21/T$12)</f>
        <v>0</v>
      </c>
      <c r="W21" s="4"/>
      <c r="X21" s="20">
        <f t="shared" ref="X21:X30" si="20">+P21-T21</f>
        <v>593.04000000000087</v>
      </c>
      <c r="Y21" s="4"/>
      <c r="Z21" s="30">
        <f t="shared" ref="Z21:Z30" si="21">IF(T21=0,0,X21/T21)</f>
        <v>1.3297755454402782E-2</v>
      </c>
    </row>
    <row r="22" spans="1:26" s="28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4"/>
      <c r="P22" s="1">
        <f>SUM(OSRRefP22_0x_0)</f>
        <v>0.83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0.83</v>
      </c>
      <c r="Y22" s="1"/>
      <c r="Z22" s="5">
        <f t="shared" si="21"/>
        <v>0</v>
      </c>
    </row>
    <row r="23" spans="1:26" s="24" customFormat="1" hidden="1" outlineLevel="2" x14ac:dyDescent="0.25">
      <c r="A23" s="29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4"/>
        <v>0</v>
      </c>
      <c r="G23" s="2"/>
      <c r="H23" s="7">
        <v>0</v>
      </c>
      <c r="I23" s="2"/>
      <c r="J23" s="6">
        <f t="shared" si="15"/>
        <v>0</v>
      </c>
      <c r="K23" s="2"/>
      <c r="L23" s="7">
        <f t="shared" si="16"/>
        <v>0</v>
      </c>
      <c r="M23" s="2"/>
      <c r="N23" s="6">
        <f t="shared" si="17"/>
        <v>0</v>
      </c>
      <c r="O23" s="11"/>
      <c r="P23" s="7">
        <v>0.83</v>
      </c>
      <c r="Q23" s="2"/>
      <c r="R23" s="6">
        <f t="shared" si="18"/>
        <v>0</v>
      </c>
      <c r="S23" s="2"/>
      <c r="T23" s="7">
        <v>0</v>
      </c>
      <c r="U23" s="2"/>
      <c r="V23" s="6">
        <f t="shared" si="19"/>
        <v>0</v>
      </c>
      <c r="W23" s="2"/>
      <c r="X23" s="7">
        <f t="shared" si="20"/>
        <v>0.83</v>
      </c>
      <c r="Y23" s="2"/>
      <c r="Z23" s="6">
        <f t="shared" si="21"/>
        <v>0</v>
      </c>
    </row>
    <row r="24" spans="1:26" s="24" customFormat="1" hidden="1" outlineLevel="2" x14ac:dyDescent="0.25">
      <c r="A24" s="29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4"/>
        <v>0</v>
      </c>
      <c r="G24" s="2"/>
      <c r="H24" s="7">
        <v>0</v>
      </c>
      <c r="I24" s="2"/>
      <c r="J24" s="6">
        <f t="shared" si="15"/>
        <v>0</v>
      </c>
      <c r="K24" s="2"/>
      <c r="L24" s="7">
        <f t="shared" si="16"/>
        <v>0</v>
      </c>
      <c r="M24" s="2"/>
      <c r="N24" s="6">
        <f t="shared" si="17"/>
        <v>0</v>
      </c>
      <c r="O24" s="11"/>
      <c r="P24" s="7"/>
      <c r="Q24" s="2"/>
      <c r="R24" s="6">
        <f t="shared" si="18"/>
        <v>0</v>
      </c>
      <c r="S24" s="2"/>
      <c r="T24" s="7">
        <v>0</v>
      </c>
      <c r="U24" s="2"/>
      <c r="V24" s="6">
        <f t="shared" si="19"/>
        <v>0</v>
      </c>
      <c r="W24" s="2"/>
      <c r="X24" s="7">
        <f t="shared" si="20"/>
        <v>0</v>
      </c>
      <c r="Y24" s="2"/>
      <c r="Z24" s="6">
        <f t="shared" si="21"/>
        <v>0</v>
      </c>
    </row>
    <row r="25" spans="1:26" s="24" customFormat="1" hidden="1" outlineLevel="2" x14ac:dyDescent="0.25">
      <c r="A25" s="29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/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0</v>
      </c>
      <c r="Y25" s="2"/>
      <c r="Z25" s="6">
        <f t="shared" si="21"/>
        <v>0</v>
      </c>
    </row>
    <row r="26" spans="1:26" s="24" customFormat="1" hidden="1" outlineLevel="2" x14ac:dyDescent="0.2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4"/>
        <v>0</v>
      </c>
      <c r="G26" s="2"/>
      <c r="H26" s="7">
        <v>0</v>
      </c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/>
      <c r="Q26" s="2"/>
      <c r="R26" s="6">
        <f t="shared" si="18"/>
        <v>0</v>
      </c>
      <c r="S26" s="2"/>
      <c r="T26" s="7">
        <v>0</v>
      </c>
      <c r="U26" s="2"/>
      <c r="V26" s="6">
        <f t="shared" si="19"/>
        <v>0</v>
      </c>
      <c r="W26" s="2"/>
      <c r="X26" s="7">
        <f t="shared" si="20"/>
        <v>0</v>
      </c>
      <c r="Y26" s="2"/>
      <c r="Z26" s="6">
        <f t="shared" si="21"/>
        <v>0</v>
      </c>
    </row>
    <row r="27" spans="1:26" s="24" customFormat="1" hidden="1" outlineLevel="2" x14ac:dyDescent="0.25">
      <c r="A27" s="29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/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0</v>
      </c>
      <c r="Y27" s="2"/>
      <c r="Z27" s="6">
        <f t="shared" si="21"/>
        <v>0</v>
      </c>
    </row>
    <row r="28" spans="1:26" s="24" customFormat="1" hidden="1" outlineLevel="2" x14ac:dyDescent="0.25">
      <c r="A28" s="29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/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0</v>
      </c>
      <c r="Y29" s="2"/>
      <c r="Z29" s="6">
        <f t="shared" si="21"/>
        <v>0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/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0</v>
      </c>
      <c r="Y30" s="2"/>
      <c r="Z30" s="6">
        <f t="shared" si="21"/>
        <v>0</v>
      </c>
    </row>
    <row r="31" spans="1:26" s="28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2">IF(D$12=0,0,D31/D$12)</f>
        <v>0</v>
      </c>
      <c r="G31" s="1"/>
      <c r="H31" s="1">
        <f>SUM(OSRRefH22_1x_0)</f>
        <v>0</v>
      </c>
      <c r="I31" s="1"/>
      <c r="J31" s="5">
        <f t="shared" ref="J31:J41" si="23">IF(H$12=0,0,H31/H$12)</f>
        <v>0</v>
      </c>
      <c r="K31" s="1"/>
      <c r="L31" s="1">
        <f t="shared" ref="L31:L41" si="24">+D31-H31</f>
        <v>0</v>
      </c>
      <c r="M31" s="1"/>
      <c r="N31" s="5">
        <f t="shared" ref="N31:N41" si="25">IF(H31=0,0,L31/H31)</f>
        <v>0</v>
      </c>
      <c r="O31" s="14"/>
      <c r="P31" s="1">
        <f>SUM(OSRRefP22_1x_0)</f>
        <v>0</v>
      </c>
      <c r="Q31" s="1"/>
      <c r="R31" s="5">
        <f t="shared" ref="R31:R41" si="26">IF(P$12=0,0,P31/P$12)</f>
        <v>0</v>
      </c>
      <c r="S31" s="1"/>
      <c r="T31" s="1">
        <f>SUM(OSRRefT22_1x_0)</f>
        <v>0</v>
      </c>
      <c r="U31" s="1"/>
      <c r="V31" s="5">
        <f t="shared" ref="V31:V41" si="27">IF(T$12=0,0,T31/T$12)</f>
        <v>0</v>
      </c>
      <c r="W31" s="1"/>
      <c r="X31" s="1">
        <f t="shared" ref="X31:X41" si="28">+P31-T31</f>
        <v>0</v>
      </c>
      <c r="Y31" s="1"/>
      <c r="Z31" s="5">
        <f t="shared" ref="Z31:Z41" si="29">IF(T31=0,0,X31/T31)</f>
        <v>0</v>
      </c>
    </row>
    <row r="32" spans="1:26" s="24" customFormat="1" hidden="1" outlineLevel="2" x14ac:dyDescent="0.25">
      <c r="A32" s="29"/>
      <c r="B32" s="11" t="str">
        <f>CONCATENATE("          ", "6001", " - ", "ADMINISTRATIVE SALARIES")</f>
        <v xml:space="preserve">          6001 - ADMINISTRATIVE SALARIES</v>
      </c>
      <c r="C32" s="11"/>
      <c r="D32" s="7"/>
      <c r="E32" s="2"/>
      <c r="F32" s="6">
        <f t="shared" si="22"/>
        <v>0</v>
      </c>
      <c r="G32" s="2"/>
      <c r="H32" s="7">
        <v>0</v>
      </c>
      <c r="I32" s="2"/>
      <c r="J32" s="6">
        <f t="shared" si="23"/>
        <v>0</v>
      </c>
      <c r="K32" s="2"/>
      <c r="L32" s="7">
        <f t="shared" si="24"/>
        <v>0</v>
      </c>
      <c r="M32" s="2"/>
      <c r="N32" s="6">
        <f t="shared" si="25"/>
        <v>0</v>
      </c>
      <c r="O32" s="11"/>
      <c r="P32" s="7"/>
      <c r="Q32" s="2"/>
      <c r="R32" s="6">
        <f t="shared" si="26"/>
        <v>0</v>
      </c>
      <c r="S32" s="2"/>
      <c r="T32" s="7">
        <v>0</v>
      </c>
      <c r="U32" s="2"/>
      <c r="V32" s="6">
        <f t="shared" si="27"/>
        <v>0</v>
      </c>
      <c r="W32" s="2"/>
      <c r="X32" s="7">
        <f t="shared" si="28"/>
        <v>0</v>
      </c>
      <c r="Y32" s="2"/>
      <c r="Z32" s="6">
        <f t="shared" si="29"/>
        <v>0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/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0</v>
      </c>
      <c r="Y33" s="2"/>
      <c r="Z33" s="6">
        <f t="shared" si="29"/>
        <v>0</v>
      </c>
    </row>
    <row r="34" spans="1:26" s="24" customFormat="1" hidden="1" outlineLevel="2" x14ac:dyDescent="0.25">
      <c r="A34" s="29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9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25">
      <c r="A36" s="29"/>
      <c r="B36" s="11" t="str">
        <f>CONCATENATE("          ", "6005", " - ", "TEMPORARY WAGES-HOURLY")</f>
        <v xml:space="preserve">          6005 - TEMPORARY WAGES-HOURLY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9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9"/>
      <c r="B38" s="11" t="str">
        <f>CONCATENATE("          ", "6007", " - ", "STUDENT HOURLY")</f>
        <v xml:space="preserve">          6007 - STUDENT HOURLY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2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9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25">
      <c r="A41" s="29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8" customFormat="1" outlineLevel="1" collapsed="1" x14ac:dyDescent="0.25">
      <c r="A42" s="27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SUM(OSRRefD22_2x_0)</f>
        <v>0</v>
      </c>
      <c r="E42" s="1"/>
      <c r="F42" s="5">
        <f t="shared" ref="F42:F48" si="30">IF(D$12=0,0,D42/D$12)</f>
        <v>0</v>
      </c>
      <c r="G42" s="1"/>
      <c r="H42" s="1">
        <f>SUM(OSRRefH22_2x_0)</f>
        <v>0</v>
      </c>
      <c r="I42" s="1"/>
      <c r="J42" s="5">
        <f t="shared" ref="J42:J48" si="31">IF(H$12=0,0,H42/H$12)</f>
        <v>0</v>
      </c>
      <c r="K42" s="1"/>
      <c r="L42" s="1">
        <f t="shared" ref="L42:L48" si="32">+D42-H42</f>
        <v>0</v>
      </c>
      <c r="M42" s="1"/>
      <c r="N42" s="5">
        <f t="shared" ref="N42:N48" si="33">IF(H42=0,0,L42/H42)</f>
        <v>0</v>
      </c>
      <c r="O42" s="14"/>
      <c r="P42" s="1">
        <f>SUM(OSRRefP22_2x_0)</f>
        <v>0</v>
      </c>
      <c r="Q42" s="1"/>
      <c r="R42" s="5">
        <f t="shared" ref="R42:R48" si="34">IF(P$12=0,0,P42/P$12)</f>
        <v>0</v>
      </c>
      <c r="S42" s="1"/>
      <c r="T42" s="1">
        <f>SUM(OSRRefT22_2x_0)</f>
        <v>0</v>
      </c>
      <c r="U42" s="1"/>
      <c r="V42" s="5">
        <f t="shared" ref="V42:V48" si="35">IF(T$12=0,0,T42/T$12)</f>
        <v>0</v>
      </c>
      <c r="W42" s="1"/>
      <c r="X42" s="1">
        <f t="shared" ref="X42:X48" si="36">+P42-T42</f>
        <v>0</v>
      </c>
      <c r="Y42" s="1"/>
      <c r="Z42" s="5">
        <f t="shared" ref="Z42:Z48" si="37">IF(T42=0,0,X42/T42)</f>
        <v>0</v>
      </c>
    </row>
    <row r="43" spans="1:26" s="24" customFormat="1" hidden="1" outlineLevel="2" x14ac:dyDescent="0.25">
      <c r="A43" s="29"/>
      <c r="B43" s="11" t="str">
        <f>CONCATENATE("          ", "6272", " - ", "CASH (OVER/SHORT)")</f>
        <v xml:space="preserve">          6272 - CASH (OVER/SHORT)</v>
      </c>
      <c r="C43" s="11"/>
      <c r="D43" s="7"/>
      <c r="E43" s="2"/>
      <c r="F43" s="6">
        <f t="shared" si="30"/>
        <v>0</v>
      </c>
      <c r="G43" s="2"/>
      <c r="H43" s="7">
        <v>0</v>
      </c>
      <c r="I43" s="2"/>
      <c r="J43" s="6">
        <f t="shared" si="31"/>
        <v>0</v>
      </c>
      <c r="K43" s="2"/>
      <c r="L43" s="7">
        <f t="shared" si="32"/>
        <v>0</v>
      </c>
      <c r="M43" s="2"/>
      <c r="N43" s="6">
        <f t="shared" si="33"/>
        <v>0</v>
      </c>
      <c r="O43" s="11"/>
      <c r="P43" s="7"/>
      <c r="Q43" s="2"/>
      <c r="R43" s="6">
        <f t="shared" si="34"/>
        <v>0</v>
      </c>
      <c r="S43" s="2"/>
      <c r="T43" s="7">
        <v>0</v>
      </c>
      <c r="U43" s="2"/>
      <c r="V43" s="6">
        <f t="shared" si="35"/>
        <v>0</v>
      </c>
      <c r="W43" s="2"/>
      <c r="X43" s="7">
        <f t="shared" si="36"/>
        <v>0</v>
      </c>
      <c r="Y43" s="2"/>
      <c r="Z43" s="6">
        <f t="shared" si="37"/>
        <v>0</v>
      </c>
    </row>
    <row r="44" spans="1:26" s="28" customFormat="1" outlineLevel="1" collapsed="1" x14ac:dyDescent="0.2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0</v>
      </c>
      <c r="E44" s="1"/>
      <c r="F44" s="5">
        <f t="shared" si="30"/>
        <v>0</v>
      </c>
      <c r="G44" s="1"/>
      <c r="H44" s="1">
        <f>SUM(OSRRefH22_3x_0)</f>
        <v>0</v>
      </c>
      <c r="I44" s="1"/>
      <c r="J44" s="5">
        <f t="shared" si="31"/>
        <v>0</v>
      </c>
      <c r="K44" s="1"/>
      <c r="L44" s="1">
        <f t="shared" si="32"/>
        <v>0</v>
      </c>
      <c r="M44" s="1"/>
      <c r="N44" s="5">
        <f t="shared" si="33"/>
        <v>0</v>
      </c>
      <c r="O44" s="14"/>
      <c r="P44" s="1">
        <f>SUM(OSRRefP22_3x_0)</f>
        <v>0</v>
      </c>
      <c r="Q44" s="1"/>
      <c r="R44" s="5">
        <f t="shared" si="34"/>
        <v>0</v>
      </c>
      <c r="S44" s="1"/>
      <c r="T44" s="1">
        <f>SUM(OSRRefT22_3x_0)</f>
        <v>0</v>
      </c>
      <c r="U44" s="1"/>
      <c r="V44" s="5">
        <f t="shared" si="35"/>
        <v>0</v>
      </c>
      <c r="W44" s="1"/>
      <c r="X44" s="1">
        <f t="shared" si="36"/>
        <v>0</v>
      </c>
      <c r="Y44" s="1"/>
      <c r="Z44" s="5">
        <f t="shared" si="37"/>
        <v>0</v>
      </c>
    </row>
    <row r="45" spans="1:26" s="24" customFormat="1" hidden="1" outlineLevel="2" x14ac:dyDescent="0.25">
      <c r="A45" s="29"/>
      <c r="B45" s="11" t="str">
        <f>CONCATENATE("          ", "6381", " - ", "BANK/CREDIT CARD FEES")</f>
        <v xml:space="preserve">          6381 - BANK/CREDIT CARD FEES</v>
      </c>
      <c r="C45" s="11"/>
      <c r="D45" s="7"/>
      <c r="E45" s="2"/>
      <c r="F45" s="6">
        <f t="shared" si="30"/>
        <v>0</v>
      </c>
      <c r="G45" s="2"/>
      <c r="H45" s="7">
        <v>0</v>
      </c>
      <c r="I45" s="2"/>
      <c r="J45" s="6">
        <f t="shared" si="31"/>
        <v>0</v>
      </c>
      <c r="K45" s="2"/>
      <c r="L45" s="7">
        <f t="shared" si="32"/>
        <v>0</v>
      </c>
      <c r="M45" s="2"/>
      <c r="N45" s="6">
        <f t="shared" si="33"/>
        <v>0</v>
      </c>
      <c r="O45" s="11"/>
      <c r="P45" s="7"/>
      <c r="Q45" s="2"/>
      <c r="R45" s="6">
        <f t="shared" si="34"/>
        <v>0</v>
      </c>
      <c r="S45" s="2"/>
      <c r="T45" s="7">
        <v>0</v>
      </c>
      <c r="U45" s="2"/>
      <c r="V45" s="6">
        <f t="shared" si="35"/>
        <v>0</v>
      </c>
      <c r="W45" s="2"/>
      <c r="X45" s="7">
        <f t="shared" si="36"/>
        <v>0</v>
      </c>
      <c r="Y45" s="2"/>
      <c r="Z45" s="6">
        <f t="shared" si="37"/>
        <v>0</v>
      </c>
    </row>
    <row r="46" spans="1:26" s="28" customFormat="1" outlineLevel="1" collapsed="1" x14ac:dyDescent="0.25">
      <c r="A46" s="27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SUM(OSRRefD22_4x_0)</f>
        <v>5233.01</v>
      </c>
      <c r="E46" s="1"/>
      <c r="F46" s="5">
        <f t="shared" si="30"/>
        <v>0</v>
      </c>
      <c r="G46" s="1"/>
      <c r="H46" s="1">
        <f>SUM(OSRRefH22_4x_0)</f>
        <v>5233</v>
      </c>
      <c r="I46" s="1"/>
      <c r="J46" s="5">
        <f t="shared" si="31"/>
        <v>0</v>
      </c>
      <c r="K46" s="1"/>
      <c r="L46" s="1">
        <f t="shared" si="32"/>
        <v>1.0000000000218279E-2</v>
      </c>
      <c r="M46" s="1"/>
      <c r="N46" s="5">
        <f t="shared" si="33"/>
        <v>1.910949742063497E-6</v>
      </c>
      <c r="O46" s="14"/>
      <c r="P46" s="1">
        <f>SUM(OSRRefP22_4x_0)</f>
        <v>31689.18</v>
      </c>
      <c r="Q46" s="1"/>
      <c r="R46" s="5">
        <f t="shared" si="34"/>
        <v>0</v>
      </c>
      <c r="S46" s="1"/>
      <c r="T46" s="1">
        <f>SUM(OSRRefT22_4x_0)</f>
        <v>31689</v>
      </c>
      <c r="U46" s="1"/>
      <c r="V46" s="5">
        <f t="shared" si="35"/>
        <v>0</v>
      </c>
      <c r="W46" s="1"/>
      <c r="X46" s="1">
        <f t="shared" si="36"/>
        <v>0.18000000000029104</v>
      </c>
      <c r="Y46" s="1"/>
      <c r="Z46" s="5">
        <f t="shared" si="37"/>
        <v>5.6802044873707295E-6</v>
      </c>
    </row>
    <row r="47" spans="1:26" s="24" customFormat="1" hidden="1" outlineLevel="2" x14ac:dyDescent="0.25">
      <c r="A47" s="29"/>
      <c r="B47" s="11" t="str">
        <f>CONCATENATE("          ", "6321", " - ", "BUILDING DEPRECIATION")</f>
        <v xml:space="preserve">          6321 - BUILDING DEPRECIATION</v>
      </c>
      <c r="C47" s="11"/>
      <c r="D47" s="7">
        <v>4626.5</v>
      </c>
      <c r="E47" s="2"/>
      <c r="F47" s="6">
        <f t="shared" si="30"/>
        <v>0</v>
      </c>
      <c r="G47" s="2"/>
      <c r="H47" s="7"/>
      <c r="I47" s="2"/>
      <c r="J47" s="6">
        <f t="shared" si="31"/>
        <v>0</v>
      </c>
      <c r="K47" s="2"/>
      <c r="L47" s="7">
        <f t="shared" si="32"/>
        <v>4626.5</v>
      </c>
      <c r="M47" s="2"/>
      <c r="N47" s="6">
        <f t="shared" si="33"/>
        <v>0</v>
      </c>
      <c r="O47" s="11"/>
      <c r="P47" s="7">
        <v>27759</v>
      </c>
      <c r="Q47" s="2"/>
      <c r="R47" s="6">
        <f t="shared" si="34"/>
        <v>0</v>
      </c>
      <c r="S47" s="2"/>
      <c r="T47" s="7"/>
      <c r="U47" s="2"/>
      <c r="V47" s="6">
        <f t="shared" si="35"/>
        <v>0</v>
      </c>
      <c r="W47" s="2"/>
      <c r="X47" s="7">
        <f t="shared" si="36"/>
        <v>27759</v>
      </c>
      <c r="Y47" s="2"/>
      <c r="Z47" s="6">
        <f t="shared" si="37"/>
        <v>0</v>
      </c>
    </row>
    <row r="48" spans="1:26" s="24" customFormat="1" hidden="1" outlineLevel="2" x14ac:dyDescent="0.25">
      <c r="A48" s="29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606.51</v>
      </c>
      <c r="E48" s="2"/>
      <c r="F48" s="6">
        <f t="shared" si="30"/>
        <v>0</v>
      </c>
      <c r="G48" s="2"/>
      <c r="H48" s="7">
        <v>5233</v>
      </c>
      <c r="I48" s="2"/>
      <c r="J48" s="6">
        <f t="shared" si="31"/>
        <v>0</v>
      </c>
      <c r="K48" s="2"/>
      <c r="L48" s="7">
        <f t="shared" si="32"/>
        <v>-4626.49</v>
      </c>
      <c r="M48" s="2"/>
      <c r="N48" s="6">
        <f t="shared" si="33"/>
        <v>-0.88409898719663671</v>
      </c>
      <c r="O48" s="11"/>
      <c r="P48" s="7">
        <v>3930.18</v>
      </c>
      <c r="Q48" s="2"/>
      <c r="R48" s="6">
        <f t="shared" si="34"/>
        <v>0</v>
      </c>
      <c r="S48" s="2"/>
      <c r="T48" s="7">
        <v>31689</v>
      </c>
      <c r="U48" s="2"/>
      <c r="V48" s="6">
        <f t="shared" si="35"/>
        <v>0</v>
      </c>
      <c r="W48" s="2"/>
      <c r="X48" s="7">
        <f t="shared" si="36"/>
        <v>-27758.82</v>
      </c>
      <c r="Y48" s="2"/>
      <c r="Z48" s="6">
        <f t="shared" si="37"/>
        <v>-0.87597652182145225</v>
      </c>
    </row>
    <row r="49" spans="1:26" s="28" customFormat="1" outlineLevel="1" collapsed="1" x14ac:dyDescent="0.25">
      <c r="A49" s="27"/>
      <c r="B49" s="14" t="str">
        <f>CONCATENATE("     ","Employees' Appreciation                           ")</f>
        <v xml:space="preserve">     Employees' Appreciation                           </v>
      </c>
      <c r="C49" s="14"/>
      <c r="D49" s="1">
        <f>SUM(OSRRefD22_5x_0)</f>
        <v>0</v>
      </c>
      <c r="E49" s="1"/>
      <c r="F49" s="5">
        <f t="shared" ref="F49:F59" si="38">IF(D$12=0,0,D49/D$12)</f>
        <v>0</v>
      </c>
      <c r="G49" s="1"/>
      <c r="H49" s="1">
        <f>SUM(OSRRefH22_5x_0)</f>
        <v>0</v>
      </c>
      <c r="I49" s="1"/>
      <c r="J49" s="5">
        <f t="shared" ref="J49:J59" si="39">IF(H$12=0,0,H49/H$12)</f>
        <v>0</v>
      </c>
      <c r="K49" s="1"/>
      <c r="L49" s="1">
        <f t="shared" ref="L49:L59" si="40">+D49-H49</f>
        <v>0</v>
      </c>
      <c r="M49" s="1"/>
      <c r="N49" s="5">
        <f t="shared" ref="N49:N59" si="41">IF(H49=0,0,L49/H49)</f>
        <v>0</v>
      </c>
      <c r="O49" s="14"/>
      <c r="P49" s="1">
        <f>SUM(OSRRefP22_5x_0)</f>
        <v>0</v>
      </c>
      <c r="Q49" s="1"/>
      <c r="R49" s="5">
        <f t="shared" ref="R49:R59" si="42">IF(P$12=0,0,P49/P$12)</f>
        <v>0</v>
      </c>
      <c r="S49" s="1"/>
      <c r="T49" s="1">
        <f>SUM(OSRRefT22_5x_0)</f>
        <v>0</v>
      </c>
      <c r="U49" s="1"/>
      <c r="V49" s="5">
        <f t="shared" ref="V49:V59" si="43">IF(T$12=0,0,T49/T$12)</f>
        <v>0</v>
      </c>
      <c r="W49" s="1"/>
      <c r="X49" s="1">
        <f t="shared" ref="X49:X59" si="44">+P49-T49</f>
        <v>0</v>
      </c>
      <c r="Y49" s="1"/>
      <c r="Z49" s="5">
        <f t="shared" ref="Z49:Z59" si="45">IF(T49=0,0,X49/T49)</f>
        <v>0</v>
      </c>
    </row>
    <row r="50" spans="1:26" s="24" customFormat="1" hidden="1" outlineLevel="2" x14ac:dyDescent="0.25">
      <c r="A50" s="29"/>
      <c r="B50" s="11" t="str">
        <f>CONCATENATE("          ", "6277", " - ", "EMPLOYEE APPRECIATION")</f>
        <v xml:space="preserve">          6277 - EMPLOYEE APPRECIATION</v>
      </c>
      <c r="C50" s="11"/>
      <c r="D50" s="7"/>
      <c r="E50" s="2"/>
      <c r="F50" s="6">
        <f t="shared" si="38"/>
        <v>0</v>
      </c>
      <c r="G50" s="2"/>
      <c r="H50" s="7">
        <v>0</v>
      </c>
      <c r="I50" s="2"/>
      <c r="J50" s="6">
        <f t="shared" si="39"/>
        <v>0</v>
      </c>
      <c r="K50" s="2"/>
      <c r="L50" s="7">
        <f t="shared" si="40"/>
        <v>0</v>
      </c>
      <c r="M50" s="2"/>
      <c r="N50" s="6">
        <f t="shared" si="41"/>
        <v>0</v>
      </c>
      <c r="O50" s="11"/>
      <c r="P50" s="7"/>
      <c r="Q50" s="2"/>
      <c r="R50" s="6">
        <f t="shared" si="42"/>
        <v>0</v>
      </c>
      <c r="S50" s="2"/>
      <c r="T50" s="7">
        <v>0</v>
      </c>
      <c r="U50" s="2"/>
      <c r="V50" s="6">
        <f t="shared" si="43"/>
        <v>0</v>
      </c>
      <c r="W50" s="2"/>
      <c r="X50" s="7">
        <f t="shared" si="44"/>
        <v>0</v>
      </c>
      <c r="Y50" s="2"/>
      <c r="Z50" s="6">
        <f t="shared" si="45"/>
        <v>0</v>
      </c>
    </row>
    <row r="51" spans="1:26" s="28" customFormat="1" outlineLevel="1" collapsed="1" x14ac:dyDescent="0.25">
      <c r="A51" s="27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SUM(OSRRefD22_6x_0)</f>
        <v>0</v>
      </c>
      <c r="E51" s="1"/>
      <c r="F51" s="5">
        <f t="shared" si="38"/>
        <v>0</v>
      </c>
      <c r="G51" s="1"/>
      <c r="H51" s="1">
        <f>SUM(OSRRefH22_6x_0)</f>
        <v>208.333333333333</v>
      </c>
      <c r="I51" s="1"/>
      <c r="J51" s="5">
        <f t="shared" si="39"/>
        <v>0</v>
      </c>
      <c r="K51" s="1"/>
      <c r="L51" s="1">
        <f t="shared" si="40"/>
        <v>-208.333333333333</v>
      </c>
      <c r="M51" s="1"/>
      <c r="N51" s="5">
        <f t="shared" si="41"/>
        <v>-1</v>
      </c>
      <c r="O51" s="14"/>
      <c r="P51" s="1">
        <f>SUM(OSRRefP22_6x_0)</f>
        <v>96.3</v>
      </c>
      <c r="Q51" s="1"/>
      <c r="R51" s="5">
        <f t="shared" si="42"/>
        <v>0</v>
      </c>
      <c r="S51" s="1"/>
      <c r="T51" s="1">
        <f>SUM(OSRRefT22_6x_0)</f>
        <v>1249.999999999998</v>
      </c>
      <c r="U51" s="1"/>
      <c r="V51" s="5">
        <f t="shared" si="43"/>
        <v>0</v>
      </c>
      <c r="W51" s="1"/>
      <c r="X51" s="1">
        <f t="shared" si="44"/>
        <v>-1153.699999999998</v>
      </c>
      <c r="Y51" s="1"/>
      <c r="Z51" s="5">
        <f t="shared" si="45"/>
        <v>-0.92295999999999989</v>
      </c>
    </row>
    <row r="52" spans="1:26" s="24" customFormat="1" hidden="1" outlineLevel="2" x14ac:dyDescent="0.25">
      <c r="A52" s="29"/>
      <c r="B52" s="11" t="str">
        <f>CONCATENATE("          ", "6351", " - ", "EQUIPMENT RENTAL")</f>
        <v xml:space="preserve">          6351 - EQUIPMENT RENTAL</v>
      </c>
      <c r="C52" s="11"/>
      <c r="D52" s="7"/>
      <c r="E52" s="2"/>
      <c r="F52" s="6">
        <f t="shared" si="38"/>
        <v>0</v>
      </c>
      <c r="G52" s="2"/>
      <c r="H52" s="7">
        <v>208.333333333333</v>
      </c>
      <c r="I52" s="2"/>
      <c r="J52" s="6">
        <f t="shared" si="39"/>
        <v>0</v>
      </c>
      <c r="K52" s="2"/>
      <c r="L52" s="7">
        <f t="shared" si="40"/>
        <v>-208.333333333333</v>
      </c>
      <c r="M52" s="2"/>
      <c r="N52" s="6">
        <f t="shared" si="41"/>
        <v>-1</v>
      </c>
      <c r="O52" s="11"/>
      <c r="P52" s="7">
        <v>96.3</v>
      </c>
      <c r="Q52" s="2"/>
      <c r="R52" s="6">
        <f t="shared" si="42"/>
        <v>0</v>
      </c>
      <c r="S52" s="2"/>
      <c r="T52" s="7">
        <v>1249.999999999998</v>
      </c>
      <c r="U52" s="2"/>
      <c r="V52" s="6">
        <f t="shared" si="43"/>
        <v>0</v>
      </c>
      <c r="W52" s="2"/>
      <c r="X52" s="7">
        <f t="shared" si="44"/>
        <v>-1153.699999999998</v>
      </c>
      <c r="Y52" s="2"/>
      <c r="Z52" s="6">
        <f t="shared" si="45"/>
        <v>-0.92295999999999989</v>
      </c>
    </row>
    <row r="53" spans="1:26" s="28" customFormat="1" outlineLevel="1" collapsed="1" x14ac:dyDescent="0.25">
      <c r="A53" s="27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SUM(OSRRefD22_7x_0)</f>
        <v>0</v>
      </c>
      <c r="E53" s="1"/>
      <c r="F53" s="5">
        <f t="shared" si="38"/>
        <v>0</v>
      </c>
      <c r="G53" s="1"/>
      <c r="H53" s="1">
        <f>SUM(OSRRefH22_7x_0)</f>
        <v>0</v>
      </c>
      <c r="I53" s="1"/>
      <c r="J53" s="5">
        <f t="shared" si="39"/>
        <v>0</v>
      </c>
      <c r="K53" s="1"/>
      <c r="L53" s="1">
        <f t="shared" si="40"/>
        <v>0</v>
      </c>
      <c r="M53" s="1"/>
      <c r="N53" s="5">
        <f t="shared" si="41"/>
        <v>0</v>
      </c>
      <c r="O53" s="14"/>
      <c r="P53" s="1">
        <f>SUM(OSRRefP22_7x_0)</f>
        <v>0</v>
      </c>
      <c r="Q53" s="1"/>
      <c r="R53" s="5">
        <f t="shared" si="42"/>
        <v>0</v>
      </c>
      <c r="S53" s="1"/>
      <c r="T53" s="1">
        <f>SUM(OSRRefT22_7x_0)</f>
        <v>0</v>
      </c>
      <c r="U53" s="1"/>
      <c r="V53" s="5">
        <f t="shared" si="43"/>
        <v>0</v>
      </c>
      <c r="W53" s="1"/>
      <c r="X53" s="1">
        <f t="shared" si="44"/>
        <v>0</v>
      </c>
      <c r="Y53" s="1"/>
      <c r="Z53" s="5">
        <f t="shared" si="45"/>
        <v>0</v>
      </c>
    </row>
    <row r="54" spans="1:26" s="24" customFormat="1" hidden="1" outlineLevel="2" x14ac:dyDescent="0.25">
      <c r="A54" s="29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38"/>
        <v>0</v>
      </c>
      <c r="G54" s="2"/>
      <c r="H54" s="7">
        <v>0</v>
      </c>
      <c r="I54" s="2"/>
      <c r="J54" s="6">
        <f t="shared" si="39"/>
        <v>0</v>
      </c>
      <c r="K54" s="2"/>
      <c r="L54" s="7">
        <f t="shared" si="40"/>
        <v>0</v>
      </c>
      <c r="M54" s="2"/>
      <c r="N54" s="6">
        <f t="shared" si="41"/>
        <v>0</v>
      </c>
      <c r="O54" s="11"/>
      <c r="P54" s="7">
        <v>0</v>
      </c>
      <c r="Q54" s="2"/>
      <c r="R54" s="6">
        <f t="shared" si="42"/>
        <v>0</v>
      </c>
      <c r="S54" s="2"/>
      <c r="T54" s="7">
        <v>0</v>
      </c>
      <c r="U54" s="2"/>
      <c r="V54" s="6">
        <f t="shared" si="43"/>
        <v>0</v>
      </c>
      <c r="W54" s="2"/>
      <c r="X54" s="7">
        <f t="shared" si="44"/>
        <v>0</v>
      </c>
      <c r="Y54" s="2"/>
      <c r="Z54" s="6">
        <f t="shared" si="45"/>
        <v>0</v>
      </c>
    </row>
    <row r="55" spans="1:26" s="28" customFormat="1" outlineLevel="1" collapsed="1" x14ac:dyDescent="0.25">
      <c r="A55" s="27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5550</v>
      </c>
      <c r="E55" s="1"/>
      <c r="F55" s="5">
        <f t="shared" si="38"/>
        <v>0</v>
      </c>
      <c r="G55" s="1"/>
      <c r="H55" s="1">
        <f>SUM(OSRRefH22_8x_0)</f>
        <v>1943</v>
      </c>
      <c r="I55" s="1"/>
      <c r="J55" s="5">
        <f t="shared" si="39"/>
        <v>0</v>
      </c>
      <c r="K55" s="1"/>
      <c r="L55" s="1">
        <f t="shared" si="40"/>
        <v>3607</v>
      </c>
      <c r="M55" s="1"/>
      <c r="N55" s="5">
        <f t="shared" si="41"/>
        <v>1.856407617086979</v>
      </c>
      <c r="O55" s="14"/>
      <c r="P55" s="1">
        <f>SUM(OSRRefP22_8x_0)</f>
        <v>11100</v>
      </c>
      <c r="Q55" s="1"/>
      <c r="R55" s="5">
        <f t="shared" si="42"/>
        <v>0</v>
      </c>
      <c r="S55" s="1"/>
      <c r="T55" s="1">
        <f>SUM(OSRRefT22_8x_0)</f>
        <v>11658</v>
      </c>
      <c r="U55" s="1"/>
      <c r="V55" s="5">
        <f t="shared" si="43"/>
        <v>0</v>
      </c>
      <c r="W55" s="1"/>
      <c r="X55" s="1">
        <f t="shared" si="44"/>
        <v>-558</v>
      </c>
      <c r="Y55" s="1"/>
      <c r="Z55" s="5">
        <f t="shared" si="45"/>
        <v>-4.7864127637673698E-2</v>
      </c>
    </row>
    <row r="56" spans="1:26" s="24" customFormat="1" hidden="1" outlineLevel="2" x14ac:dyDescent="0.25">
      <c r="A56" s="29"/>
      <c r="B56" s="11" t="str">
        <f>CONCATENATE("          ", "6273", " - ", "RENT")</f>
        <v xml:space="preserve">          6273 - RENT</v>
      </c>
      <c r="C56" s="11"/>
      <c r="D56" s="7">
        <v>5550</v>
      </c>
      <c r="E56" s="2"/>
      <c r="F56" s="6">
        <f t="shared" si="38"/>
        <v>0</v>
      </c>
      <c r="G56" s="2"/>
      <c r="H56" s="7">
        <v>1943</v>
      </c>
      <c r="I56" s="2"/>
      <c r="J56" s="6">
        <f t="shared" si="39"/>
        <v>0</v>
      </c>
      <c r="K56" s="2"/>
      <c r="L56" s="7">
        <f t="shared" si="40"/>
        <v>3607</v>
      </c>
      <c r="M56" s="2"/>
      <c r="N56" s="6">
        <f t="shared" si="41"/>
        <v>1.856407617086979</v>
      </c>
      <c r="O56" s="11"/>
      <c r="P56" s="7">
        <v>11100</v>
      </c>
      <c r="Q56" s="2"/>
      <c r="R56" s="6">
        <f t="shared" si="42"/>
        <v>0</v>
      </c>
      <c r="S56" s="2"/>
      <c r="T56" s="7">
        <v>11658</v>
      </c>
      <c r="U56" s="2"/>
      <c r="V56" s="6">
        <f t="shared" si="43"/>
        <v>0</v>
      </c>
      <c r="W56" s="2"/>
      <c r="X56" s="7">
        <f t="shared" si="44"/>
        <v>-558</v>
      </c>
      <c r="Y56" s="2"/>
      <c r="Z56" s="6">
        <f t="shared" si="45"/>
        <v>-4.7864127637673698E-2</v>
      </c>
    </row>
    <row r="57" spans="1:26" s="28" customFormat="1" outlineLevel="1" collapsed="1" x14ac:dyDescent="0.25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72.349999999999994</v>
      </c>
      <c r="E57" s="1"/>
      <c r="F57" s="5">
        <f t="shared" si="38"/>
        <v>0</v>
      </c>
      <c r="G57" s="1"/>
      <c r="H57" s="1">
        <f>SUM(OSRRefH22_9x_0)</f>
        <v>0</v>
      </c>
      <c r="I57" s="1"/>
      <c r="J57" s="5">
        <f t="shared" si="39"/>
        <v>0</v>
      </c>
      <c r="K57" s="1"/>
      <c r="L57" s="1">
        <f t="shared" si="40"/>
        <v>72.349999999999994</v>
      </c>
      <c r="M57" s="1"/>
      <c r="N57" s="5">
        <f t="shared" si="41"/>
        <v>0</v>
      </c>
      <c r="O57" s="14"/>
      <c r="P57" s="1">
        <f>SUM(OSRRefP22_9x_0)</f>
        <v>765.3</v>
      </c>
      <c r="Q57" s="1"/>
      <c r="R57" s="5">
        <f t="shared" si="42"/>
        <v>0</v>
      </c>
      <c r="S57" s="1"/>
      <c r="T57" s="1">
        <f>SUM(OSRRefT22_9x_0)</f>
        <v>0</v>
      </c>
      <c r="U57" s="1"/>
      <c r="V57" s="5">
        <f t="shared" si="43"/>
        <v>0</v>
      </c>
      <c r="W57" s="1"/>
      <c r="X57" s="1">
        <f t="shared" si="44"/>
        <v>765.3</v>
      </c>
      <c r="Y57" s="1"/>
      <c r="Z57" s="5">
        <f t="shared" si="45"/>
        <v>0</v>
      </c>
    </row>
    <row r="58" spans="1:26" s="24" customFormat="1" hidden="1" outlineLevel="2" x14ac:dyDescent="0.25">
      <c r="A58" s="29"/>
      <c r="B58" s="11" t="str">
        <f>CONCATENATE("          ", "6373", " - ", "MAINTENANCE CONTRACTS")</f>
        <v xml:space="preserve">          6373 - MAINTENANCE CONTRACTS</v>
      </c>
      <c r="C58" s="11"/>
      <c r="D58" s="7">
        <v>72.349999999999994</v>
      </c>
      <c r="E58" s="2"/>
      <c r="F58" s="6">
        <f t="shared" si="38"/>
        <v>0</v>
      </c>
      <c r="G58" s="2"/>
      <c r="H58" s="7">
        <v>0</v>
      </c>
      <c r="I58" s="2"/>
      <c r="J58" s="6">
        <f t="shared" si="39"/>
        <v>0</v>
      </c>
      <c r="K58" s="2"/>
      <c r="L58" s="7">
        <f t="shared" si="40"/>
        <v>72.349999999999994</v>
      </c>
      <c r="M58" s="2"/>
      <c r="N58" s="6">
        <f t="shared" si="41"/>
        <v>0</v>
      </c>
      <c r="O58" s="11"/>
      <c r="P58" s="7">
        <v>223.3</v>
      </c>
      <c r="Q58" s="2"/>
      <c r="R58" s="6">
        <f t="shared" si="42"/>
        <v>0</v>
      </c>
      <c r="S58" s="2"/>
      <c r="T58" s="7">
        <v>0</v>
      </c>
      <c r="U58" s="2"/>
      <c r="V58" s="6">
        <f t="shared" si="43"/>
        <v>0</v>
      </c>
      <c r="W58" s="2"/>
      <c r="X58" s="7">
        <f t="shared" si="44"/>
        <v>223.3</v>
      </c>
      <c r="Y58" s="2"/>
      <c r="Z58" s="6">
        <f t="shared" si="45"/>
        <v>0</v>
      </c>
    </row>
    <row r="59" spans="1:26" s="24" customFormat="1" hidden="1" outlineLevel="2" x14ac:dyDescent="0.25">
      <c r="A59" s="29"/>
      <c r="B59" s="11" t="str">
        <f>CONCATENATE("          ", "6375", " - ", "OUTSIDE REPAIRS &amp; MAINTENANCE")</f>
        <v xml:space="preserve">          6375 - OUTSIDE REPAIRS &amp; MAINTENANCE</v>
      </c>
      <c r="C59" s="11"/>
      <c r="D59" s="7"/>
      <c r="E59" s="2"/>
      <c r="F59" s="6">
        <f t="shared" si="38"/>
        <v>0</v>
      </c>
      <c r="G59" s="2"/>
      <c r="H59" s="7">
        <v>0</v>
      </c>
      <c r="I59" s="2"/>
      <c r="J59" s="6">
        <f t="shared" si="39"/>
        <v>0</v>
      </c>
      <c r="K59" s="2"/>
      <c r="L59" s="7">
        <f t="shared" si="40"/>
        <v>0</v>
      </c>
      <c r="M59" s="2"/>
      <c r="N59" s="6">
        <f t="shared" si="41"/>
        <v>0</v>
      </c>
      <c r="O59" s="11"/>
      <c r="P59" s="7">
        <v>542</v>
      </c>
      <c r="Q59" s="2"/>
      <c r="R59" s="6">
        <f t="shared" si="42"/>
        <v>0</v>
      </c>
      <c r="S59" s="2"/>
      <c r="T59" s="7">
        <v>0</v>
      </c>
      <c r="U59" s="2"/>
      <c r="V59" s="6">
        <f t="shared" si="43"/>
        <v>0</v>
      </c>
      <c r="W59" s="2"/>
      <c r="X59" s="7">
        <f t="shared" si="44"/>
        <v>542</v>
      </c>
      <c r="Y59" s="2"/>
      <c r="Z59" s="6">
        <f t="shared" si="45"/>
        <v>0</v>
      </c>
    </row>
    <row r="60" spans="1:26" s="28" customFormat="1" outlineLevel="1" collapsed="1" x14ac:dyDescent="0.25">
      <c r="A60" s="27"/>
      <c r="B60" s="14" t="str">
        <f>CONCATENATE("     ","Royalty &amp; Commissions                             ")</f>
        <v xml:space="preserve">     Royalty &amp; Commissions                             </v>
      </c>
      <c r="C60" s="14"/>
      <c r="D60" s="1">
        <f>SUM(OSRRefD22_10x_0)</f>
        <v>0</v>
      </c>
      <c r="E60" s="1"/>
      <c r="F60" s="5">
        <f t="shared" ref="F60:F66" si="46">IF(D$12=0,0,D60/D$12)</f>
        <v>0</v>
      </c>
      <c r="G60" s="1"/>
      <c r="H60" s="1">
        <f>SUM(OSRRefH22_10x_0)</f>
        <v>0</v>
      </c>
      <c r="I60" s="1"/>
      <c r="J60" s="5">
        <f t="shared" ref="J60:J66" si="47">IF(H$12=0,0,H60/H$12)</f>
        <v>0</v>
      </c>
      <c r="K60" s="1"/>
      <c r="L60" s="1">
        <f t="shared" ref="L60:L66" si="48">+D60-H60</f>
        <v>0</v>
      </c>
      <c r="M60" s="1"/>
      <c r="N60" s="5">
        <f t="shared" ref="N60:N66" si="49">IF(H60=0,0,L60/H60)</f>
        <v>0</v>
      </c>
      <c r="O60" s="14"/>
      <c r="P60" s="1">
        <f>SUM(OSRRefP22_10x_0)</f>
        <v>0</v>
      </c>
      <c r="Q60" s="1"/>
      <c r="R60" s="5">
        <f t="shared" ref="R60:R66" si="50">IF(P$12=0,0,P60/P$12)</f>
        <v>0</v>
      </c>
      <c r="S60" s="1"/>
      <c r="T60" s="1">
        <f>SUM(OSRRefT22_10x_0)</f>
        <v>0</v>
      </c>
      <c r="U60" s="1"/>
      <c r="V60" s="5">
        <f t="shared" ref="V60:V66" si="51">IF(T$12=0,0,T60/T$12)</f>
        <v>0</v>
      </c>
      <c r="W60" s="1"/>
      <c r="X60" s="1">
        <f t="shared" ref="X60:X66" si="52">+P60-T60</f>
        <v>0</v>
      </c>
      <c r="Y60" s="1"/>
      <c r="Z60" s="5">
        <f t="shared" ref="Z60:Z66" si="53">IF(T60=0,0,X60/T60)</f>
        <v>0</v>
      </c>
    </row>
    <row r="61" spans="1:26" s="24" customFormat="1" hidden="1" outlineLevel="2" x14ac:dyDescent="0.25">
      <c r="A61" s="29"/>
      <c r="B61" s="11" t="str">
        <f>CONCATENATE("          ", "6259", " - ", "ROYALTY &amp; COMMISSIONS")</f>
        <v xml:space="preserve">          6259 - ROYALTY &amp; COMMISSIONS</v>
      </c>
      <c r="C61" s="11"/>
      <c r="D61" s="7"/>
      <c r="E61" s="2"/>
      <c r="F61" s="6">
        <f t="shared" si="46"/>
        <v>0</v>
      </c>
      <c r="G61" s="2"/>
      <c r="H61" s="7">
        <v>0</v>
      </c>
      <c r="I61" s="2"/>
      <c r="J61" s="6">
        <f t="shared" si="47"/>
        <v>0</v>
      </c>
      <c r="K61" s="2"/>
      <c r="L61" s="7">
        <f t="shared" si="48"/>
        <v>0</v>
      </c>
      <c r="M61" s="2"/>
      <c r="N61" s="6">
        <f t="shared" si="49"/>
        <v>0</v>
      </c>
      <c r="O61" s="11"/>
      <c r="P61" s="7"/>
      <c r="Q61" s="2"/>
      <c r="R61" s="6">
        <f t="shared" si="50"/>
        <v>0</v>
      </c>
      <c r="S61" s="2"/>
      <c r="T61" s="7">
        <v>0</v>
      </c>
      <c r="U61" s="2"/>
      <c r="V61" s="6">
        <f t="shared" si="51"/>
        <v>0</v>
      </c>
      <c r="W61" s="2"/>
      <c r="X61" s="7">
        <f t="shared" si="52"/>
        <v>0</v>
      </c>
      <c r="Y61" s="2"/>
      <c r="Z61" s="6">
        <f t="shared" si="53"/>
        <v>0</v>
      </c>
    </row>
    <row r="62" spans="1:26" s="28" customFormat="1" outlineLevel="1" collapsed="1" x14ac:dyDescent="0.25">
      <c r="A62" s="27"/>
      <c r="B62" s="14" t="str">
        <f>CONCATENATE("     ","Services                                          ")</f>
        <v xml:space="preserve">     Services                                          </v>
      </c>
      <c r="C62" s="14"/>
      <c r="D62" s="1">
        <f>SUM(OSRRefD22_11x_0)</f>
        <v>115</v>
      </c>
      <c r="E62" s="1"/>
      <c r="F62" s="5">
        <f t="shared" si="46"/>
        <v>0</v>
      </c>
      <c r="G62" s="1"/>
      <c r="H62" s="1">
        <f>SUM(OSRRefH22_11x_0)</f>
        <v>0</v>
      </c>
      <c r="I62" s="1"/>
      <c r="J62" s="5">
        <f t="shared" si="47"/>
        <v>0</v>
      </c>
      <c r="K62" s="1"/>
      <c r="L62" s="1">
        <f t="shared" si="48"/>
        <v>115</v>
      </c>
      <c r="M62" s="1"/>
      <c r="N62" s="5">
        <f t="shared" si="49"/>
        <v>0</v>
      </c>
      <c r="O62" s="14"/>
      <c r="P62" s="1">
        <f>SUM(OSRRefP22_11x_0)</f>
        <v>345</v>
      </c>
      <c r="Q62" s="1"/>
      <c r="R62" s="5">
        <f t="shared" si="50"/>
        <v>0</v>
      </c>
      <c r="S62" s="1"/>
      <c r="T62" s="1">
        <f>SUM(OSRRefT22_11x_0)</f>
        <v>0</v>
      </c>
      <c r="U62" s="1"/>
      <c r="V62" s="5">
        <f t="shared" si="51"/>
        <v>0</v>
      </c>
      <c r="W62" s="1"/>
      <c r="X62" s="1">
        <f t="shared" si="52"/>
        <v>345</v>
      </c>
      <c r="Y62" s="1"/>
      <c r="Z62" s="5">
        <f t="shared" si="53"/>
        <v>0</v>
      </c>
    </row>
    <row r="63" spans="1:26" s="24" customFormat="1" hidden="1" outlineLevel="2" x14ac:dyDescent="0.25">
      <c r="A63" s="29"/>
      <c r="B63" s="11" t="str">
        <f>CONCATENATE("          ", "6282", " - ", "JANITORIAL/EXTERMINATOR EXPENS")</f>
        <v xml:space="preserve">          6282 - JANITORIAL/EXTERMINATOR EXPENS</v>
      </c>
      <c r="C63" s="11"/>
      <c r="D63" s="7"/>
      <c r="E63" s="2"/>
      <c r="F63" s="6">
        <f t="shared" si="46"/>
        <v>0</v>
      </c>
      <c r="G63" s="2"/>
      <c r="H63" s="7">
        <v>0</v>
      </c>
      <c r="I63" s="2"/>
      <c r="J63" s="6">
        <f t="shared" si="47"/>
        <v>0</v>
      </c>
      <c r="K63" s="2"/>
      <c r="L63" s="7">
        <f t="shared" si="48"/>
        <v>0</v>
      </c>
      <c r="M63" s="2"/>
      <c r="N63" s="6">
        <f t="shared" si="49"/>
        <v>0</v>
      </c>
      <c r="O63" s="11"/>
      <c r="P63" s="7"/>
      <c r="Q63" s="2"/>
      <c r="R63" s="6">
        <f t="shared" si="50"/>
        <v>0</v>
      </c>
      <c r="S63" s="2"/>
      <c r="T63" s="7">
        <v>0</v>
      </c>
      <c r="U63" s="2"/>
      <c r="V63" s="6">
        <f t="shared" si="51"/>
        <v>0</v>
      </c>
      <c r="W63" s="2"/>
      <c r="X63" s="7">
        <f t="shared" si="52"/>
        <v>0</v>
      </c>
      <c r="Y63" s="2"/>
      <c r="Z63" s="6">
        <f t="shared" si="53"/>
        <v>0</v>
      </c>
    </row>
    <row r="64" spans="1:26" s="24" customFormat="1" hidden="1" outlineLevel="2" x14ac:dyDescent="0.25">
      <c r="A64" s="29"/>
      <c r="B64" s="11" t="str">
        <f>CONCATENATE("          ", "6284", " - ", "TRASH REMOVAL EXPENSE")</f>
        <v xml:space="preserve">          6284 - TRASH REMOVAL EXPENSE</v>
      </c>
      <c r="C64" s="11"/>
      <c r="D64" s="7">
        <v>115</v>
      </c>
      <c r="E64" s="2"/>
      <c r="F64" s="6">
        <f t="shared" si="46"/>
        <v>0</v>
      </c>
      <c r="G64" s="2"/>
      <c r="H64" s="7">
        <v>0</v>
      </c>
      <c r="I64" s="2"/>
      <c r="J64" s="6">
        <f t="shared" si="47"/>
        <v>0</v>
      </c>
      <c r="K64" s="2"/>
      <c r="L64" s="7">
        <f t="shared" si="48"/>
        <v>115</v>
      </c>
      <c r="M64" s="2"/>
      <c r="N64" s="6">
        <f t="shared" si="49"/>
        <v>0</v>
      </c>
      <c r="O64" s="11"/>
      <c r="P64" s="7">
        <v>345</v>
      </c>
      <c r="Q64" s="2"/>
      <c r="R64" s="6">
        <f t="shared" si="50"/>
        <v>0</v>
      </c>
      <c r="S64" s="2"/>
      <c r="T64" s="7">
        <v>0</v>
      </c>
      <c r="U64" s="2"/>
      <c r="V64" s="6">
        <f t="shared" si="51"/>
        <v>0</v>
      </c>
      <c r="W64" s="2"/>
      <c r="X64" s="7">
        <f t="shared" si="52"/>
        <v>345</v>
      </c>
      <c r="Y64" s="2"/>
      <c r="Z64" s="6">
        <f t="shared" si="53"/>
        <v>0</v>
      </c>
    </row>
    <row r="65" spans="1:26" s="24" customFormat="1" hidden="1" outlineLevel="2" x14ac:dyDescent="0.25">
      <c r="A65" s="29"/>
      <c r="B65" s="11" t="str">
        <f>CONCATENATE("          ", "6285", " - ", "JANITORIAL SERVICES")</f>
        <v xml:space="preserve">          6285 - JANITORIAL SERVICES</v>
      </c>
      <c r="C65" s="11"/>
      <c r="D65" s="7"/>
      <c r="E65" s="2"/>
      <c r="F65" s="6">
        <f t="shared" si="46"/>
        <v>0</v>
      </c>
      <c r="G65" s="2"/>
      <c r="H65" s="7">
        <v>0</v>
      </c>
      <c r="I65" s="2"/>
      <c r="J65" s="6">
        <f t="shared" si="47"/>
        <v>0</v>
      </c>
      <c r="K65" s="2"/>
      <c r="L65" s="7">
        <f t="shared" si="48"/>
        <v>0</v>
      </c>
      <c r="M65" s="2"/>
      <c r="N65" s="6">
        <f t="shared" si="49"/>
        <v>0</v>
      </c>
      <c r="O65" s="11"/>
      <c r="P65" s="7"/>
      <c r="Q65" s="2"/>
      <c r="R65" s="6">
        <f t="shared" si="50"/>
        <v>0</v>
      </c>
      <c r="S65" s="2"/>
      <c r="T65" s="7">
        <v>0</v>
      </c>
      <c r="U65" s="2"/>
      <c r="V65" s="6">
        <f t="shared" si="51"/>
        <v>0</v>
      </c>
      <c r="W65" s="2"/>
      <c r="X65" s="7">
        <f t="shared" si="52"/>
        <v>0</v>
      </c>
      <c r="Y65" s="2"/>
      <c r="Z65" s="6">
        <f t="shared" si="53"/>
        <v>0</v>
      </c>
    </row>
    <row r="66" spans="1:26" s="24" customFormat="1" hidden="1" outlineLevel="2" x14ac:dyDescent="0.25">
      <c r="A66" s="29"/>
      <c r="B66" s="11" t="str">
        <f>CONCATENATE("          ", "6286", " - ", "LAUNDRY EXPENSE")</f>
        <v xml:space="preserve">          6286 - LAUNDRY EXPENSE</v>
      </c>
      <c r="C66" s="11"/>
      <c r="D66" s="7"/>
      <c r="E66" s="2"/>
      <c r="F66" s="6">
        <f t="shared" si="46"/>
        <v>0</v>
      </c>
      <c r="G66" s="2"/>
      <c r="H66" s="7">
        <v>0</v>
      </c>
      <c r="I66" s="2"/>
      <c r="J66" s="6">
        <f t="shared" si="47"/>
        <v>0</v>
      </c>
      <c r="K66" s="2"/>
      <c r="L66" s="7">
        <f t="shared" si="48"/>
        <v>0</v>
      </c>
      <c r="M66" s="2"/>
      <c r="N66" s="6">
        <f t="shared" si="49"/>
        <v>0</v>
      </c>
      <c r="O66" s="11"/>
      <c r="P66" s="7"/>
      <c r="Q66" s="2"/>
      <c r="R66" s="6">
        <f t="shared" si="50"/>
        <v>0</v>
      </c>
      <c r="S66" s="2"/>
      <c r="T66" s="7">
        <v>0</v>
      </c>
      <c r="U66" s="2"/>
      <c r="V66" s="6">
        <f t="shared" si="51"/>
        <v>0</v>
      </c>
      <c r="W66" s="2"/>
      <c r="X66" s="7">
        <f t="shared" si="52"/>
        <v>0</v>
      </c>
      <c r="Y66" s="2"/>
      <c r="Z66" s="6">
        <f t="shared" si="53"/>
        <v>0</v>
      </c>
    </row>
    <row r="67" spans="1:26" s="28" customFormat="1" outlineLevel="1" collapsed="1" x14ac:dyDescent="0.25">
      <c r="A67" s="27"/>
      <c r="B67" s="14" t="str">
        <f>CONCATENATE("     ","Subscriptions &amp; Dues                              ")</f>
        <v xml:space="preserve">     Subscriptions &amp; Dues                              </v>
      </c>
      <c r="C67" s="14"/>
      <c r="D67" s="1">
        <f>SUM(OSRRefD22_12x_0)</f>
        <v>0</v>
      </c>
      <c r="E67" s="1"/>
      <c r="F67" s="5">
        <f t="shared" ref="F67:F78" si="54">IF(D$12=0,0,D67/D$12)</f>
        <v>0</v>
      </c>
      <c r="G67" s="1"/>
      <c r="H67" s="1">
        <f>SUM(OSRRefH22_12x_0)</f>
        <v>0</v>
      </c>
      <c r="I67" s="1"/>
      <c r="J67" s="5">
        <f t="shared" ref="J67:J78" si="55">IF(H$12=0,0,H67/H$12)</f>
        <v>0</v>
      </c>
      <c r="K67" s="1"/>
      <c r="L67" s="1">
        <f t="shared" ref="L67:L78" si="56">+D67-H67</f>
        <v>0</v>
      </c>
      <c r="M67" s="1"/>
      <c r="N67" s="5">
        <f t="shared" ref="N67:N78" si="57">IF(H67=0,0,L67/H67)</f>
        <v>0</v>
      </c>
      <c r="O67" s="14"/>
      <c r="P67" s="1">
        <f>SUM(OSRRefP22_12x_0)</f>
        <v>0</v>
      </c>
      <c r="Q67" s="1"/>
      <c r="R67" s="5">
        <f t="shared" ref="R67:R78" si="58">IF(P$12=0,0,P67/P$12)</f>
        <v>0</v>
      </c>
      <c r="S67" s="1"/>
      <c r="T67" s="1">
        <f>SUM(OSRRefT22_12x_0)</f>
        <v>0</v>
      </c>
      <c r="U67" s="1"/>
      <c r="V67" s="5">
        <f t="shared" ref="V67:V78" si="59">IF(T$12=0,0,T67/T$12)</f>
        <v>0</v>
      </c>
      <c r="W67" s="1"/>
      <c r="X67" s="1">
        <f t="shared" ref="X67:X78" si="60">+P67-T67</f>
        <v>0</v>
      </c>
      <c r="Y67" s="1"/>
      <c r="Z67" s="5">
        <f t="shared" ref="Z67:Z78" si="61">IF(T67=0,0,X67/T67)</f>
        <v>0</v>
      </c>
    </row>
    <row r="68" spans="1:26" s="24" customFormat="1" hidden="1" outlineLevel="2" x14ac:dyDescent="0.25">
      <c r="A68" s="29"/>
      <c r="B68" s="11" t="str">
        <f>CONCATENATE("          ", "6275", " - ", "SUBSCRIPTIONS")</f>
        <v xml:space="preserve">          6275 - SUBSCRIPTIONS</v>
      </c>
      <c r="C68" s="11"/>
      <c r="D68" s="7"/>
      <c r="E68" s="2"/>
      <c r="F68" s="6">
        <f t="shared" si="54"/>
        <v>0</v>
      </c>
      <c r="G68" s="2"/>
      <c r="H68" s="7">
        <v>0</v>
      </c>
      <c r="I68" s="2"/>
      <c r="J68" s="6">
        <f t="shared" si="55"/>
        <v>0</v>
      </c>
      <c r="K68" s="2"/>
      <c r="L68" s="7">
        <f t="shared" si="56"/>
        <v>0</v>
      </c>
      <c r="M68" s="2"/>
      <c r="N68" s="6">
        <f t="shared" si="57"/>
        <v>0</v>
      </c>
      <c r="O68" s="11"/>
      <c r="P68" s="7"/>
      <c r="Q68" s="2"/>
      <c r="R68" s="6">
        <f t="shared" si="58"/>
        <v>0</v>
      </c>
      <c r="S68" s="2"/>
      <c r="T68" s="7">
        <v>0</v>
      </c>
      <c r="U68" s="2"/>
      <c r="V68" s="6">
        <f t="shared" si="59"/>
        <v>0</v>
      </c>
      <c r="W68" s="2"/>
      <c r="X68" s="7">
        <f t="shared" si="60"/>
        <v>0</v>
      </c>
      <c r="Y68" s="2"/>
      <c r="Z68" s="6">
        <f t="shared" si="61"/>
        <v>0</v>
      </c>
    </row>
    <row r="69" spans="1:26" s="28" customFormat="1" outlineLevel="1" collapsed="1" x14ac:dyDescent="0.25">
      <c r="A69" s="27"/>
      <c r="B69" s="14" t="str">
        <f>CONCATENATE("     ","Supplies                                          ")</f>
        <v xml:space="preserve">     Supplies                                          </v>
      </c>
      <c r="C69" s="14"/>
      <c r="D69" s="1">
        <f>SUM(OSRRefD22_13x_0)</f>
        <v>0</v>
      </c>
      <c r="E69" s="1"/>
      <c r="F69" s="5">
        <f t="shared" si="54"/>
        <v>0</v>
      </c>
      <c r="G69" s="1"/>
      <c r="H69" s="1">
        <f>SUM(OSRRefH22_13x_0)</f>
        <v>0</v>
      </c>
      <c r="I69" s="1"/>
      <c r="J69" s="5">
        <f t="shared" si="55"/>
        <v>0</v>
      </c>
      <c r="K69" s="1"/>
      <c r="L69" s="1">
        <f t="shared" si="56"/>
        <v>0</v>
      </c>
      <c r="M69" s="1"/>
      <c r="N69" s="5">
        <f t="shared" si="57"/>
        <v>0</v>
      </c>
      <c r="O69" s="14"/>
      <c r="P69" s="1">
        <f>SUM(OSRRefP22_13x_0)</f>
        <v>72</v>
      </c>
      <c r="Q69" s="1"/>
      <c r="R69" s="5">
        <f t="shared" si="58"/>
        <v>0</v>
      </c>
      <c r="S69" s="1"/>
      <c r="T69" s="1">
        <f>SUM(OSRRefT22_13x_0)</f>
        <v>0</v>
      </c>
      <c r="U69" s="1"/>
      <c r="V69" s="5">
        <f t="shared" si="59"/>
        <v>0</v>
      </c>
      <c r="W69" s="1"/>
      <c r="X69" s="1">
        <f t="shared" si="60"/>
        <v>72</v>
      </c>
      <c r="Y69" s="1"/>
      <c r="Z69" s="5">
        <f t="shared" si="61"/>
        <v>0</v>
      </c>
    </row>
    <row r="70" spans="1:26" s="24" customFormat="1" hidden="1" outlineLevel="2" x14ac:dyDescent="0.25">
      <c r="A70" s="29"/>
      <c r="B70" s="11" t="str">
        <f>CONCATENATE("          ", "6235", " - ", "COVID-19 EXPENSES")</f>
        <v xml:space="preserve">          6235 - COVID-19 EXPENSES</v>
      </c>
      <c r="C70" s="11"/>
      <c r="D70" s="7"/>
      <c r="E70" s="2"/>
      <c r="F70" s="6">
        <f t="shared" si="54"/>
        <v>0</v>
      </c>
      <c r="G70" s="2"/>
      <c r="H70" s="7">
        <v>0</v>
      </c>
      <c r="I70" s="2"/>
      <c r="J70" s="6">
        <f t="shared" si="55"/>
        <v>0</v>
      </c>
      <c r="K70" s="2"/>
      <c r="L70" s="7">
        <f t="shared" si="56"/>
        <v>0</v>
      </c>
      <c r="M70" s="2"/>
      <c r="N70" s="6">
        <f t="shared" si="57"/>
        <v>0</v>
      </c>
      <c r="O70" s="11"/>
      <c r="P70" s="7"/>
      <c r="Q70" s="2"/>
      <c r="R70" s="6">
        <f t="shared" si="58"/>
        <v>0</v>
      </c>
      <c r="S70" s="2"/>
      <c r="T70" s="7">
        <v>0</v>
      </c>
      <c r="U70" s="2"/>
      <c r="V70" s="6">
        <f t="shared" si="59"/>
        <v>0</v>
      </c>
      <c r="W70" s="2"/>
      <c r="X70" s="7">
        <f t="shared" si="60"/>
        <v>0</v>
      </c>
      <c r="Y70" s="2"/>
      <c r="Z70" s="6">
        <f t="shared" si="61"/>
        <v>0</v>
      </c>
    </row>
    <row r="71" spans="1:26" s="24" customFormat="1" hidden="1" outlineLevel="2" x14ac:dyDescent="0.25">
      <c r="A71" s="29"/>
      <c r="B71" s="11" t="str">
        <f>CONCATENATE("          ", "6237", " - ", "JANITORIAL SUPPLIES")</f>
        <v xml:space="preserve">          6237 - JANITORIAL SUPPLIES</v>
      </c>
      <c r="C71" s="11"/>
      <c r="D71" s="7"/>
      <c r="E71" s="2"/>
      <c r="F71" s="6">
        <f t="shared" si="54"/>
        <v>0</v>
      </c>
      <c r="G71" s="2"/>
      <c r="H71" s="7">
        <v>0</v>
      </c>
      <c r="I71" s="2"/>
      <c r="J71" s="6">
        <f t="shared" si="55"/>
        <v>0</v>
      </c>
      <c r="K71" s="2"/>
      <c r="L71" s="7">
        <f t="shared" si="56"/>
        <v>0</v>
      </c>
      <c r="M71" s="2"/>
      <c r="N71" s="6">
        <f t="shared" si="57"/>
        <v>0</v>
      </c>
      <c r="O71" s="11"/>
      <c r="P71" s="7">
        <v>72</v>
      </c>
      <c r="Q71" s="2"/>
      <c r="R71" s="6">
        <f t="shared" si="58"/>
        <v>0</v>
      </c>
      <c r="S71" s="2"/>
      <c r="T71" s="7">
        <v>0</v>
      </c>
      <c r="U71" s="2"/>
      <c r="V71" s="6">
        <f t="shared" si="59"/>
        <v>0</v>
      </c>
      <c r="W71" s="2"/>
      <c r="X71" s="7">
        <f t="shared" si="60"/>
        <v>72</v>
      </c>
      <c r="Y71" s="2"/>
      <c r="Z71" s="6">
        <f t="shared" si="61"/>
        <v>0</v>
      </c>
    </row>
    <row r="72" spans="1:26" s="24" customFormat="1" hidden="1" outlineLevel="2" x14ac:dyDescent="0.25">
      <c r="A72" s="29"/>
      <c r="B72" s="11" t="str">
        <f>CONCATENATE("          ", "6239", " - ", "KITCHEN SUPPLIES")</f>
        <v xml:space="preserve">          6239 - KITCHEN SUPPLIES</v>
      </c>
      <c r="C72" s="11"/>
      <c r="D72" s="7"/>
      <c r="E72" s="2"/>
      <c r="F72" s="6">
        <f t="shared" si="54"/>
        <v>0</v>
      </c>
      <c r="G72" s="2"/>
      <c r="H72" s="7">
        <v>0</v>
      </c>
      <c r="I72" s="2"/>
      <c r="J72" s="6">
        <f t="shared" si="55"/>
        <v>0</v>
      </c>
      <c r="K72" s="2"/>
      <c r="L72" s="7">
        <f t="shared" si="56"/>
        <v>0</v>
      </c>
      <c r="M72" s="2"/>
      <c r="N72" s="6">
        <f t="shared" si="57"/>
        <v>0</v>
      </c>
      <c r="O72" s="11"/>
      <c r="P72" s="7"/>
      <c r="Q72" s="2"/>
      <c r="R72" s="6">
        <f t="shared" si="58"/>
        <v>0</v>
      </c>
      <c r="S72" s="2"/>
      <c r="T72" s="7">
        <v>0</v>
      </c>
      <c r="U72" s="2"/>
      <c r="V72" s="6">
        <f t="shared" si="59"/>
        <v>0</v>
      </c>
      <c r="W72" s="2"/>
      <c r="X72" s="7">
        <f t="shared" si="60"/>
        <v>0</v>
      </c>
      <c r="Y72" s="2"/>
      <c r="Z72" s="6">
        <f t="shared" si="61"/>
        <v>0</v>
      </c>
    </row>
    <row r="73" spans="1:26" s="24" customFormat="1" hidden="1" outlineLevel="2" x14ac:dyDescent="0.25">
      <c r="A73" s="29"/>
      <c r="B73" s="11" t="str">
        <f>CONCATENATE("          ", "6241", " - ", "OFFICE EXPENSE")</f>
        <v xml:space="preserve">          6241 - OFFICE EXPENSE</v>
      </c>
      <c r="C73" s="11"/>
      <c r="D73" s="7"/>
      <c r="E73" s="2"/>
      <c r="F73" s="6">
        <f t="shared" si="54"/>
        <v>0</v>
      </c>
      <c r="G73" s="2"/>
      <c r="H73" s="7">
        <v>0</v>
      </c>
      <c r="I73" s="2"/>
      <c r="J73" s="6">
        <f t="shared" si="55"/>
        <v>0</v>
      </c>
      <c r="K73" s="2"/>
      <c r="L73" s="7">
        <f t="shared" si="56"/>
        <v>0</v>
      </c>
      <c r="M73" s="2"/>
      <c r="N73" s="6">
        <f t="shared" si="57"/>
        <v>0</v>
      </c>
      <c r="O73" s="11"/>
      <c r="P73" s="7"/>
      <c r="Q73" s="2"/>
      <c r="R73" s="6">
        <f t="shared" si="58"/>
        <v>0</v>
      </c>
      <c r="S73" s="2"/>
      <c r="T73" s="7">
        <v>0</v>
      </c>
      <c r="U73" s="2"/>
      <c r="V73" s="6">
        <f t="shared" si="59"/>
        <v>0</v>
      </c>
      <c r="W73" s="2"/>
      <c r="X73" s="7">
        <f t="shared" si="60"/>
        <v>0</v>
      </c>
      <c r="Y73" s="2"/>
      <c r="Z73" s="6">
        <f t="shared" si="61"/>
        <v>0</v>
      </c>
    </row>
    <row r="74" spans="1:26" s="24" customFormat="1" hidden="1" outlineLevel="2" x14ac:dyDescent="0.25">
      <c r="A74" s="29"/>
      <c r="B74" s="11" t="str">
        <f>CONCATENATE("          ", "6243", " - ", "PAPER SUPPLIES")</f>
        <v xml:space="preserve">          6243 - PAPER SUPPLIES</v>
      </c>
      <c r="C74" s="11"/>
      <c r="D74" s="7"/>
      <c r="E74" s="2"/>
      <c r="F74" s="6">
        <f t="shared" si="54"/>
        <v>0</v>
      </c>
      <c r="G74" s="2"/>
      <c r="H74" s="7">
        <v>0</v>
      </c>
      <c r="I74" s="2"/>
      <c r="J74" s="6">
        <f t="shared" si="55"/>
        <v>0</v>
      </c>
      <c r="K74" s="2"/>
      <c r="L74" s="7">
        <f t="shared" si="56"/>
        <v>0</v>
      </c>
      <c r="M74" s="2"/>
      <c r="N74" s="6">
        <f t="shared" si="57"/>
        <v>0</v>
      </c>
      <c r="O74" s="11"/>
      <c r="P74" s="7"/>
      <c r="Q74" s="2"/>
      <c r="R74" s="6">
        <f t="shared" si="58"/>
        <v>0</v>
      </c>
      <c r="S74" s="2"/>
      <c r="T74" s="7">
        <v>0</v>
      </c>
      <c r="U74" s="2"/>
      <c r="V74" s="6">
        <f t="shared" si="59"/>
        <v>0</v>
      </c>
      <c r="W74" s="2"/>
      <c r="X74" s="7">
        <f t="shared" si="60"/>
        <v>0</v>
      </c>
      <c r="Y74" s="2"/>
      <c r="Z74" s="6">
        <f t="shared" si="61"/>
        <v>0</v>
      </c>
    </row>
    <row r="75" spans="1:26" s="24" customFormat="1" hidden="1" outlineLevel="2" x14ac:dyDescent="0.25">
      <c r="A75" s="29"/>
      <c r="B75" s="11" t="str">
        <f>CONCATENATE("          ", "6245", " - ", "PRINTING")</f>
        <v xml:space="preserve">          6245 - PRINTING</v>
      </c>
      <c r="C75" s="11"/>
      <c r="D75" s="7"/>
      <c r="E75" s="2"/>
      <c r="F75" s="6">
        <f t="shared" si="54"/>
        <v>0</v>
      </c>
      <c r="G75" s="2"/>
      <c r="H75" s="7">
        <v>0</v>
      </c>
      <c r="I75" s="2"/>
      <c r="J75" s="6">
        <f t="shared" si="55"/>
        <v>0</v>
      </c>
      <c r="K75" s="2"/>
      <c r="L75" s="7">
        <f t="shared" si="56"/>
        <v>0</v>
      </c>
      <c r="M75" s="2"/>
      <c r="N75" s="6">
        <f t="shared" si="57"/>
        <v>0</v>
      </c>
      <c r="O75" s="11"/>
      <c r="P75" s="7"/>
      <c r="Q75" s="2"/>
      <c r="R75" s="6">
        <f t="shared" si="58"/>
        <v>0</v>
      </c>
      <c r="S75" s="2"/>
      <c r="T75" s="7">
        <v>0</v>
      </c>
      <c r="U75" s="2"/>
      <c r="V75" s="6">
        <f t="shared" si="59"/>
        <v>0</v>
      </c>
      <c r="W75" s="2"/>
      <c r="X75" s="7">
        <f t="shared" si="60"/>
        <v>0</v>
      </c>
      <c r="Y75" s="2"/>
      <c r="Z75" s="6">
        <f t="shared" si="61"/>
        <v>0</v>
      </c>
    </row>
    <row r="76" spans="1:26" s="24" customFormat="1" hidden="1" outlineLevel="2" x14ac:dyDescent="0.25">
      <c r="A76" s="29"/>
      <c r="B76" s="11" t="str">
        <f>CONCATENATE("          ", "6246", " - ", "REPLACEMENTS")</f>
        <v xml:space="preserve">          6246 - REPLACEMENTS</v>
      </c>
      <c r="C76" s="11"/>
      <c r="D76" s="7"/>
      <c r="E76" s="2"/>
      <c r="F76" s="6">
        <f t="shared" si="54"/>
        <v>0</v>
      </c>
      <c r="G76" s="2"/>
      <c r="H76" s="7">
        <v>0</v>
      </c>
      <c r="I76" s="2"/>
      <c r="J76" s="6">
        <f t="shared" si="55"/>
        <v>0</v>
      </c>
      <c r="K76" s="2"/>
      <c r="L76" s="7">
        <f t="shared" si="56"/>
        <v>0</v>
      </c>
      <c r="M76" s="2"/>
      <c r="N76" s="6">
        <f t="shared" si="57"/>
        <v>0</v>
      </c>
      <c r="O76" s="11"/>
      <c r="P76" s="7"/>
      <c r="Q76" s="2"/>
      <c r="R76" s="6">
        <f t="shared" si="58"/>
        <v>0</v>
      </c>
      <c r="S76" s="2"/>
      <c r="T76" s="7">
        <v>0</v>
      </c>
      <c r="U76" s="2"/>
      <c r="V76" s="6">
        <f t="shared" si="59"/>
        <v>0</v>
      </c>
      <c r="W76" s="2"/>
      <c r="X76" s="7">
        <f t="shared" si="60"/>
        <v>0</v>
      </c>
      <c r="Y76" s="2"/>
      <c r="Z76" s="6">
        <f t="shared" si="61"/>
        <v>0</v>
      </c>
    </row>
    <row r="77" spans="1:26" s="24" customFormat="1" hidden="1" outlineLevel="2" x14ac:dyDescent="0.25">
      <c r="A77" s="29"/>
      <c r="B77" s="11" t="str">
        <f>CONCATENATE("          ", "6247", " - ", "STORE SUPPLIES")</f>
        <v xml:space="preserve">          6247 - STORE SUPPLIES</v>
      </c>
      <c r="C77" s="11"/>
      <c r="D77" s="7"/>
      <c r="E77" s="2"/>
      <c r="F77" s="6">
        <f t="shared" si="54"/>
        <v>0</v>
      </c>
      <c r="G77" s="2"/>
      <c r="H77" s="7">
        <v>0</v>
      </c>
      <c r="I77" s="2"/>
      <c r="J77" s="6">
        <f t="shared" si="55"/>
        <v>0</v>
      </c>
      <c r="K77" s="2"/>
      <c r="L77" s="7">
        <f t="shared" si="56"/>
        <v>0</v>
      </c>
      <c r="M77" s="2"/>
      <c r="N77" s="6">
        <f t="shared" si="57"/>
        <v>0</v>
      </c>
      <c r="O77" s="11"/>
      <c r="P77" s="7"/>
      <c r="Q77" s="2"/>
      <c r="R77" s="6">
        <f t="shared" si="58"/>
        <v>0</v>
      </c>
      <c r="S77" s="2"/>
      <c r="T77" s="7">
        <v>0</v>
      </c>
      <c r="U77" s="2"/>
      <c r="V77" s="6">
        <f t="shared" si="59"/>
        <v>0</v>
      </c>
      <c r="W77" s="2"/>
      <c r="X77" s="7">
        <f t="shared" si="60"/>
        <v>0</v>
      </c>
      <c r="Y77" s="2"/>
      <c r="Z77" s="6">
        <f t="shared" si="61"/>
        <v>0</v>
      </c>
    </row>
    <row r="78" spans="1:26" s="24" customFormat="1" hidden="1" outlineLevel="2" x14ac:dyDescent="0.25">
      <c r="A78" s="29"/>
      <c r="B78" s="11" t="str">
        <f>CONCATENATE("          ", "6248", " - ", "UNIFORMS")</f>
        <v xml:space="preserve">          6248 - UNIFORMS</v>
      </c>
      <c r="C78" s="11"/>
      <c r="D78" s="7"/>
      <c r="E78" s="2"/>
      <c r="F78" s="6">
        <f t="shared" si="54"/>
        <v>0</v>
      </c>
      <c r="G78" s="2"/>
      <c r="H78" s="7"/>
      <c r="I78" s="2"/>
      <c r="J78" s="6">
        <f t="shared" si="55"/>
        <v>0</v>
      </c>
      <c r="K78" s="2"/>
      <c r="L78" s="7">
        <f t="shared" si="56"/>
        <v>0</v>
      </c>
      <c r="M78" s="2"/>
      <c r="N78" s="6">
        <f t="shared" si="57"/>
        <v>0</v>
      </c>
      <c r="O78" s="11"/>
      <c r="P78" s="7"/>
      <c r="Q78" s="2"/>
      <c r="R78" s="6">
        <f t="shared" si="58"/>
        <v>0</v>
      </c>
      <c r="S78" s="2"/>
      <c r="T78" s="7">
        <v>0</v>
      </c>
      <c r="U78" s="2"/>
      <c r="V78" s="6">
        <f t="shared" si="59"/>
        <v>0</v>
      </c>
      <c r="W78" s="2"/>
      <c r="X78" s="7">
        <f t="shared" si="60"/>
        <v>0</v>
      </c>
      <c r="Y78" s="2"/>
      <c r="Z78" s="6">
        <f t="shared" si="61"/>
        <v>0</v>
      </c>
    </row>
    <row r="79" spans="1:26" s="28" customFormat="1" outlineLevel="1" collapsed="1" x14ac:dyDescent="0.25">
      <c r="A79" s="27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SUM(OSRRefD22_14x_0)</f>
        <v>0</v>
      </c>
      <c r="E79" s="1"/>
      <c r="F79" s="5">
        <f t="shared" ref="F79:F84" si="62">IF(D$12=0,0,D79/D$12)</f>
        <v>0</v>
      </c>
      <c r="G79" s="1"/>
      <c r="H79" s="1">
        <f>SUM(OSRRefH22_14x_0)</f>
        <v>0</v>
      </c>
      <c r="I79" s="1"/>
      <c r="J79" s="5">
        <f t="shared" ref="J79:J84" si="63">IF(H$12=0,0,H79/H$12)</f>
        <v>0</v>
      </c>
      <c r="K79" s="1"/>
      <c r="L79" s="1">
        <f t="shared" ref="L79:L84" si="64">+D79-H79</f>
        <v>0</v>
      </c>
      <c r="M79" s="1"/>
      <c r="N79" s="5">
        <f t="shared" ref="N79:N84" si="65">IF(H79=0,0,L79/H79)</f>
        <v>0</v>
      </c>
      <c r="O79" s="14"/>
      <c r="P79" s="1">
        <f>SUM(OSRRefP22_14x_0)</f>
        <v>77.430000000000007</v>
      </c>
      <c r="Q79" s="1"/>
      <c r="R79" s="5">
        <f t="shared" ref="R79:R84" si="66">IF(P$12=0,0,P79/P$12)</f>
        <v>0</v>
      </c>
      <c r="S79" s="1"/>
      <c r="T79" s="1">
        <f>SUM(OSRRefT22_14x_0)</f>
        <v>0</v>
      </c>
      <c r="U79" s="1"/>
      <c r="V79" s="5">
        <f t="shared" ref="V79:V84" si="67">IF(T$12=0,0,T79/T$12)</f>
        <v>0</v>
      </c>
      <c r="W79" s="1"/>
      <c r="X79" s="1">
        <f t="shared" ref="X79:X84" si="68">+P79-T79</f>
        <v>77.430000000000007</v>
      </c>
      <c r="Y79" s="1"/>
      <c r="Z79" s="5">
        <f t="shared" ref="Z79:Z84" si="69">IF(T79=0,0,X79/T79)</f>
        <v>0</v>
      </c>
    </row>
    <row r="80" spans="1:26" s="24" customFormat="1" hidden="1" outlineLevel="2" x14ac:dyDescent="0.25">
      <c r="A80" s="29"/>
      <c r="B80" s="11" t="str">
        <f>CONCATENATE("          ", "6309", " - ", "TELEPHONE")</f>
        <v xml:space="preserve">          6309 - TELEPHONE</v>
      </c>
      <c r="C80" s="11"/>
      <c r="D80" s="7"/>
      <c r="E80" s="2"/>
      <c r="F80" s="6">
        <f t="shared" si="62"/>
        <v>0</v>
      </c>
      <c r="G80" s="2"/>
      <c r="H80" s="7">
        <v>0</v>
      </c>
      <c r="I80" s="2"/>
      <c r="J80" s="6">
        <f t="shared" si="63"/>
        <v>0</v>
      </c>
      <c r="K80" s="2"/>
      <c r="L80" s="7">
        <f t="shared" si="64"/>
        <v>0</v>
      </c>
      <c r="M80" s="2"/>
      <c r="N80" s="6">
        <f t="shared" si="65"/>
        <v>0</v>
      </c>
      <c r="O80" s="11"/>
      <c r="P80" s="7">
        <v>77.430000000000007</v>
      </c>
      <c r="Q80" s="2"/>
      <c r="R80" s="6">
        <f t="shared" si="66"/>
        <v>0</v>
      </c>
      <c r="S80" s="2"/>
      <c r="T80" s="7">
        <v>0</v>
      </c>
      <c r="U80" s="2"/>
      <c r="V80" s="6">
        <f t="shared" si="67"/>
        <v>0</v>
      </c>
      <c r="W80" s="2"/>
      <c r="X80" s="7">
        <f t="shared" si="68"/>
        <v>77.430000000000007</v>
      </c>
      <c r="Y80" s="2"/>
      <c r="Z80" s="6">
        <f t="shared" si="69"/>
        <v>0</v>
      </c>
    </row>
    <row r="81" spans="1:26" s="28" customFormat="1" outlineLevel="1" collapsed="1" x14ac:dyDescent="0.25">
      <c r="A81" s="27"/>
      <c r="B81" s="14" t="str">
        <f>CONCATENATE("     ","Travel                                            ")</f>
        <v xml:space="preserve">     Travel                                            </v>
      </c>
      <c r="C81" s="14"/>
      <c r="D81" s="1">
        <f>SUM(OSRRefD22_15x_0)</f>
        <v>0</v>
      </c>
      <c r="E81" s="1"/>
      <c r="F81" s="5">
        <f t="shared" si="62"/>
        <v>0</v>
      </c>
      <c r="G81" s="1"/>
      <c r="H81" s="1">
        <f>SUM(OSRRefH22_15x_0)</f>
        <v>0</v>
      </c>
      <c r="I81" s="1"/>
      <c r="J81" s="5">
        <f t="shared" si="63"/>
        <v>0</v>
      </c>
      <c r="K81" s="1"/>
      <c r="L81" s="1">
        <f t="shared" si="64"/>
        <v>0</v>
      </c>
      <c r="M81" s="1"/>
      <c r="N81" s="5">
        <f t="shared" si="65"/>
        <v>0</v>
      </c>
      <c r="O81" s="14"/>
      <c r="P81" s="1">
        <f>SUM(OSRRefP22_15x_0)</f>
        <v>0</v>
      </c>
      <c r="Q81" s="1"/>
      <c r="R81" s="5">
        <f t="shared" si="66"/>
        <v>0</v>
      </c>
      <c r="S81" s="1"/>
      <c r="T81" s="1">
        <f>SUM(OSRRefT22_15x_0)</f>
        <v>0</v>
      </c>
      <c r="U81" s="1"/>
      <c r="V81" s="5">
        <f t="shared" si="67"/>
        <v>0</v>
      </c>
      <c r="W81" s="1"/>
      <c r="X81" s="1">
        <f t="shared" si="68"/>
        <v>0</v>
      </c>
      <c r="Y81" s="1"/>
      <c r="Z81" s="5">
        <f t="shared" si="69"/>
        <v>0</v>
      </c>
    </row>
    <row r="82" spans="1:26" s="24" customFormat="1" hidden="1" outlineLevel="2" x14ac:dyDescent="0.25">
      <c r="A82" s="29"/>
      <c r="B82" s="11" t="str">
        <f>CONCATENATE("          ", "6292", " - ", "TRAVEL/CONFERENCE")</f>
        <v xml:space="preserve">          6292 - TRAVEL/CONFERENCE</v>
      </c>
      <c r="C82" s="11"/>
      <c r="D82" s="7"/>
      <c r="E82" s="2"/>
      <c r="F82" s="6">
        <f t="shared" si="62"/>
        <v>0</v>
      </c>
      <c r="G82" s="2"/>
      <c r="H82" s="7"/>
      <c r="I82" s="2"/>
      <c r="J82" s="6">
        <f t="shared" si="63"/>
        <v>0</v>
      </c>
      <c r="K82" s="2"/>
      <c r="L82" s="7">
        <f t="shared" si="64"/>
        <v>0</v>
      </c>
      <c r="M82" s="2"/>
      <c r="N82" s="6">
        <f t="shared" si="65"/>
        <v>0</v>
      </c>
      <c r="O82" s="11"/>
      <c r="P82" s="7"/>
      <c r="Q82" s="2"/>
      <c r="R82" s="6">
        <f t="shared" si="66"/>
        <v>0</v>
      </c>
      <c r="S82" s="2"/>
      <c r="T82" s="7">
        <v>0</v>
      </c>
      <c r="U82" s="2"/>
      <c r="V82" s="6">
        <f t="shared" si="67"/>
        <v>0</v>
      </c>
      <c r="W82" s="2"/>
      <c r="X82" s="7">
        <f t="shared" si="68"/>
        <v>0</v>
      </c>
      <c r="Y82" s="2"/>
      <c r="Z82" s="6">
        <f t="shared" si="69"/>
        <v>0</v>
      </c>
    </row>
    <row r="83" spans="1:26" s="28" customFormat="1" outlineLevel="1" collapsed="1" x14ac:dyDescent="0.25">
      <c r="A83" s="27"/>
      <c r="B83" s="14" t="str">
        <f>CONCATENATE("     ","Utilities                                         ")</f>
        <v xml:space="preserve">     Utilities                                         </v>
      </c>
      <c r="C83" s="14"/>
      <c r="D83" s="1">
        <f>SUM(OSRRefD22_16x_0)</f>
        <v>348</v>
      </c>
      <c r="E83" s="1"/>
      <c r="F83" s="5">
        <f t="shared" si="62"/>
        <v>0</v>
      </c>
      <c r="G83" s="1"/>
      <c r="H83" s="1">
        <f>SUM(OSRRefH22_16x_0)</f>
        <v>0</v>
      </c>
      <c r="I83" s="1"/>
      <c r="J83" s="5">
        <f t="shared" si="63"/>
        <v>0</v>
      </c>
      <c r="K83" s="1"/>
      <c r="L83" s="1">
        <f t="shared" si="64"/>
        <v>348</v>
      </c>
      <c r="M83" s="1"/>
      <c r="N83" s="5">
        <f t="shared" si="65"/>
        <v>0</v>
      </c>
      <c r="O83" s="14"/>
      <c r="P83" s="1">
        <f>SUM(OSRRefP22_16x_0)</f>
        <v>1044</v>
      </c>
      <c r="Q83" s="1"/>
      <c r="R83" s="5">
        <f t="shared" si="66"/>
        <v>0</v>
      </c>
      <c r="S83" s="1"/>
      <c r="T83" s="1">
        <f>SUM(OSRRefT22_16x_0)</f>
        <v>0</v>
      </c>
      <c r="U83" s="1"/>
      <c r="V83" s="5">
        <f t="shared" si="67"/>
        <v>0</v>
      </c>
      <c r="W83" s="1"/>
      <c r="X83" s="1">
        <f t="shared" si="68"/>
        <v>1044</v>
      </c>
      <c r="Y83" s="1"/>
      <c r="Z83" s="5">
        <f t="shared" si="69"/>
        <v>0</v>
      </c>
    </row>
    <row r="84" spans="1:26" s="24" customFormat="1" hidden="1" outlineLevel="2" x14ac:dyDescent="0.25">
      <c r="A84" s="29"/>
      <c r="B84" s="11" t="str">
        <f>CONCATENATE("          ", "6274", " - ", "UTILITIES")</f>
        <v xml:space="preserve">          6274 - UTILITIES</v>
      </c>
      <c r="C84" s="11"/>
      <c r="D84" s="7">
        <v>348</v>
      </c>
      <c r="E84" s="2"/>
      <c r="F84" s="6">
        <f t="shared" si="62"/>
        <v>0</v>
      </c>
      <c r="G84" s="2"/>
      <c r="H84" s="7">
        <v>0</v>
      </c>
      <c r="I84" s="2"/>
      <c r="J84" s="6">
        <f t="shared" si="63"/>
        <v>0</v>
      </c>
      <c r="K84" s="2"/>
      <c r="L84" s="7">
        <f t="shared" si="64"/>
        <v>348</v>
      </c>
      <c r="M84" s="2"/>
      <c r="N84" s="6">
        <f t="shared" si="65"/>
        <v>0</v>
      </c>
      <c r="O84" s="11"/>
      <c r="P84" s="7">
        <v>1044</v>
      </c>
      <c r="Q84" s="2"/>
      <c r="R84" s="6">
        <f t="shared" si="66"/>
        <v>0</v>
      </c>
      <c r="S84" s="2"/>
      <c r="T84" s="7">
        <v>0</v>
      </c>
      <c r="U84" s="2"/>
      <c r="V84" s="6">
        <f t="shared" si="67"/>
        <v>0</v>
      </c>
      <c r="W84" s="2"/>
      <c r="X84" s="7">
        <f t="shared" si="68"/>
        <v>1044</v>
      </c>
      <c r="Y84" s="2"/>
      <c r="Z84" s="6">
        <f t="shared" si="69"/>
        <v>0</v>
      </c>
    </row>
    <row r="85" spans="1:26" s="53" customFormat="1" x14ac:dyDescent="0.25">
      <c r="A85" s="36"/>
      <c r="B85" s="36"/>
      <c r="C85" s="36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6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6" t="s">
        <v>0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5" t="s">
        <v>3</v>
      </c>
      <c r="C88" s="25"/>
      <c r="D88" s="21">
        <f>+D19-D21+D86</f>
        <v>-11318.36</v>
      </c>
      <c r="E88" s="13"/>
      <c r="F88" s="19">
        <f>IF(D$12=0,0,D88/D$12)</f>
        <v>0</v>
      </c>
      <c r="G88" s="13"/>
      <c r="H88" s="21">
        <f>+H19-H21+H86</f>
        <v>-7384.333333333333</v>
      </c>
      <c r="I88" s="13"/>
      <c r="J88" s="19">
        <f>IF(H$12=0,0,H88/H$12)</f>
        <v>0</v>
      </c>
      <c r="K88" s="16"/>
      <c r="L88" s="21">
        <f>+D88-H88</f>
        <v>-3934.0266666666676</v>
      </c>
      <c r="M88" s="16"/>
      <c r="N88" s="19">
        <f>IF(H88=0,0,L88/H88)</f>
        <v>0.53275312598745106</v>
      </c>
      <c r="O88" s="26"/>
      <c r="P88" s="21">
        <f>+P19-P21+P86</f>
        <v>-45190.04</v>
      </c>
      <c r="Q88" s="13"/>
      <c r="R88" s="19">
        <f>IF(P$12=0,0,P88/P$12)</f>
        <v>0</v>
      </c>
      <c r="S88" s="13"/>
      <c r="T88" s="21">
        <f>+T19-T21+T86</f>
        <v>-44597</v>
      </c>
      <c r="U88" s="13"/>
      <c r="V88" s="19">
        <f>IF(T$12=0,0,T88/T$12)</f>
        <v>0</v>
      </c>
      <c r="W88" s="16"/>
      <c r="X88" s="21">
        <f>+P88-T88</f>
        <v>-593.04000000000087</v>
      </c>
      <c r="Y88" s="16"/>
      <c r="Z88" s="19">
        <f>IF(T88=0,0,X88/T88)</f>
        <v>1.3297755454402782E-2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2"/>
      <c r="B90" s="10" t="s">
        <v>14</v>
      </c>
      <c r="C90" s="10"/>
      <c r="D90" s="4"/>
      <c r="E90" s="4"/>
      <c r="F90" s="12">
        <f>IF(D$12=0,0,D90/D$12)</f>
        <v>0</v>
      </c>
      <c r="G90" s="4"/>
      <c r="H90" s="4"/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/>
      <c r="Q90" s="4"/>
      <c r="R90" s="12">
        <f>IF(P$12=0,0,P90/P$12)</f>
        <v>0</v>
      </c>
      <c r="S90" s="4"/>
      <c r="T90" s="4"/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5" t="s">
        <v>4</v>
      </c>
      <c r="C92" s="25"/>
      <c r="D92" s="34">
        <f>+D88-D90</f>
        <v>-11318.36</v>
      </c>
      <c r="E92" s="13"/>
      <c r="F92" s="31">
        <f>IF(D$12=0,0,D92/D$12)</f>
        <v>0</v>
      </c>
      <c r="G92" s="13"/>
      <c r="H92" s="34">
        <f>+H88-H90</f>
        <v>-7384.333333333333</v>
      </c>
      <c r="I92" s="13"/>
      <c r="J92" s="31">
        <f>IF(H$12=0,0,H92/H$12)</f>
        <v>0</v>
      </c>
      <c r="K92" s="16"/>
      <c r="L92" s="34">
        <f>D92-H92</f>
        <v>-3934.0266666666676</v>
      </c>
      <c r="M92" s="16"/>
      <c r="N92" s="31">
        <f>IF(H92=0,0,L92/H92)</f>
        <v>0.53275312598745106</v>
      </c>
      <c r="O92" s="26"/>
      <c r="P92" s="34">
        <f>+P88-P90</f>
        <v>-45190.04</v>
      </c>
      <c r="Q92" s="13"/>
      <c r="R92" s="31">
        <f>IF(P$12=0,0,P92/P$12)</f>
        <v>0</v>
      </c>
      <c r="S92" s="13"/>
      <c r="T92" s="34">
        <f>+T88-T90</f>
        <v>-44597</v>
      </c>
      <c r="U92" s="13"/>
      <c r="V92" s="31">
        <f>IF(T$12=0,0,T92/T$12)</f>
        <v>0</v>
      </c>
      <c r="W92" s="16"/>
      <c r="X92" s="34">
        <f>P92-T92</f>
        <v>-593.04000000000087</v>
      </c>
      <c r="Y92" s="16"/>
      <c r="Z92" s="31">
        <f>IF(T92=0,0,X92/T92)</f>
        <v>1.3297755454402782E-2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5" t="s">
        <v>5</v>
      </c>
      <c r="C95" s="25"/>
      <c r="D95" s="33">
        <f>SUM(D92:D94)</f>
        <v>-11318.36</v>
      </c>
      <c r="E95" s="13"/>
      <c r="F95" s="32">
        <f>IF(D$12=0,0,D95/D$12)</f>
        <v>0</v>
      </c>
      <c r="G95" s="13"/>
      <c r="H95" s="33">
        <f>SUM(H92:H94)</f>
        <v>-7384.333333333333</v>
      </c>
      <c r="I95" s="13"/>
      <c r="J95" s="32">
        <f>IF(H$12=0,0,H95/H$12)</f>
        <v>0</v>
      </c>
      <c r="K95" s="16"/>
      <c r="L95" s="33">
        <f>+D95-H95</f>
        <v>-3934.0266666666676</v>
      </c>
      <c r="M95" s="16"/>
      <c r="N95" s="32">
        <f>IF(H95=0,0,L95/H95)</f>
        <v>0.53275312598745106</v>
      </c>
      <c r="O95" s="26"/>
      <c r="P95" s="33">
        <f>SUM(P92:P94)</f>
        <v>-45190.04</v>
      </c>
      <c r="Q95" s="13"/>
      <c r="R95" s="32">
        <f>IF(P$12=0,0,P95/P$12)</f>
        <v>0</v>
      </c>
      <c r="S95" s="13"/>
      <c r="T95" s="33">
        <f>SUM(T92:T94)</f>
        <v>-44597</v>
      </c>
      <c r="U95" s="13"/>
      <c r="V95" s="32">
        <f>IF(T$12=0,0,T95/T$12)</f>
        <v>0</v>
      </c>
      <c r="W95" s="16"/>
      <c r="X95" s="33">
        <f>+P95-T95</f>
        <v>-593.04000000000087</v>
      </c>
      <c r="Y95" s="16"/>
      <c r="Z95" s="32">
        <f>IF(T95=0,0,X95/T95)</f>
        <v>1.3297755454402782E-2</v>
      </c>
    </row>
    <row r="96" spans="1:26" ht="15.75" thickTop="1" x14ac:dyDescent="0.25">
      <c r="A96" s="9"/>
      <c r="C96" s="9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63">
        <v>44209.518688310185</v>
      </c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60" t="s">
        <v>314</v>
      </c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A99" s="9"/>
      <c r="B99" s="58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4" x14ac:dyDescent="0.25"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","406", " - ", "OPA! Greek")</f>
        <v>Department 406 - OPA! Greek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6"/>
      <c r="L16" s="21">
        <f>+D16-H16</f>
        <v>0</v>
      </c>
      <c r="M16" s="16"/>
      <c r="N16" s="19">
        <f>IF(H16=0,0,L16/H16)</f>
        <v>0</v>
      </c>
      <c r="O16" s="26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6"/>
      <c r="X16" s="21">
        <f>+P16-T16</f>
        <v>0</v>
      </c>
      <c r="Y16" s="16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188.84</v>
      </c>
      <c r="E18" s="20"/>
      <c r="F18" s="30">
        <f t="shared" ref="F18:F28" si="0">IF(D$12=0,0,D18/D$12)</f>
        <v>0</v>
      </c>
      <c r="G18" s="20"/>
      <c r="H18" s="20">
        <f>SUM(OSRRefH22x_0)</f>
        <v>435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-246.16</v>
      </c>
      <c r="M18" s="4"/>
      <c r="N18" s="30">
        <f t="shared" ref="N18:N28" si="3">IF(H18=0,0,L18/H18)</f>
        <v>-0.56588505747126439</v>
      </c>
      <c r="O18" s="10"/>
      <c r="P18" s="20">
        <f>SUM(OSRRefP22x_0)</f>
        <v>1744.5</v>
      </c>
      <c r="Q18" s="20"/>
      <c r="R18" s="30">
        <f t="shared" ref="R18:R28" si="4">IF(P$12=0,0,P18/P$12)</f>
        <v>0</v>
      </c>
      <c r="S18" s="20"/>
      <c r="T18" s="20">
        <f>SUM(OSRRefT22x_0)</f>
        <v>2610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-865.5</v>
      </c>
      <c r="Y18" s="4"/>
      <c r="Z18" s="30">
        <f t="shared" ref="Z18:Z28" si="7">IF(T18=0,0,X18/T18)</f>
        <v>-0.33160919540229883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660.8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660.8</v>
      </c>
      <c r="Y19" s="1"/>
      <c r="Z19" s="5">
        <f t="shared" si="7"/>
        <v>0</v>
      </c>
    </row>
    <row r="20" spans="1:26" s="24" customFormat="1" hidden="1" outlineLevel="2" x14ac:dyDescent="0.25">
      <c r="A20" s="29"/>
      <c r="B20" s="11" t="str">
        <f>CONCATENATE("          ", "6113", " - ", "GROUP INSURANCE")</f>
        <v xml:space="preserve">          6113 - GROUP INSURANCE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660.8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660.8</v>
      </c>
      <c r="Y20" s="2"/>
      <c r="Z20" s="6">
        <f t="shared" si="7"/>
        <v>0</v>
      </c>
    </row>
    <row r="21" spans="1:26" s="28" customFormat="1" outlineLevel="1" collapsed="1" x14ac:dyDescent="0.25">
      <c r="A21" s="27"/>
      <c r="B21" s="14" t="str">
        <f>CONCATENATE("     ","Depreciation                                      ")</f>
        <v xml:space="preserve">     Depreciation                                      </v>
      </c>
      <c r="C21" s="14"/>
      <c r="D21" s="1">
        <f>SUM(OSRRefD22_1x_0)</f>
        <v>119.55</v>
      </c>
      <c r="E21" s="1"/>
      <c r="F21" s="5">
        <f t="shared" si="0"/>
        <v>0</v>
      </c>
      <c r="G21" s="1"/>
      <c r="H21" s="1">
        <f>SUM(OSRRefH22_1x_0)</f>
        <v>435</v>
      </c>
      <c r="I21" s="1"/>
      <c r="J21" s="5">
        <f t="shared" si="1"/>
        <v>0</v>
      </c>
      <c r="K21" s="1"/>
      <c r="L21" s="1">
        <f t="shared" si="2"/>
        <v>-315.45</v>
      </c>
      <c r="M21" s="1"/>
      <c r="N21" s="5">
        <f t="shared" si="3"/>
        <v>-0.72517241379310338</v>
      </c>
      <c r="O21" s="14"/>
      <c r="P21" s="1">
        <f>SUM(OSRRefP22_1x_0)</f>
        <v>717.3</v>
      </c>
      <c r="Q21" s="1"/>
      <c r="R21" s="5">
        <f t="shared" si="4"/>
        <v>0</v>
      </c>
      <c r="S21" s="1"/>
      <c r="T21" s="1">
        <f>SUM(OSRRefT22_1x_0)</f>
        <v>2610</v>
      </c>
      <c r="U21" s="1"/>
      <c r="V21" s="5">
        <f t="shared" si="5"/>
        <v>0</v>
      </c>
      <c r="W21" s="1"/>
      <c r="X21" s="1">
        <f t="shared" si="6"/>
        <v>-1892.7</v>
      </c>
      <c r="Y21" s="1"/>
      <c r="Z21" s="5">
        <f t="shared" si="7"/>
        <v>-0.72517241379310349</v>
      </c>
    </row>
    <row r="22" spans="1:26" s="24" customFormat="1" hidden="1" outlineLevel="2" x14ac:dyDescent="0.25">
      <c r="A22" s="29"/>
      <c r="B22" s="11" t="str">
        <f>CONCATENATE("          ", "6322", " - ", "EQUIPMENT DEPRECIATION EXPENSE")</f>
        <v xml:space="preserve">          6322 - EQUIPMENT DEPRECIATION EXPENSE</v>
      </c>
      <c r="C22" s="11"/>
      <c r="D22" s="7">
        <v>119.55</v>
      </c>
      <c r="E22" s="2"/>
      <c r="F22" s="6">
        <f t="shared" si="0"/>
        <v>0</v>
      </c>
      <c r="G22" s="2"/>
      <c r="H22" s="7">
        <v>435</v>
      </c>
      <c r="I22" s="2"/>
      <c r="J22" s="6">
        <f t="shared" si="1"/>
        <v>0</v>
      </c>
      <c r="K22" s="2"/>
      <c r="L22" s="7">
        <f t="shared" si="2"/>
        <v>-315.45</v>
      </c>
      <c r="M22" s="2"/>
      <c r="N22" s="6">
        <f t="shared" si="3"/>
        <v>-0.72517241379310338</v>
      </c>
      <c r="O22" s="11"/>
      <c r="P22" s="7">
        <v>717.3</v>
      </c>
      <c r="Q22" s="2"/>
      <c r="R22" s="6">
        <f t="shared" si="4"/>
        <v>0</v>
      </c>
      <c r="S22" s="2"/>
      <c r="T22" s="7">
        <v>2610</v>
      </c>
      <c r="U22" s="2"/>
      <c r="V22" s="6">
        <f t="shared" si="5"/>
        <v>0</v>
      </c>
      <c r="W22" s="2"/>
      <c r="X22" s="7">
        <f t="shared" si="6"/>
        <v>-1892.7</v>
      </c>
      <c r="Y22" s="2"/>
      <c r="Z22" s="6">
        <f t="shared" si="7"/>
        <v>-0.72517241379310349</v>
      </c>
    </row>
    <row r="23" spans="1:26" s="28" customFormat="1" outlineLevel="1" collapsed="1" x14ac:dyDescent="0.25">
      <c r="A23" s="27"/>
      <c r="B23" s="14" t="str">
        <f>CONCATENATE("     ","Equipment Rental                                  ")</f>
        <v xml:space="preserve">     Equipment Rental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64.02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64.02</v>
      </c>
      <c r="Y23" s="1"/>
      <c r="Z23" s="5">
        <f t="shared" si="7"/>
        <v>0</v>
      </c>
    </row>
    <row r="24" spans="1:26" s="24" customFormat="1" hidden="1" outlineLevel="2" x14ac:dyDescent="0.25">
      <c r="A24" s="29"/>
      <c r="B24" s="11" t="str">
        <f>CONCATENATE("          ", "6351", " - ", "EQUIPMENT RENTAL")</f>
        <v xml:space="preserve">          6351 - EQUIPMENT RENTAL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64.02</v>
      </c>
      <c r="Q24" s="2"/>
      <c r="R24" s="6">
        <f t="shared" si="4"/>
        <v>0</v>
      </c>
      <c r="S24" s="2"/>
      <c r="T24" s="7"/>
      <c r="U24" s="2"/>
      <c r="V24" s="6">
        <f t="shared" si="5"/>
        <v>0</v>
      </c>
      <c r="W24" s="2"/>
      <c r="X24" s="7">
        <f t="shared" si="6"/>
        <v>64.02</v>
      </c>
      <c r="Y24" s="2"/>
      <c r="Z24" s="6">
        <f t="shared" si="7"/>
        <v>0</v>
      </c>
    </row>
    <row r="25" spans="1:26" s="28" customFormat="1" outlineLevel="1" collapsed="1" x14ac:dyDescent="0.25">
      <c r="A25" s="27"/>
      <c r="B25" s="14" t="str">
        <f>CONCATENATE("     ","Repair and Maintenance                            ")</f>
        <v xml:space="preserve">     Repair and Maintenance                            </v>
      </c>
      <c r="C25" s="14"/>
      <c r="D25" s="1">
        <f>SUM(OSRRefD22_3x_0)</f>
        <v>69.290000000000006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69.290000000000006</v>
      </c>
      <c r="M25" s="1"/>
      <c r="N25" s="5">
        <f t="shared" si="3"/>
        <v>0</v>
      </c>
      <c r="O25" s="14"/>
      <c r="P25" s="1">
        <f>SUM(OSRRefP22_3x_0)</f>
        <v>217.18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217.18</v>
      </c>
      <c r="Y25" s="1"/>
      <c r="Z25" s="5">
        <f t="shared" si="7"/>
        <v>0</v>
      </c>
    </row>
    <row r="26" spans="1:26" s="24" customFormat="1" hidden="1" outlineLevel="2" x14ac:dyDescent="0.25">
      <c r="A26" s="29"/>
      <c r="B26" s="11" t="str">
        <f>CONCATENATE("          ", "6373", " - ", "MAINTENANCE CONTRACTS")</f>
        <v xml:space="preserve">          6373 - MAINTENANCE CONTRACTS</v>
      </c>
      <c r="C26" s="11"/>
      <c r="D26" s="7">
        <v>69.290000000000006</v>
      </c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69.290000000000006</v>
      </c>
      <c r="M26" s="2"/>
      <c r="N26" s="6">
        <f t="shared" si="3"/>
        <v>0</v>
      </c>
      <c r="O26" s="11"/>
      <c r="P26" s="7">
        <v>217.18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217.18</v>
      </c>
      <c r="Y26" s="2"/>
      <c r="Z26" s="6">
        <f t="shared" si="7"/>
        <v>0</v>
      </c>
    </row>
    <row r="27" spans="1:26" s="28" customFormat="1" outlineLevel="1" collapsed="1" x14ac:dyDescent="0.25">
      <c r="A27" s="27"/>
      <c r="B27" s="14" t="str">
        <f>CONCATENATE("     ","Telephone/Data Lines                              ")</f>
        <v xml:space="preserve">     Telephone/Data Lines                              </v>
      </c>
      <c r="C27" s="14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4"/>
      <c r="P27" s="1">
        <f>SUM(OSRRefP22_4x_0)</f>
        <v>85.2</v>
      </c>
      <c r="Q27" s="1"/>
      <c r="R27" s="5">
        <f t="shared" si="4"/>
        <v>0</v>
      </c>
      <c r="S27" s="1"/>
      <c r="T27" s="1">
        <f>SUM(OSRRefT22_4x_0)</f>
        <v>0</v>
      </c>
      <c r="U27" s="1"/>
      <c r="V27" s="5">
        <f t="shared" si="5"/>
        <v>0</v>
      </c>
      <c r="W27" s="1"/>
      <c r="X27" s="1">
        <f t="shared" si="6"/>
        <v>85.2</v>
      </c>
      <c r="Y27" s="1"/>
      <c r="Z27" s="5">
        <f t="shared" si="7"/>
        <v>0</v>
      </c>
    </row>
    <row r="28" spans="1:26" s="24" customFormat="1" hidden="1" outlineLevel="2" x14ac:dyDescent="0.25">
      <c r="A28" s="29"/>
      <c r="B28" s="11" t="str">
        <f>CONCATENATE("          ", "6309", " - ", "TELEPHONE")</f>
        <v xml:space="preserve">          6309 - TELEPHONE</v>
      </c>
      <c r="C28" s="11"/>
      <c r="D28" s="7"/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0</v>
      </c>
      <c r="M28" s="2"/>
      <c r="N28" s="6">
        <f t="shared" si="3"/>
        <v>0</v>
      </c>
      <c r="O28" s="11"/>
      <c r="P28" s="7">
        <v>85.2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85.2</v>
      </c>
      <c r="Y28" s="2"/>
      <c r="Z28" s="6">
        <f t="shared" si="7"/>
        <v>0</v>
      </c>
    </row>
    <row r="29" spans="1:26" s="53" customFormat="1" x14ac:dyDescent="0.25">
      <c r="A29" s="36"/>
      <c r="B29" s="36"/>
      <c r="C29" s="36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6" t="s">
        <v>0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5" t="s">
        <v>3</v>
      </c>
      <c r="C32" s="25"/>
      <c r="D32" s="21">
        <f>+D16-D18+D30</f>
        <v>-188.84</v>
      </c>
      <c r="E32" s="13"/>
      <c r="F32" s="19">
        <f>IF(D$12=0,0,D32/D$12)</f>
        <v>0</v>
      </c>
      <c r="G32" s="13"/>
      <c r="H32" s="21">
        <f>+H16-H18+H30</f>
        <v>-435</v>
      </c>
      <c r="I32" s="13"/>
      <c r="J32" s="19">
        <f>IF(H$12=0,0,H32/H$12)</f>
        <v>0</v>
      </c>
      <c r="K32" s="16"/>
      <c r="L32" s="21">
        <f>+D32-H32</f>
        <v>246.16</v>
      </c>
      <c r="M32" s="16"/>
      <c r="N32" s="19">
        <f>IF(H32=0,0,L32/H32)</f>
        <v>-0.56588505747126439</v>
      </c>
      <c r="O32" s="26"/>
      <c r="P32" s="21">
        <f>+P16-P18+P30</f>
        <v>-1744.5</v>
      </c>
      <c r="Q32" s="13"/>
      <c r="R32" s="19">
        <f>IF(P$12=0,0,P32/P$12)</f>
        <v>0</v>
      </c>
      <c r="S32" s="13"/>
      <c r="T32" s="21">
        <f>+T16-T18+T30</f>
        <v>-2610</v>
      </c>
      <c r="U32" s="13"/>
      <c r="V32" s="19">
        <f>IF(T$12=0,0,T32/T$12)</f>
        <v>0</v>
      </c>
      <c r="W32" s="16"/>
      <c r="X32" s="21">
        <f>+P32-T32</f>
        <v>865.5</v>
      </c>
      <c r="Y32" s="16"/>
      <c r="Z32" s="19">
        <f>IF(T32=0,0,X32/T32)</f>
        <v>-0.33160919540229883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2"/>
      <c r="B34" s="10" t="s">
        <v>14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4</v>
      </c>
      <c r="C36" s="25"/>
      <c r="D36" s="34">
        <f>+D32-D34</f>
        <v>-188.84</v>
      </c>
      <c r="E36" s="13"/>
      <c r="F36" s="31">
        <f>IF(D$12=0,0,D36/D$12)</f>
        <v>0</v>
      </c>
      <c r="G36" s="13"/>
      <c r="H36" s="34">
        <f>+H32-H34</f>
        <v>-435</v>
      </c>
      <c r="I36" s="13"/>
      <c r="J36" s="31">
        <f>IF(H$12=0,0,H36/H$12)</f>
        <v>0</v>
      </c>
      <c r="K36" s="16"/>
      <c r="L36" s="34">
        <f>D36-H36</f>
        <v>246.16</v>
      </c>
      <c r="M36" s="16"/>
      <c r="N36" s="31">
        <f>IF(H36=0,0,L36/H36)</f>
        <v>-0.56588505747126439</v>
      </c>
      <c r="O36" s="26"/>
      <c r="P36" s="34">
        <f>+P32-P34</f>
        <v>-1744.5</v>
      </c>
      <c r="Q36" s="13"/>
      <c r="R36" s="31">
        <f>IF(P$12=0,0,P36/P$12)</f>
        <v>0</v>
      </c>
      <c r="S36" s="13"/>
      <c r="T36" s="34">
        <f>+T32-T34</f>
        <v>-2610</v>
      </c>
      <c r="U36" s="13"/>
      <c r="V36" s="31">
        <f>IF(T$12=0,0,T36/T$12)</f>
        <v>0</v>
      </c>
      <c r="W36" s="16"/>
      <c r="X36" s="34">
        <f>P36-T36</f>
        <v>865.5</v>
      </c>
      <c r="Y36" s="16"/>
      <c r="Z36" s="31">
        <f>IF(T36=0,0,X36/T36)</f>
        <v>-0.33160919540229883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5" t="s">
        <v>5</v>
      </c>
      <c r="C39" s="25"/>
      <c r="D39" s="33">
        <f>SUM(D36:D38)</f>
        <v>-188.84</v>
      </c>
      <c r="E39" s="13"/>
      <c r="F39" s="32">
        <f>IF(D$12=0,0,D39/D$12)</f>
        <v>0</v>
      </c>
      <c r="G39" s="13"/>
      <c r="H39" s="33">
        <f>SUM(H36:H38)</f>
        <v>-435</v>
      </c>
      <c r="I39" s="13"/>
      <c r="J39" s="32">
        <f>IF(H$12=0,0,H39/H$12)</f>
        <v>0</v>
      </c>
      <c r="K39" s="16"/>
      <c r="L39" s="33">
        <f>+D39-H39</f>
        <v>246.16</v>
      </c>
      <c r="M39" s="16"/>
      <c r="N39" s="32">
        <f>IF(H39=0,0,L39/H39)</f>
        <v>-0.56588505747126439</v>
      </c>
      <c r="O39" s="26"/>
      <c r="P39" s="33">
        <f>SUM(P36:P38)</f>
        <v>-1744.5</v>
      </c>
      <c r="Q39" s="13"/>
      <c r="R39" s="32">
        <f>IF(P$12=0,0,P39/P$12)</f>
        <v>0</v>
      </c>
      <c r="S39" s="13"/>
      <c r="T39" s="33">
        <f>SUM(T36:T38)</f>
        <v>-2610</v>
      </c>
      <c r="U39" s="13"/>
      <c r="V39" s="32">
        <f>IF(T$12=0,0,T39/T$12)</f>
        <v>0</v>
      </c>
      <c r="W39" s="16"/>
      <c r="X39" s="33">
        <f>+P39-T39</f>
        <v>865.5</v>
      </c>
      <c r="Y39" s="16"/>
      <c r="Z39" s="32">
        <f>IF(T39=0,0,X39/T39)</f>
        <v>-0.33160919540229883</v>
      </c>
    </row>
    <row r="40" spans="1:26" ht="15.75" thickTop="1" x14ac:dyDescent="0.25">
      <c r="A40" s="9"/>
      <c r="C40" s="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63">
        <v>44209.51870158565</v>
      </c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A42" s="9"/>
      <c r="B42" s="60" t="s">
        <v>314</v>
      </c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A43" s="9"/>
      <c r="B43" s="58"/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25"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","411", " - ", "University Dining")</f>
        <v>Department 411 - University Dining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6"/>
      <c r="L16" s="21">
        <f>+D16-H16</f>
        <v>0</v>
      </c>
      <c r="M16" s="16"/>
      <c r="N16" s="19">
        <f>IF(H16=0,0,L16/H16)</f>
        <v>0</v>
      </c>
      <c r="O16" s="26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6"/>
      <c r="X16" s="21">
        <f>+P16-T16</f>
        <v>0</v>
      </c>
      <c r="Y16" s="16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33196.869999999995</v>
      </c>
      <c r="E18" s="20"/>
      <c r="F18" s="30">
        <f t="shared" ref="F18:F28" si="0">IF(D$12=0,0,D18/D$12)</f>
        <v>0</v>
      </c>
      <c r="G18" s="20"/>
      <c r="H18" s="20">
        <f>SUM(OSRRefH22x_0)</f>
        <v>19320.461538461539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13876.408461538456</v>
      </c>
      <c r="M18" s="4"/>
      <c r="N18" s="30">
        <f t="shared" ref="N18:N28" si="3">IF(H18=0,0,L18/H18)</f>
        <v>0.71822344584856201</v>
      </c>
      <c r="O18" s="10"/>
      <c r="P18" s="20">
        <f>SUM(OSRRefP22x_0)</f>
        <v>152396.26000000004</v>
      </c>
      <c r="Q18" s="20"/>
      <c r="R18" s="30">
        <f t="shared" ref="R18:R28" si="4">IF(P$12=0,0,P18/P$12)</f>
        <v>0</v>
      </c>
      <c r="S18" s="20"/>
      <c r="T18" s="20">
        <f>SUM(OSRRefT22x_0)</f>
        <v>107513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44883.260000000038</v>
      </c>
      <c r="Y18" s="4"/>
      <c r="Z18" s="30">
        <f t="shared" ref="Z18:Z28" si="7">IF(T18=0,0,X18/T18)</f>
        <v>0.41746821314631755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5004.6100000000006</v>
      </c>
      <c r="E19" s="1"/>
      <c r="F19" s="5">
        <f t="shared" si="0"/>
        <v>0</v>
      </c>
      <c r="G19" s="1"/>
      <c r="H19" s="1">
        <f>SUM(OSRRefH22_0x_0)</f>
        <v>3013.4615384615399</v>
      </c>
      <c r="I19" s="1"/>
      <c r="J19" s="5">
        <f t="shared" si="1"/>
        <v>0</v>
      </c>
      <c r="K19" s="1"/>
      <c r="L19" s="1">
        <f t="shared" si="2"/>
        <v>1991.1484615384607</v>
      </c>
      <c r="M19" s="1"/>
      <c r="N19" s="5">
        <f t="shared" si="3"/>
        <v>0.66075124441608102</v>
      </c>
      <c r="O19" s="14"/>
      <c r="P19" s="1">
        <f>SUM(OSRRefP22_0x_0)</f>
        <v>36199.509999999995</v>
      </c>
      <c r="Q19" s="1"/>
      <c r="R19" s="5">
        <f t="shared" si="4"/>
        <v>0</v>
      </c>
      <c r="S19" s="1"/>
      <c r="T19" s="1">
        <f>SUM(OSRRefT22_0x_0)</f>
        <v>18720</v>
      </c>
      <c r="U19" s="1"/>
      <c r="V19" s="5">
        <f t="shared" si="5"/>
        <v>0</v>
      </c>
      <c r="W19" s="1"/>
      <c r="X19" s="1">
        <f t="shared" si="6"/>
        <v>17479.509999999995</v>
      </c>
      <c r="Y19" s="1"/>
      <c r="Z19" s="5">
        <f t="shared" si="7"/>
        <v>0.93373450854700824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160.5</v>
      </c>
      <c r="E20" s="2"/>
      <c r="F20" s="6">
        <f t="shared" si="0"/>
        <v>0</v>
      </c>
      <c r="G20" s="2"/>
      <c r="H20" s="7">
        <v>0</v>
      </c>
      <c r="I20" s="2"/>
      <c r="J20" s="6">
        <f t="shared" si="1"/>
        <v>0</v>
      </c>
      <c r="K20" s="2"/>
      <c r="L20" s="7">
        <f t="shared" si="2"/>
        <v>160.5</v>
      </c>
      <c r="M20" s="2"/>
      <c r="N20" s="6">
        <f t="shared" si="3"/>
        <v>0</v>
      </c>
      <c r="O20" s="11"/>
      <c r="P20" s="7">
        <v>5336.09</v>
      </c>
      <c r="Q20" s="2"/>
      <c r="R20" s="6">
        <f t="shared" si="4"/>
        <v>0</v>
      </c>
      <c r="S20" s="2"/>
      <c r="T20" s="7">
        <v>0</v>
      </c>
      <c r="U20" s="2"/>
      <c r="V20" s="6">
        <f t="shared" si="5"/>
        <v>0</v>
      </c>
      <c r="W20" s="2"/>
      <c r="X20" s="7">
        <f t="shared" si="6"/>
        <v>5336.09</v>
      </c>
      <c r="Y20" s="2"/>
      <c r="Z20" s="6">
        <f t="shared" si="7"/>
        <v>0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94.86</v>
      </c>
      <c r="E21" s="2"/>
      <c r="F21" s="6">
        <f t="shared" si="0"/>
        <v>0</v>
      </c>
      <c r="G21" s="2"/>
      <c r="H21" s="7">
        <v>0</v>
      </c>
      <c r="I21" s="2"/>
      <c r="J21" s="6">
        <f t="shared" si="1"/>
        <v>0</v>
      </c>
      <c r="K21" s="2"/>
      <c r="L21" s="7">
        <f t="shared" si="2"/>
        <v>94.86</v>
      </c>
      <c r="M21" s="2"/>
      <c r="N21" s="6">
        <f t="shared" si="3"/>
        <v>0</v>
      </c>
      <c r="O21" s="11"/>
      <c r="P21" s="7">
        <v>425.07</v>
      </c>
      <c r="Q21" s="2"/>
      <c r="R21" s="6">
        <f t="shared" si="4"/>
        <v>0</v>
      </c>
      <c r="S21" s="2"/>
      <c r="T21" s="7">
        <v>0</v>
      </c>
      <c r="U21" s="2"/>
      <c r="V21" s="6">
        <f t="shared" si="5"/>
        <v>0</v>
      </c>
      <c r="W21" s="2"/>
      <c r="X21" s="7">
        <f t="shared" si="6"/>
        <v>425.07</v>
      </c>
      <c r="Y21" s="2"/>
      <c r="Z21" s="6">
        <f t="shared" si="7"/>
        <v>0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1950.75</v>
      </c>
      <c r="E22" s="2"/>
      <c r="F22" s="6">
        <f t="shared" si="0"/>
        <v>0</v>
      </c>
      <c r="G22" s="2"/>
      <c r="H22" s="7">
        <v>2663.4615384615399</v>
      </c>
      <c r="I22" s="2"/>
      <c r="J22" s="6">
        <f t="shared" si="1"/>
        <v>0</v>
      </c>
      <c r="K22" s="2"/>
      <c r="L22" s="7">
        <f t="shared" si="2"/>
        <v>-712.71153846153993</v>
      </c>
      <c r="M22" s="2"/>
      <c r="N22" s="6">
        <f t="shared" si="3"/>
        <v>-0.26758844765342998</v>
      </c>
      <c r="O22" s="11"/>
      <c r="P22" s="7">
        <v>10570.47</v>
      </c>
      <c r="Q22" s="2"/>
      <c r="R22" s="6">
        <f t="shared" si="4"/>
        <v>0</v>
      </c>
      <c r="S22" s="2"/>
      <c r="T22" s="7">
        <v>16620</v>
      </c>
      <c r="U22" s="2"/>
      <c r="V22" s="6">
        <f t="shared" si="5"/>
        <v>0</v>
      </c>
      <c r="W22" s="2"/>
      <c r="X22" s="7">
        <f t="shared" si="6"/>
        <v>-6049.5300000000007</v>
      </c>
      <c r="Y22" s="2"/>
      <c r="Z22" s="6">
        <f t="shared" si="7"/>
        <v>-0.36399097472924191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0</v>
      </c>
      <c r="I23" s="2"/>
      <c r="J23" s="6">
        <f t="shared" si="1"/>
        <v>0</v>
      </c>
      <c r="K23" s="2"/>
      <c r="L23" s="7">
        <f t="shared" si="2"/>
        <v>0</v>
      </c>
      <c r="M23" s="2"/>
      <c r="N23" s="6">
        <f t="shared" si="3"/>
        <v>0</v>
      </c>
      <c r="O23" s="11"/>
      <c r="P23" s="7">
        <v>195.27</v>
      </c>
      <c r="Q23" s="2"/>
      <c r="R23" s="6">
        <f t="shared" si="4"/>
        <v>0</v>
      </c>
      <c r="S23" s="2"/>
      <c r="T23" s="7">
        <v>0</v>
      </c>
      <c r="U23" s="2"/>
      <c r="V23" s="6">
        <f t="shared" si="5"/>
        <v>0</v>
      </c>
      <c r="W23" s="2"/>
      <c r="X23" s="7">
        <f t="shared" si="6"/>
        <v>195.27</v>
      </c>
      <c r="Y23" s="2"/>
      <c r="Z23" s="6">
        <f t="shared" si="7"/>
        <v>0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1221.05</v>
      </c>
      <c r="E24" s="2"/>
      <c r="F24" s="6">
        <f t="shared" si="0"/>
        <v>0</v>
      </c>
      <c r="G24" s="2"/>
      <c r="H24" s="7">
        <v>0</v>
      </c>
      <c r="I24" s="2"/>
      <c r="J24" s="6">
        <f t="shared" si="1"/>
        <v>0</v>
      </c>
      <c r="K24" s="2"/>
      <c r="L24" s="7">
        <f t="shared" si="2"/>
        <v>1221.05</v>
      </c>
      <c r="M24" s="2"/>
      <c r="N24" s="6">
        <f t="shared" si="3"/>
        <v>0</v>
      </c>
      <c r="O24" s="11"/>
      <c r="P24" s="7">
        <v>8987.2099999999991</v>
      </c>
      <c r="Q24" s="2"/>
      <c r="R24" s="6">
        <f t="shared" si="4"/>
        <v>0</v>
      </c>
      <c r="S24" s="2"/>
      <c r="T24" s="7">
        <v>0</v>
      </c>
      <c r="U24" s="2"/>
      <c r="V24" s="6">
        <f t="shared" si="5"/>
        <v>0</v>
      </c>
      <c r="W24" s="2"/>
      <c r="X24" s="7">
        <f t="shared" si="6"/>
        <v>8987.2099999999991</v>
      </c>
      <c r="Y24" s="2"/>
      <c r="Z24" s="6">
        <f t="shared" si="7"/>
        <v>0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1022.52</v>
      </c>
      <c r="E26" s="2"/>
      <c r="F26" s="6">
        <f t="shared" si="0"/>
        <v>0</v>
      </c>
      <c r="G26" s="2"/>
      <c r="H26" s="7">
        <v>0</v>
      </c>
      <c r="I26" s="2"/>
      <c r="J26" s="6">
        <f t="shared" si="1"/>
        <v>0</v>
      </c>
      <c r="K26" s="2"/>
      <c r="L26" s="7">
        <f t="shared" si="2"/>
        <v>1022.52</v>
      </c>
      <c r="M26" s="2"/>
      <c r="N26" s="6">
        <f t="shared" si="3"/>
        <v>0</v>
      </c>
      <c r="O26" s="11"/>
      <c r="P26" s="7">
        <v>6838.52</v>
      </c>
      <c r="Q26" s="2"/>
      <c r="R26" s="6">
        <f t="shared" si="4"/>
        <v>0</v>
      </c>
      <c r="S26" s="2"/>
      <c r="T26" s="7">
        <v>0</v>
      </c>
      <c r="U26" s="2"/>
      <c r="V26" s="6">
        <f t="shared" si="5"/>
        <v>0</v>
      </c>
      <c r="W26" s="2"/>
      <c r="X26" s="7">
        <f t="shared" si="6"/>
        <v>6838.52</v>
      </c>
      <c r="Y26" s="2"/>
      <c r="Z26" s="6">
        <f t="shared" si="7"/>
        <v>0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510.58</v>
      </c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510.58</v>
      </c>
      <c r="M27" s="2"/>
      <c r="N27" s="6">
        <f t="shared" si="3"/>
        <v>0</v>
      </c>
      <c r="O27" s="11"/>
      <c r="P27" s="7">
        <v>3414.71</v>
      </c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3414.71</v>
      </c>
      <c r="Y27" s="2"/>
      <c r="Z27" s="6">
        <f t="shared" si="7"/>
        <v>0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44.35</v>
      </c>
      <c r="E28" s="2"/>
      <c r="F28" s="6">
        <f t="shared" si="0"/>
        <v>0</v>
      </c>
      <c r="G28" s="2"/>
      <c r="H28" s="7">
        <v>350</v>
      </c>
      <c r="I28" s="2"/>
      <c r="J28" s="6">
        <f t="shared" si="1"/>
        <v>0</v>
      </c>
      <c r="K28" s="2"/>
      <c r="L28" s="7">
        <f t="shared" si="2"/>
        <v>-305.64999999999998</v>
      </c>
      <c r="M28" s="2"/>
      <c r="N28" s="6">
        <f t="shared" si="3"/>
        <v>-0.87328571428571422</v>
      </c>
      <c r="O28" s="11"/>
      <c r="P28" s="7">
        <v>432.17</v>
      </c>
      <c r="Q28" s="2"/>
      <c r="R28" s="6">
        <f t="shared" si="4"/>
        <v>0</v>
      </c>
      <c r="S28" s="2"/>
      <c r="T28" s="7">
        <v>2100</v>
      </c>
      <c r="U28" s="2"/>
      <c r="V28" s="6">
        <f t="shared" si="5"/>
        <v>0</v>
      </c>
      <c r="W28" s="2"/>
      <c r="X28" s="7">
        <f t="shared" si="6"/>
        <v>-1667.83</v>
      </c>
      <c r="Y28" s="2"/>
      <c r="Z28" s="6">
        <f t="shared" si="7"/>
        <v>-0.79420476190476186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8855.42</v>
      </c>
      <c r="E29" s="1"/>
      <c r="F29" s="5">
        <f t="shared" ref="F29:F39" si="8">IF(D$12=0,0,D29/D$12)</f>
        <v>0</v>
      </c>
      <c r="G29" s="1"/>
      <c r="H29" s="1">
        <f>SUM(OSRRefH22_1x_0)</f>
        <v>0</v>
      </c>
      <c r="I29" s="1"/>
      <c r="J29" s="5">
        <f t="shared" ref="J29:J39" si="9">IF(H$12=0,0,H29/H$12)</f>
        <v>0</v>
      </c>
      <c r="K29" s="1"/>
      <c r="L29" s="1">
        <f t="shared" ref="L29:L39" si="10">+D29-H29</f>
        <v>8855.42</v>
      </c>
      <c r="M29" s="1"/>
      <c r="N29" s="5">
        <f t="shared" ref="N29:N39" si="11">IF(H29=0,0,L29/H29)</f>
        <v>0</v>
      </c>
      <c r="O29" s="14"/>
      <c r="P29" s="1">
        <f>SUM(OSRRefP22_1x_0)</f>
        <v>65064.80000000001</v>
      </c>
      <c r="Q29" s="1"/>
      <c r="R29" s="5">
        <f t="shared" ref="R29:R39" si="12">IF(P$12=0,0,P29/P$12)</f>
        <v>0</v>
      </c>
      <c r="S29" s="1"/>
      <c r="T29" s="1">
        <f>SUM(OSRRefT22_1x_0)</f>
        <v>0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65064.80000000001</v>
      </c>
      <c r="Y29" s="1"/>
      <c r="Z29" s="5">
        <f t="shared" ref="Z29:Z39" si="15">IF(T29=0,0,X29/T29)</f>
        <v>0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>
        <v>8855.42</v>
      </c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8855.42</v>
      </c>
      <c r="M30" s="2"/>
      <c r="N30" s="6">
        <f t="shared" si="11"/>
        <v>0</v>
      </c>
      <c r="O30" s="11"/>
      <c r="P30" s="7">
        <v>62679.80000000001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62679.80000000001</v>
      </c>
      <c r="Y30" s="2"/>
      <c r="Z30" s="6">
        <f t="shared" si="15"/>
        <v>0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>
        <v>2080</v>
      </c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2080</v>
      </c>
      <c r="Y31" s="2"/>
      <c r="Z31" s="6">
        <f t="shared" si="15"/>
        <v>0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>
        <v>305</v>
      </c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305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25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0</v>
      </c>
      <c r="M40" s="1"/>
      <c r="N40" s="5">
        <f t="shared" ref="N40:N46" si="19">IF(H40=0,0,L40/H40)</f>
        <v>0</v>
      </c>
      <c r="O40" s="14"/>
      <c r="P40" s="1">
        <f>SUM(OSRRefP22_2x_0)</f>
        <v>0</v>
      </c>
      <c r="Q40" s="1"/>
      <c r="R40" s="5">
        <f t="shared" ref="R40:R46" si="20">IF(P$12=0,0,P40/P$12)</f>
        <v>0</v>
      </c>
      <c r="S40" s="1"/>
      <c r="T40" s="1">
        <f>SUM(OSRRefT22_2x_0)</f>
        <v>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0</v>
      </c>
      <c r="Y40" s="1"/>
      <c r="Z40" s="5">
        <f t="shared" ref="Z40:Z46" si="23">IF(T40=0,0,X40/T40)</f>
        <v>0</v>
      </c>
    </row>
    <row r="41" spans="1:26" s="24" customFormat="1" hidden="1" outlineLevel="2" x14ac:dyDescent="0.25">
      <c r="A41" s="29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16"/>
        <v>0</v>
      </c>
      <c r="G41" s="2"/>
      <c r="H41" s="7">
        <v>0</v>
      </c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/>
      <c r="Q41" s="2"/>
      <c r="R41" s="6">
        <f t="shared" si="20"/>
        <v>0</v>
      </c>
      <c r="S41" s="2"/>
      <c r="T41" s="7">
        <v>0</v>
      </c>
      <c r="U41" s="2"/>
      <c r="V41" s="6">
        <f t="shared" si="21"/>
        <v>0</v>
      </c>
      <c r="W41" s="2"/>
      <c r="X41" s="7">
        <f t="shared" si="22"/>
        <v>0</v>
      </c>
      <c r="Y41" s="2"/>
      <c r="Z41" s="6">
        <f t="shared" si="23"/>
        <v>0</v>
      </c>
    </row>
    <row r="42" spans="1:26" s="28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SUM(OSRRefD22_3x_0)</f>
        <v>361.96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361.96</v>
      </c>
      <c r="M42" s="1"/>
      <c r="N42" s="5">
        <f t="shared" si="19"/>
        <v>0</v>
      </c>
      <c r="O42" s="14"/>
      <c r="P42" s="1">
        <f>SUM(OSRRefP22_3x_0)</f>
        <v>2187.91</v>
      </c>
      <c r="Q42" s="1"/>
      <c r="R42" s="5">
        <f t="shared" si="20"/>
        <v>0</v>
      </c>
      <c r="S42" s="1"/>
      <c r="T42" s="1">
        <f>SUM(OSRRefT22_3x_0)</f>
        <v>0</v>
      </c>
      <c r="U42" s="1"/>
      <c r="V42" s="5">
        <f t="shared" si="21"/>
        <v>0</v>
      </c>
      <c r="W42" s="1"/>
      <c r="X42" s="1">
        <f t="shared" si="22"/>
        <v>2187.91</v>
      </c>
      <c r="Y42" s="1"/>
      <c r="Z42" s="5">
        <f t="shared" si="23"/>
        <v>0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7">
        <v>361.96</v>
      </c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361.96</v>
      </c>
      <c r="M43" s="2"/>
      <c r="N43" s="6">
        <f t="shared" si="19"/>
        <v>0</v>
      </c>
      <c r="O43" s="11"/>
      <c r="P43" s="7">
        <v>2187.91</v>
      </c>
      <c r="Q43" s="2"/>
      <c r="R43" s="6">
        <f t="shared" si="20"/>
        <v>0</v>
      </c>
      <c r="S43" s="2"/>
      <c r="T43" s="7"/>
      <c r="U43" s="2"/>
      <c r="V43" s="6">
        <f t="shared" si="21"/>
        <v>0</v>
      </c>
      <c r="W43" s="2"/>
      <c r="X43" s="7">
        <f t="shared" si="22"/>
        <v>2187.91</v>
      </c>
      <c r="Y43" s="2"/>
      <c r="Z43" s="6">
        <f t="shared" si="23"/>
        <v>0</v>
      </c>
    </row>
    <row r="44" spans="1:26" s="28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SUM(OSRRefD22_4x_0)</f>
        <v>6779.8600000000006</v>
      </c>
      <c r="E44" s="1"/>
      <c r="F44" s="5">
        <f t="shared" si="16"/>
        <v>0</v>
      </c>
      <c r="G44" s="1"/>
      <c r="H44" s="1">
        <f>SUM(OSRRefH22_4x_0)</f>
        <v>6744</v>
      </c>
      <c r="I44" s="1"/>
      <c r="J44" s="5">
        <f t="shared" si="17"/>
        <v>0</v>
      </c>
      <c r="K44" s="1"/>
      <c r="L44" s="1">
        <f t="shared" si="18"/>
        <v>35.860000000000582</v>
      </c>
      <c r="M44" s="1"/>
      <c r="N44" s="5">
        <f t="shared" si="19"/>
        <v>5.3173190984579745E-3</v>
      </c>
      <c r="O44" s="14"/>
      <c r="P44" s="1">
        <f>SUM(OSRRefP22_4x_0)</f>
        <v>41463.350000000006</v>
      </c>
      <c r="Q44" s="1"/>
      <c r="R44" s="5">
        <f t="shared" si="20"/>
        <v>0</v>
      </c>
      <c r="S44" s="1"/>
      <c r="T44" s="1">
        <f>SUM(OSRRefT22_4x_0)</f>
        <v>41250</v>
      </c>
      <c r="U44" s="1"/>
      <c r="V44" s="5">
        <f t="shared" si="21"/>
        <v>0</v>
      </c>
      <c r="W44" s="1"/>
      <c r="X44" s="1">
        <f t="shared" si="22"/>
        <v>213.35000000000582</v>
      </c>
      <c r="Y44" s="1"/>
      <c r="Z44" s="5">
        <f t="shared" si="23"/>
        <v>5.1721212121213535E-3</v>
      </c>
    </row>
    <row r="45" spans="1:26" s="24" customFormat="1" hidden="1" outlineLevel="2" x14ac:dyDescent="0.25">
      <c r="A45" s="29"/>
      <c r="B45" s="11" t="str">
        <f>CONCATENATE("          ", "6321", " - ", "BUILDING DEPRECIATION")</f>
        <v xml:space="preserve">          6321 - BUILDING DEPRECIATION</v>
      </c>
      <c r="C45" s="11"/>
      <c r="D45" s="7">
        <v>1822.68</v>
      </c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1822.68</v>
      </c>
      <c r="M45" s="2"/>
      <c r="N45" s="6">
        <f t="shared" si="19"/>
        <v>0</v>
      </c>
      <c r="O45" s="11"/>
      <c r="P45" s="7">
        <v>11720.27</v>
      </c>
      <c r="Q45" s="2"/>
      <c r="R45" s="6">
        <f t="shared" si="20"/>
        <v>0</v>
      </c>
      <c r="S45" s="2"/>
      <c r="T45" s="7"/>
      <c r="U45" s="2"/>
      <c r="V45" s="6">
        <f t="shared" si="21"/>
        <v>0</v>
      </c>
      <c r="W45" s="2"/>
      <c r="X45" s="7">
        <f t="shared" si="22"/>
        <v>11720.27</v>
      </c>
      <c r="Y45" s="2"/>
      <c r="Z45" s="6">
        <f t="shared" si="23"/>
        <v>0</v>
      </c>
    </row>
    <row r="46" spans="1:26" s="24" customFormat="1" hidden="1" outlineLevel="2" x14ac:dyDescent="0.25">
      <c r="A46" s="29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4957.18</v>
      </c>
      <c r="E46" s="2"/>
      <c r="F46" s="6">
        <f t="shared" si="16"/>
        <v>0</v>
      </c>
      <c r="G46" s="2"/>
      <c r="H46" s="7">
        <v>6744</v>
      </c>
      <c r="I46" s="2"/>
      <c r="J46" s="6">
        <f t="shared" si="17"/>
        <v>0</v>
      </c>
      <c r="K46" s="2"/>
      <c r="L46" s="7">
        <f t="shared" si="18"/>
        <v>-1786.8199999999997</v>
      </c>
      <c r="M46" s="2"/>
      <c r="N46" s="6">
        <f t="shared" si="19"/>
        <v>-0.26494958481613279</v>
      </c>
      <c r="O46" s="11"/>
      <c r="P46" s="7">
        <v>29743.08</v>
      </c>
      <c r="Q46" s="2"/>
      <c r="R46" s="6">
        <f t="shared" si="20"/>
        <v>0</v>
      </c>
      <c r="S46" s="2"/>
      <c r="T46" s="7">
        <v>41250</v>
      </c>
      <c r="U46" s="2"/>
      <c r="V46" s="6">
        <f t="shared" si="21"/>
        <v>0</v>
      </c>
      <c r="W46" s="2"/>
      <c r="X46" s="7">
        <f t="shared" si="22"/>
        <v>-11506.919999999998</v>
      </c>
      <c r="Y46" s="2"/>
      <c r="Z46" s="6">
        <f t="shared" si="23"/>
        <v>-0.27895563636363629</v>
      </c>
    </row>
    <row r="47" spans="1:26" s="28" customFormat="1" outlineLevel="1" collapsed="1" x14ac:dyDescent="0.25">
      <c r="A47" s="27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91.26</v>
      </c>
      <c r="E47" s="1"/>
      <c r="F47" s="5">
        <f t="shared" ref="F47:F57" si="24">IF(D$12=0,0,D47/D$12)</f>
        <v>0</v>
      </c>
      <c r="G47" s="1"/>
      <c r="H47" s="1">
        <f>SUM(OSRRefH22_5x_0)</f>
        <v>0</v>
      </c>
      <c r="I47" s="1"/>
      <c r="J47" s="5">
        <f t="shared" ref="J47:J57" si="25">IF(H$12=0,0,H47/H$12)</f>
        <v>0</v>
      </c>
      <c r="K47" s="1"/>
      <c r="L47" s="1">
        <f t="shared" ref="L47:L57" si="26">+D47-H47</f>
        <v>91.26</v>
      </c>
      <c r="M47" s="1"/>
      <c r="N47" s="5">
        <f t="shared" ref="N47:N57" si="27">IF(H47=0,0,L47/H47)</f>
        <v>0</v>
      </c>
      <c r="O47" s="14"/>
      <c r="P47" s="1">
        <f>SUM(OSRRefP22_5x_0)</f>
        <v>2836.97</v>
      </c>
      <c r="Q47" s="1"/>
      <c r="R47" s="5">
        <f t="shared" ref="R47:R57" si="28">IF(P$12=0,0,P47/P$12)</f>
        <v>0</v>
      </c>
      <c r="S47" s="1"/>
      <c r="T47" s="1">
        <f>SUM(OSRRefT22_5x_0)</f>
        <v>0</v>
      </c>
      <c r="U47" s="1"/>
      <c r="V47" s="5">
        <f t="shared" ref="V47:V57" si="29">IF(T$12=0,0,T47/T$12)</f>
        <v>0</v>
      </c>
      <c r="W47" s="1"/>
      <c r="X47" s="1">
        <f t="shared" ref="X47:X57" si="30">+P47-T47</f>
        <v>2836.97</v>
      </c>
      <c r="Y47" s="1"/>
      <c r="Z47" s="5">
        <f t="shared" ref="Z47:Z57" si="31">IF(T47=0,0,X47/T47)</f>
        <v>0</v>
      </c>
    </row>
    <row r="48" spans="1:26" s="24" customFormat="1" hidden="1" outlineLevel="2" x14ac:dyDescent="0.25">
      <c r="A48" s="29"/>
      <c r="B48" s="11" t="str">
        <f>CONCATENATE("          ", "6351", " - ", "EQUIPMENT RENTAL")</f>
        <v xml:space="preserve">          6351 - EQUIPMENT RENTAL</v>
      </c>
      <c r="C48" s="11"/>
      <c r="D48" s="7">
        <v>91.26</v>
      </c>
      <c r="E48" s="2"/>
      <c r="F48" s="6">
        <f t="shared" si="24"/>
        <v>0</v>
      </c>
      <c r="G48" s="2"/>
      <c r="H48" s="7">
        <v>0</v>
      </c>
      <c r="I48" s="2"/>
      <c r="J48" s="6">
        <f t="shared" si="25"/>
        <v>0</v>
      </c>
      <c r="K48" s="2"/>
      <c r="L48" s="7">
        <f t="shared" si="26"/>
        <v>91.26</v>
      </c>
      <c r="M48" s="2"/>
      <c r="N48" s="6">
        <f t="shared" si="27"/>
        <v>0</v>
      </c>
      <c r="O48" s="11"/>
      <c r="P48" s="7">
        <v>2836.97</v>
      </c>
      <c r="Q48" s="2"/>
      <c r="R48" s="6">
        <f t="shared" si="28"/>
        <v>0</v>
      </c>
      <c r="S48" s="2"/>
      <c r="T48" s="7">
        <v>0</v>
      </c>
      <c r="U48" s="2"/>
      <c r="V48" s="6">
        <f t="shared" si="29"/>
        <v>0</v>
      </c>
      <c r="W48" s="2"/>
      <c r="X48" s="7">
        <f t="shared" si="30"/>
        <v>2836.97</v>
      </c>
      <c r="Y48" s="2"/>
      <c r="Z48" s="6">
        <f t="shared" si="31"/>
        <v>0</v>
      </c>
    </row>
    <row r="49" spans="1:26" s="28" customFormat="1" outlineLevel="1" collapsed="1" x14ac:dyDescent="0.25">
      <c r="A49" s="27"/>
      <c r="B49" s="14" t="str">
        <f>CONCATENATE("     ","Freight out/Postage                               ")</f>
        <v xml:space="preserve">     Freight out/Postage                               </v>
      </c>
      <c r="C49" s="14"/>
      <c r="D49" s="1">
        <f>SUM(OSRRefD22_6x_0)</f>
        <v>0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0</v>
      </c>
      <c r="M49" s="1"/>
      <c r="N49" s="5">
        <f t="shared" si="27"/>
        <v>0</v>
      </c>
      <c r="O49" s="14"/>
      <c r="P49" s="1">
        <f>SUM(OSRRefP22_6x_0)</f>
        <v>-5.41</v>
      </c>
      <c r="Q49" s="1"/>
      <c r="R49" s="5">
        <f t="shared" si="28"/>
        <v>0</v>
      </c>
      <c r="S49" s="1"/>
      <c r="T49" s="1">
        <f>SUM(OSRRefT22_6x_0)</f>
        <v>0</v>
      </c>
      <c r="U49" s="1"/>
      <c r="V49" s="5">
        <f t="shared" si="29"/>
        <v>0</v>
      </c>
      <c r="W49" s="1"/>
      <c r="X49" s="1">
        <f t="shared" si="30"/>
        <v>-5.41</v>
      </c>
      <c r="Y49" s="1"/>
      <c r="Z49" s="5">
        <f t="shared" si="31"/>
        <v>0</v>
      </c>
    </row>
    <row r="50" spans="1:26" s="24" customFormat="1" hidden="1" outlineLevel="2" x14ac:dyDescent="0.25">
      <c r="A50" s="29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4"/>
        <v>0</v>
      </c>
      <c r="G50" s="2"/>
      <c r="H50" s="7"/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-5.41</v>
      </c>
      <c r="Q50" s="2"/>
      <c r="R50" s="6">
        <f t="shared" si="28"/>
        <v>0</v>
      </c>
      <c r="S50" s="2"/>
      <c r="T50" s="7"/>
      <c r="U50" s="2"/>
      <c r="V50" s="6">
        <f t="shared" si="29"/>
        <v>0</v>
      </c>
      <c r="W50" s="2"/>
      <c r="X50" s="7">
        <f t="shared" si="30"/>
        <v>-5.41</v>
      </c>
      <c r="Y50" s="2"/>
      <c r="Z50" s="6">
        <f t="shared" si="31"/>
        <v>0</v>
      </c>
    </row>
    <row r="51" spans="1:26" s="28" customFormat="1" outlineLevel="1" collapsed="1" x14ac:dyDescent="0.25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SUM(OSRRefD22_7x_0)</f>
        <v>0</v>
      </c>
      <c r="E51" s="1"/>
      <c r="F51" s="5">
        <f t="shared" si="24"/>
        <v>0</v>
      </c>
      <c r="G51" s="1"/>
      <c r="H51" s="1">
        <f>SUM(OSRRefH22_7x_0)</f>
        <v>0</v>
      </c>
      <c r="I51" s="1"/>
      <c r="J51" s="5">
        <f t="shared" si="25"/>
        <v>0</v>
      </c>
      <c r="K51" s="1"/>
      <c r="L51" s="1">
        <f t="shared" si="26"/>
        <v>0</v>
      </c>
      <c r="M51" s="1"/>
      <c r="N51" s="5">
        <f t="shared" si="27"/>
        <v>0</v>
      </c>
      <c r="O51" s="14"/>
      <c r="P51" s="1">
        <f>SUM(OSRRefP22_7x_0)</f>
        <v>0</v>
      </c>
      <c r="Q51" s="1"/>
      <c r="R51" s="5">
        <f t="shared" si="28"/>
        <v>0</v>
      </c>
      <c r="S51" s="1"/>
      <c r="T51" s="1">
        <f>SUM(OSRRefT22_7x_0)</f>
        <v>0</v>
      </c>
      <c r="U51" s="1"/>
      <c r="V51" s="5">
        <f t="shared" si="29"/>
        <v>0</v>
      </c>
      <c r="W51" s="1"/>
      <c r="X51" s="1">
        <f t="shared" si="30"/>
        <v>0</v>
      </c>
      <c r="Y51" s="1"/>
      <c r="Z51" s="5">
        <f t="shared" si="31"/>
        <v>0</v>
      </c>
    </row>
    <row r="52" spans="1:26" s="24" customFormat="1" hidden="1" outlineLevel="2" x14ac:dyDescent="0.25">
      <c r="A52" s="29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4"/>
        <v>0</v>
      </c>
      <c r="G52" s="2"/>
      <c r="H52" s="7"/>
      <c r="I52" s="2"/>
      <c r="J52" s="6">
        <f t="shared" si="25"/>
        <v>0</v>
      </c>
      <c r="K52" s="2"/>
      <c r="L52" s="7">
        <f t="shared" si="26"/>
        <v>0</v>
      </c>
      <c r="M52" s="2"/>
      <c r="N52" s="6">
        <f t="shared" si="27"/>
        <v>0</v>
      </c>
      <c r="O52" s="11"/>
      <c r="P52" s="7"/>
      <c r="Q52" s="2"/>
      <c r="R52" s="6">
        <f t="shared" si="28"/>
        <v>0</v>
      </c>
      <c r="S52" s="2"/>
      <c r="T52" s="7">
        <v>0</v>
      </c>
      <c r="U52" s="2"/>
      <c r="V52" s="6">
        <f t="shared" si="29"/>
        <v>0</v>
      </c>
      <c r="W52" s="2"/>
      <c r="X52" s="7">
        <f t="shared" si="30"/>
        <v>0</v>
      </c>
      <c r="Y52" s="2"/>
      <c r="Z52" s="6">
        <f t="shared" si="31"/>
        <v>0</v>
      </c>
    </row>
    <row r="53" spans="1:26" s="28" customFormat="1" outlineLevel="1" collapsed="1" x14ac:dyDescent="0.25">
      <c r="A53" s="27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SUM(OSRRefD22_8x_0)</f>
        <v>3598.85</v>
      </c>
      <c r="E53" s="1"/>
      <c r="F53" s="5">
        <f t="shared" si="24"/>
        <v>0</v>
      </c>
      <c r="G53" s="1"/>
      <c r="H53" s="1">
        <f>SUM(OSRRefH22_8x_0)</f>
        <v>3860</v>
      </c>
      <c r="I53" s="1"/>
      <c r="J53" s="5">
        <f t="shared" si="25"/>
        <v>0</v>
      </c>
      <c r="K53" s="1"/>
      <c r="L53" s="1">
        <f t="shared" si="26"/>
        <v>-261.15000000000009</v>
      </c>
      <c r="M53" s="1"/>
      <c r="N53" s="5">
        <f t="shared" si="27"/>
        <v>-6.76554404145078E-2</v>
      </c>
      <c r="O53" s="14"/>
      <c r="P53" s="1">
        <f>SUM(OSRRefP22_8x_0)</f>
        <v>27705.1</v>
      </c>
      <c r="Q53" s="1"/>
      <c r="R53" s="5">
        <f t="shared" si="28"/>
        <v>0</v>
      </c>
      <c r="S53" s="1"/>
      <c r="T53" s="1">
        <f>SUM(OSRRefT22_8x_0)</f>
        <v>23160</v>
      </c>
      <c r="U53" s="1"/>
      <c r="V53" s="5">
        <f t="shared" si="29"/>
        <v>0</v>
      </c>
      <c r="W53" s="1"/>
      <c r="X53" s="1">
        <f t="shared" si="30"/>
        <v>4545.0999999999985</v>
      </c>
      <c r="Y53" s="1"/>
      <c r="Z53" s="5">
        <f t="shared" si="31"/>
        <v>0.19624784110535401</v>
      </c>
    </row>
    <row r="54" spans="1:26" s="24" customFormat="1" hidden="1" outlineLevel="2" x14ac:dyDescent="0.25">
      <c r="A54" s="29"/>
      <c r="B54" s="11" t="str">
        <f>CONCATENATE("          ", "6314", " - ", "LIABILITY INSURANCE")</f>
        <v xml:space="preserve">          6314 - LIABILITY INSURANCE</v>
      </c>
      <c r="C54" s="11"/>
      <c r="D54" s="7">
        <v>3598.85</v>
      </c>
      <c r="E54" s="2"/>
      <c r="F54" s="6">
        <f t="shared" si="24"/>
        <v>0</v>
      </c>
      <c r="G54" s="2"/>
      <c r="H54" s="7">
        <v>3860</v>
      </c>
      <c r="I54" s="2"/>
      <c r="J54" s="6">
        <f t="shared" si="25"/>
        <v>0</v>
      </c>
      <c r="K54" s="2"/>
      <c r="L54" s="7">
        <f t="shared" si="26"/>
        <v>-261.15000000000009</v>
      </c>
      <c r="M54" s="2"/>
      <c r="N54" s="6">
        <f t="shared" si="27"/>
        <v>-6.76554404145078E-2</v>
      </c>
      <c r="O54" s="11"/>
      <c r="P54" s="7">
        <v>27705.1</v>
      </c>
      <c r="Q54" s="2"/>
      <c r="R54" s="6">
        <f t="shared" si="28"/>
        <v>0</v>
      </c>
      <c r="S54" s="2"/>
      <c r="T54" s="7">
        <v>23160</v>
      </c>
      <c r="U54" s="2"/>
      <c r="V54" s="6">
        <f t="shared" si="29"/>
        <v>0</v>
      </c>
      <c r="W54" s="2"/>
      <c r="X54" s="7">
        <f t="shared" si="30"/>
        <v>4545.0999999999985</v>
      </c>
      <c r="Y54" s="2"/>
      <c r="Z54" s="6">
        <f t="shared" si="31"/>
        <v>0.19624784110535401</v>
      </c>
    </row>
    <row r="55" spans="1:26" s="28" customFormat="1" outlineLevel="1" collapsed="1" x14ac:dyDescent="0.25">
      <c r="A55" s="27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SUM(OSRRefD22_9x_0)</f>
        <v>602.77</v>
      </c>
      <c r="E55" s="1"/>
      <c r="F55" s="5">
        <f t="shared" si="24"/>
        <v>0</v>
      </c>
      <c r="G55" s="1"/>
      <c r="H55" s="1">
        <f>SUM(OSRRefH22_9x_0)</f>
        <v>0</v>
      </c>
      <c r="I55" s="1"/>
      <c r="J55" s="5">
        <f t="shared" si="25"/>
        <v>0</v>
      </c>
      <c r="K55" s="1"/>
      <c r="L55" s="1">
        <f t="shared" si="26"/>
        <v>602.77</v>
      </c>
      <c r="M55" s="1"/>
      <c r="N55" s="5">
        <f t="shared" si="27"/>
        <v>0</v>
      </c>
      <c r="O55" s="14"/>
      <c r="P55" s="1">
        <f>SUM(OSRRefP22_9x_0)</f>
        <v>2907.1299999999997</v>
      </c>
      <c r="Q55" s="1"/>
      <c r="R55" s="5">
        <f t="shared" si="28"/>
        <v>0</v>
      </c>
      <c r="S55" s="1"/>
      <c r="T55" s="1">
        <f>SUM(OSRRefT22_9x_0)</f>
        <v>0</v>
      </c>
      <c r="U55" s="1"/>
      <c r="V55" s="5">
        <f t="shared" si="29"/>
        <v>0</v>
      </c>
      <c r="W55" s="1"/>
      <c r="X55" s="1">
        <f t="shared" si="30"/>
        <v>2907.1299999999997</v>
      </c>
      <c r="Y55" s="1"/>
      <c r="Z55" s="5">
        <f t="shared" si="31"/>
        <v>0</v>
      </c>
    </row>
    <row r="56" spans="1:26" s="24" customFormat="1" hidden="1" outlineLevel="2" x14ac:dyDescent="0.25">
      <c r="A56" s="29"/>
      <c r="B56" s="11" t="str">
        <f>CONCATENATE("          ", "6373", " - ", "MAINTENANCE CONTRACTS")</f>
        <v xml:space="preserve">          6373 - MAINTENANCE CONTRACTS</v>
      </c>
      <c r="C56" s="11"/>
      <c r="D56" s="7">
        <v>439.3</v>
      </c>
      <c r="E56" s="2"/>
      <c r="F56" s="6">
        <f t="shared" si="24"/>
        <v>0</v>
      </c>
      <c r="G56" s="2"/>
      <c r="H56" s="7">
        <v>0</v>
      </c>
      <c r="I56" s="2"/>
      <c r="J56" s="6">
        <f t="shared" si="25"/>
        <v>0</v>
      </c>
      <c r="K56" s="2"/>
      <c r="L56" s="7">
        <f t="shared" si="26"/>
        <v>439.3</v>
      </c>
      <c r="M56" s="2"/>
      <c r="N56" s="6">
        <f t="shared" si="27"/>
        <v>0</v>
      </c>
      <c r="O56" s="11"/>
      <c r="P56" s="7">
        <v>2131.1999999999998</v>
      </c>
      <c r="Q56" s="2"/>
      <c r="R56" s="6">
        <f t="shared" si="28"/>
        <v>0</v>
      </c>
      <c r="S56" s="2"/>
      <c r="T56" s="7">
        <v>0</v>
      </c>
      <c r="U56" s="2"/>
      <c r="V56" s="6">
        <f t="shared" si="29"/>
        <v>0</v>
      </c>
      <c r="W56" s="2"/>
      <c r="X56" s="7">
        <f t="shared" si="30"/>
        <v>2131.1999999999998</v>
      </c>
      <c r="Y56" s="2"/>
      <c r="Z56" s="6">
        <f t="shared" si="31"/>
        <v>0</v>
      </c>
    </row>
    <row r="57" spans="1:26" s="24" customFormat="1" hidden="1" outlineLevel="2" x14ac:dyDescent="0.25">
      <c r="A57" s="29"/>
      <c r="B57" s="11" t="str">
        <f>CONCATENATE("          ", "6375", " - ", "OUTSIDE REPAIRS &amp; MAINTENANCE")</f>
        <v xml:space="preserve">          6375 - OUTSIDE REPAIRS &amp; MAINTENANCE</v>
      </c>
      <c r="C57" s="11"/>
      <c r="D57" s="7">
        <v>163.47</v>
      </c>
      <c r="E57" s="2"/>
      <c r="F57" s="6">
        <f t="shared" si="24"/>
        <v>0</v>
      </c>
      <c r="G57" s="2"/>
      <c r="H57" s="7">
        <v>0</v>
      </c>
      <c r="I57" s="2"/>
      <c r="J57" s="6">
        <f t="shared" si="25"/>
        <v>0</v>
      </c>
      <c r="K57" s="2"/>
      <c r="L57" s="7">
        <f t="shared" si="26"/>
        <v>163.47</v>
      </c>
      <c r="M57" s="2"/>
      <c r="N57" s="6">
        <f t="shared" si="27"/>
        <v>0</v>
      </c>
      <c r="O57" s="11"/>
      <c r="P57" s="7">
        <v>775.93</v>
      </c>
      <c r="Q57" s="2"/>
      <c r="R57" s="6">
        <f t="shared" si="28"/>
        <v>0</v>
      </c>
      <c r="S57" s="2"/>
      <c r="T57" s="7">
        <v>0</v>
      </c>
      <c r="U57" s="2"/>
      <c r="V57" s="6">
        <f t="shared" si="29"/>
        <v>0</v>
      </c>
      <c r="W57" s="2"/>
      <c r="X57" s="7">
        <f t="shared" si="30"/>
        <v>775.93</v>
      </c>
      <c r="Y57" s="2"/>
      <c r="Z57" s="6">
        <f t="shared" si="31"/>
        <v>0</v>
      </c>
    </row>
    <row r="58" spans="1:26" s="28" customFormat="1" outlineLevel="1" collapsed="1" x14ac:dyDescent="0.25">
      <c r="A58" s="27"/>
      <c r="B58" s="14" t="str">
        <f>CONCATENATE("     ","Services                                          ")</f>
        <v xml:space="preserve">     Services                                          </v>
      </c>
      <c r="C58" s="14"/>
      <c r="D58" s="1">
        <f>SUM(OSRRefD22_10x_0)</f>
        <v>6759.04</v>
      </c>
      <c r="E58" s="1"/>
      <c r="F58" s="5">
        <f t="shared" ref="F58:F62" si="32">IF(D$12=0,0,D58/D$12)</f>
        <v>0</v>
      </c>
      <c r="G58" s="1"/>
      <c r="H58" s="1">
        <f>SUM(OSRRefH22_10x_0)</f>
        <v>3753</v>
      </c>
      <c r="I58" s="1"/>
      <c r="J58" s="5">
        <f t="shared" ref="J58:J62" si="33">IF(H$12=0,0,H58/H$12)</f>
        <v>0</v>
      </c>
      <c r="K58" s="1"/>
      <c r="L58" s="1">
        <f t="shared" ref="L58:L62" si="34">+D58-H58</f>
        <v>3006.04</v>
      </c>
      <c r="M58" s="1"/>
      <c r="N58" s="5">
        <f t="shared" ref="N58:N62" si="35">IF(H58=0,0,L58/H58)</f>
        <v>0.80096989075406344</v>
      </c>
      <c r="O58" s="14"/>
      <c r="P58" s="1">
        <f>SUM(OSRRefP22_10x_0)</f>
        <v>15267.04</v>
      </c>
      <c r="Q58" s="1"/>
      <c r="R58" s="5">
        <f t="shared" ref="R58:R62" si="36">IF(P$12=0,0,P58/P$12)</f>
        <v>0</v>
      </c>
      <c r="S58" s="1"/>
      <c r="T58" s="1">
        <f>SUM(OSRRefT22_10x_0)</f>
        <v>17183</v>
      </c>
      <c r="U58" s="1"/>
      <c r="V58" s="5">
        <f t="shared" ref="V58:V62" si="37">IF(T$12=0,0,T58/T$12)</f>
        <v>0</v>
      </c>
      <c r="W58" s="1"/>
      <c r="X58" s="1">
        <f t="shared" ref="X58:X62" si="38">+P58-T58</f>
        <v>-1915.9599999999991</v>
      </c>
      <c r="Y58" s="1"/>
      <c r="Z58" s="5">
        <f t="shared" ref="Z58:Z62" si="39">IF(T58=0,0,X58/T58)</f>
        <v>-0.11150322993656515</v>
      </c>
    </row>
    <row r="59" spans="1:26" s="24" customFormat="1" hidden="1" outlineLevel="2" x14ac:dyDescent="0.25">
      <c r="A59" s="29"/>
      <c r="B59" s="11" t="str">
        <f>CONCATENATE("          ", "6282", " - ", "JANITORIAL/EXTERMINATOR EXPENS")</f>
        <v xml:space="preserve">          6282 - JANITORIAL/EXTERMINATOR EXPENS</v>
      </c>
      <c r="C59" s="11"/>
      <c r="D59" s="7">
        <v>2505.04</v>
      </c>
      <c r="E59" s="2"/>
      <c r="F59" s="6">
        <f t="shared" si="32"/>
        <v>0</v>
      </c>
      <c r="G59" s="2"/>
      <c r="H59" s="7">
        <v>1253</v>
      </c>
      <c r="I59" s="2"/>
      <c r="J59" s="6">
        <f t="shared" si="33"/>
        <v>0</v>
      </c>
      <c r="K59" s="2"/>
      <c r="L59" s="7">
        <f t="shared" si="34"/>
        <v>1252.04</v>
      </c>
      <c r="M59" s="2"/>
      <c r="N59" s="6">
        <f t="shared" si="35"/>
        <v>0.99923383878691141</v>
      </c>
      <c r="O59" s="11"/>
      <c r="P59" s="7">
        <v>2505.04</v>
      </c>
      <c r="Q59" s="2"/>
      <c r="R59" s="6">
        <f t="shared" si="36"/>
        <v>0</v>
      </c>
      <c r="S59" s="2"/>
      <c r="T59" s="7">
        <v>4383</v>
      </c>
      <c r="U59" s="2"/>
      <c r="V59" s="6">
        <f t="shared" si="37"/>
        <v>0</v>
      </c>
      <c r="W59" s="2"/>
      <c r="X59" s="7">
        <f t="shared" si="38"/>
        <v>-1877.96</v>
      </c>
      <c r="Y59" s="2"/>
      <c r="Z59" s="6">
        <f t="shared" si="39"/>
        <v>-0.4284645220168834</v>
      </c>
    </row>
    <row r="60" spans="1:26" s="24" customFormat="1" hidden="1" outlineLevel="2" x14ac:dyDescent="0.25">
      <c r="A60" s="29"/>
      <c r="B60" s="11" t="str">
        <f>CONCATENATE("          ", "6283", " - ", "PLANT SERVICE")</f>
        <v xml:space="preserve">          6283 - PLANT SERVICE</v>
      </c>
      <c r="C60" s="11"/>
      <c r="D60" s="7"/>
      <c r="E60" s="2"/>
      <c r="F60" s="6">
        <f t="shared" si="32"/>
        <v>0</v>
      </c>
      <c r="G60" s="2"/>
      <c r="H60" s="7">
        <v>0</v>
      </c>
      <c r="I60" s="2"/>
      <c r="J60" s="6">
        <f t="shared" si="33"/>
        <v>0</v>
      </c>
      <c r="K60" s="2"/>
      <c r="L60" s="7">
        <f t="shared" si="34"/>
        <v>0</v>
      </c>
      <c r="M60" s="2"/>
      <c r="N60" s="6">
        <f t="shared" si="35"/>
        <v>0</v>
      </c>
      <c r="O60" s="11"/>
      <c r="P60" s="7"/>
      <c r="Q60" s="2"/>
      <c r="R60" s="6">
        <f t="shared" si="36"/>
        <v>0</v>
      </c>
      <c r="S60" s="2"/>
      <c r="T60" s="7">
        <v>0</v>
      </c>
      <c r="U60" s="2"/>
      <c r="V60" s="6">
        <f t="shared" si="37"/>
        <v>0</v>
      </c>
      <c r="W60" s="2"/>
      <c r="X60" s="7">
        <f t="shared" si="38"/>
        <v>0</v>
      </c>
      <c r="Y60" s="2"/>
      <c r="Z60" s="6">
        <f t="shared" si="39"/>
        <v>0</v>
      </c>
    </row>
    <row r="61" spans="1:26" s="24" customFormat="1" hidden="1" outlineLevel="2" x14ac:dyDescent="0.25">
      <c r="A61" s="29"/>
      <c r="B61" s="11" t="str">
        <f>CONCATENATE("          ", "6284", " - ", "TRASH REMOVAL EXPENSE")</f>
        <v xml:space="preserve">          6284 - TRASH REMOVAL EXPENSE</v>
      </c>
      <c r="C61" s="11"/>
      <c r="D61" s="7">
        <v>4254</v>
      </c>
      <c r="E61" s="2"/>
      <c r="F61" s="6">
        <f t="shared" si="32"/>
        <v>0</v>
      </c>
      <c r="G61" s="2"/>
      <c r="H61" s="7">
        <v>2500</v>
      </c>
      <c r="I61" s="2"/>
      <c r="J61" s="6">
        <f t="shared" si="33"/>
        <v>0</v>
      </c>
      <c r="K61" s="2"/>
      <c r="L61" s="7">
        <f t="shared" si="34"/>
        <v>1754</v>
      </c>
      <c r="M61" s="2"/>
      <c r="N61" s="6">
        <f t="shared" si="35"/>
        <v>0.7016</v>
      </c>
      <c r="O61" s="11"/>
      <c r="P61" s="7">
        <v>12762</v>
      </c>
      <c r="Q61" s="2"/>
      <c r="R61" s="6">
        <f t="shared" si="36"/>
        <v>0</v>
      </c>
      <c r="S61" s="2"/>
      <c r="T61" s="7">
        <v>12800</v>
      </c>
      <c r="U61" s="2"/>
      <c r="V61" s="6">
        <f t="shared" si="37"/>
        <v>0</v>
      </c>
      <c r="W61" s="2"/>
      <c r="X61" s="7">
        <f t="shared" si="38"/>
        <v>-38</v>
      </c>
      <c r="Y61" s="2"/>
      <c r="Z61" s="6">
        <f t="shared" si="39"/>
        <v>-2.96875E-3</v>
      </c>
    </row>
    <row r="62" spans="1:26" s="24" customFormat="1" hidden="1" outlineLevel="2" x14ac:dyDescent="0.25">
      <c r="A62" s="29"/>
      <c r="B62" s="11" t="str">
        <f>CONCATENATE("          ", "6285", " - ", "JANITORIAL SERVICES")</f>
        <v xml:space="preserve">          6285 - JANITORIAL SERVICES</v>
      </c>
      <c r="C62" s="11"/>
      <c r="D62" s="7"/>
      <c r="E62" s="2"/>
      <c r="F62" s="6">
        <f t="shared" si="32"/>
        <v>0</v>
      </c>
      <c r="G62" s="2"/>
      <c r="H62" s="7">
        <v>0</v>
      </c>
      <c r="I62" s="2"/>
      <c r="J62" s="6">
        <f t="shared" si="33"/>
        <v>0</v>
      </c>
      <c r="K62" s="2"/>
      <c r="L62" s="7">
        <f t="shared" si="34"/>
        <v>0</v>
      </c>
      <c r="M62" s="2"/>
      <c r="N62" s="6">
        <f t="shared" si="35"/>
        <v>0</v>
      </c>
      <c r="O62" s="11"/>
      <c r="P62" s="7"/>
      <c r="Q62" s="2"/>
      <c r="R62" s="6">
        <f t="shared" si="36"/>
        <v>0</v>
      </c>
      <c r="S62" s="2"/>
      <c r="T62" s="7">
        <v>0</v>
      </c>
      <c r="U62" s="2"/>
      <c r="V62" s="6">
        <f t="shared" si="37"/>
        <v>0</v>
      </c>
      <c r="W62" s="2"/>
      <c r="X62" s="7">
        <f t="shared" si="38"/>
        <v>0</v>
      </c>
      <c r="Y62" s="2"/>
      <c r="Z62" s="6">
        <f t="shared" si="39"/>
        <v>0</v>
      </c>
    </row>
    <row r="63" spans="1:26" s="28" customFormat="1" outlineLevel="1" collapsed="1" x14ac:dyDescent="0.25">
      <c r="A63" s="27"/>
      <c r="B63" s="14" t="str">
        <f>CONCATENATE("     ","Subscriptions &amp; Dues                              ")</f>
        <v xml:space="preserve">     Subscriptions &amp; Dues                              </v>
      </c>
      <c r="C63" s="14"/>
      <c r="D63" s="1">
        <f>SUM(OSRRefD22_11x_0)</f>
        <v>0</v>
      </c>
      <c r="E63" s="1"/>
      <c r="F63" s="5">
        <f t="shared" ref="F63:F72" si="40">IF(D$12=0,0,D63/D$12)</f>
        <v>0</v>
      </c>
      <c r="G63" s="1"/>
      <c r="H63" s="1">
        <f>SUM(OSRRefH22_11x_0)</f>
        <v>900</v>
      </c>
      <c r="I63" s="1"/>
      <c r="J63" s="5">
        <f t="shared" ref="J63:J72" si="41">IF(H$12=0,0,H63/H$12)</f>
        <v>0</v>
      </c>
      <c r="K63" s="1"/>
      <c r="L63" s="1">
        <f t="shared" ref="L63:L72" si="42">+D63-H63</f>
        <v>-900</v>
      </c>
      <c r="M63" s="1"/>
      <c r="N63" s="5">
        <f t="shared" ref="N63:N72" si="43">IF(H63=0,0,L63/H63)</f>
        <v>-1</v>
      </c>
      <c r="O63" s="14"/>
      <c r="P63" s="1">
        <f>SUM(OSRRefP22_11x_0)</f>
        <v>0</v>
      </c>
      <c r="Q63" s="1"/>
      <c r="R63" s="5">
        <f t="shared" ref="R63:R72" si="44">IF(P$12=0,0,P63/P$12)</f>
        <v>0</v>
      </c>
      <c r="S63" s="1"/>
      <c r="T63" s="1">
        <f>SUM(OSRRefT22_11x_0)</f>
        <v>900</v>
      </c>
      <c r="U63" s="1"/>
      <c r="V63" s="5">
        <f t="shared" ref="V63:V72" si="45">IF(T$12=0,0,T63/T$12)</f>
        <v>0</v>
      </c>
      <c r="W63" s="1"/>
      <c r="X63" s="1">
        <f t="shared" ref="X63:X72" si="46">+P63-T63</f>
        <v>-900</v>
      </c>
      <c r="Y63" s="1"/>
      <c r="Z63" s="5">
        <f t="shared" ref="Z63:Z72" si="47">IF(T63=0,0,X63/T63)</f>
        <v>-1</v>
      </c>
    </row>
    <row r="64" spans="1:26" s="24" customFormat="1" hidden="1" outlineLevel="2" x14ac:dyDescent="0.25">
      <c r="A64" s="29"/>
      <c r="B64" s="11" t="str">
        <f>CONCATENATE("          ", "6258", " - ", "MEMBERSHIP DUES")</f>
        <v xml:space="preserve">          6258 - MEMBERSHIP DUES</v>
      </c>
      <c r="C64" s="11"/>
      <c r="D64" s="7"/>
      <c r="E64" s="2"/>
      <c r="F64" s="6">
        <f t="shared" si="40"/>
        <v>0</v>
      </c>
      <c r="G64" s="2"/>
      <c r="H64" s="7">
        <v>900</v>
      </c>
      <c r="I64" s="2"/>
      <c r="J64" s="6">
        <f t="shared" si="41"/>
        <v>0</v>
      </c>
      <c r="K64" s="2"/>
      <c r="L64" s="7">
        <f t="shared" si="42"/>
        <v>-900</v>
      </c>
      <c r="M64" s="2"/>
      <c r="N64" s="6">
        <f t="shared" si="43"/>
        <v>-1</v>
      </c>
      <c r="O64" s="11"/>
      <c r="P64" s="7"/>
      <c r="Q64" s="2"/>
      <c r="R64" s="6">
        <f t="shared" si="44"/>
        <v>0</v>
      </c>
      <c r="S64" s="2"/>
      <c r="T64" s="7">
        <v>900</v>
      </c>
      <c r="U64" s="2"/>
      <c r="V64" s="6">
        <f t="shared" si="45"/>
        <v>0</v>
      </c>
      <c r="W64" s="2"/>
      <c r="X64" s="7">
        <f t="shared" si="46"/>
        <v>-900</v>
      </c>
      <c r="Y64" s="2"/>
      <c r="Z64" s="6">
        <f t="shared" si="47"/>
        <v>-1</v>
      </c>
    </row>
    <row r="65" spans="1:26" s="28" customFormat="1" outlineLevel="1" collapsed="1" x14ac:dyDescent="0.25">
      <c r="A65" s="27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SUM(OSRRefD22_12x_0)</f>
        <v>0</v>
      </c>
      <c r="E65" s="1"/>
      <c r="F65" s="5">
        <f t="shared" si="40"/>
        <v>0</v>
      </c>
      <c r="G65" s="1"/>
      <c r="H65" s="1">
        <f>SUM(OSRRefH22_12x_0)</f>
        <v>0</v>
      </c>
      <c r="I65" s="1"/>
      <c r="J65" s="5">
        <f t="shared" si="41"/>
        <v>0</v>
      </c>
      <c r="K65" s="1"/>
      <c r="L65" s="1">
        <f t="shared" si="42"/>
        <v>0</v>
      </c>
      <c r="M65" s="1"/>
      <c r="N65" s="5">
        <f t="shared" si="43"/>
        <v>0</v>
      </c>
      <c r="O65" s="14"/>
      <c r="P65" s="1">
        <f>SUM(OSRRefP22_12x_0)</f>
        <v>-29072.879999999997</v>
      </c>
      <c r="Q65" s="1"/>
      <c r="R65" s="5">
        <f t="shared" si="44"/>
        <v>0</v>
      </c>
      <c r="S65" s="1"/>
      <c r="T65" s="1">
        <f>SUM(OSRRefT22_12x_0)</f>
        <v>0</v>
      </c>
      <c r="U65" s="1"/>
      <c r="V65" s="5">
        <f t="shared" si="45"/>
        <v>0</v>
      </c>
      <c r="W65" s="1"/>
      <c r="X65" s="1">
        <f t="shared" si="46"/>
        <v>-29072.879999999997</v>
      </c>
      <c r="Y65" s="1"/>
      <c r="Z65" s="5">
        <f t="shared" si="47"/>
        <v>0</v>
      </c>
    </row>
    <row r="66" spans="1:26" s="24" customFormat="1" hidden="1" outlineLevel="2" x14ac:dyDescent="0.25">
      <c r="A66" s="29"/>
      <c r="B66" s="11" t="str">
        <f>CONCATENATE("          ", "6235", " - ", "COVID-19 EXPENSES")</f>
        <v xml:space="preserve">          6235 - COVID-19 EXPENSES</v>
      </c>
      <c r="C66" s="11"/>
      <c r="D66" s="7"/>
      <c r="E66" s="2"/>
      <c r="F66" s="6">
        <f t="shared" si="40"/>
        <v>0</v>
      </c>
      <c r="G66" s="2"/>
      <c r="H66" s="7"/>
      <c r="I66" s="2"/>
      <c r="J66" s="6">
        <f t="shared" si="41"/>
        <v>0</v>
      </c>
      <c r="K66" s="2"/>
      <c r="L66" s="7">
        <f t="shared" si="42"/>
        <v>0</v>
      </c>
      <c r="M66" s="2"/>
      <c r="N66" s="6">
        <f t="shared" si="43"/>
        <v>0</v>
      </c>
      <c r="O66" s="11"/>
      <c r="P66" s="7">
        <v>127.89</v>
      </c>
      <c r="Q66" s="2"/>
      <c r="R66" s="6">
        <f t="shared" si="44"/>
        <v>0</v>
      </c>
      <c r="S66" s="2"/>
      <c r="T66" s="7">
        <v>0</v>
      </c>
      <c r="U66" s="2"/>
      <c r="V66" s="6">
        <f t="shared" si="45"/>
        <v>0</v>
      </c>
      <c r="W66" s="2"/>
      <c r="X66" s="7">
        <f t="shared" si="46"/>
        <v>127.89</v>
      </c>
      <c r="Y66" s="2"/>
      <c r="Z66" s="6">
        <f t="shared" si="47"/>
        <v>0</v>
      </c>
    </row>
    <row r="67" spans="1:26" s="24" customFormat="1" hidden="1" outlineLevel="2" x14ac:dyDescent="0.25">
      <c r="A67" s="29"/>
      <c r="B67" s="11" t="str">
        <f>CONCATENATE("          ", "6237", " - ", "JANITORIAL SUPPLIES")</f>
        <v xml:space="preserve">          6237 - JANITORIAL SUPPLIES</v>
      </c>
      <c r="C67" s="11"/>
      <c r="D67" s="7"/>
      <c r="E67" s="2"/>
      <c r="F67" s="6">
        <f t="shared" si="40"/>
        <v>0</v>
      </c>
      <c r="G67" s="2"/>
      <c r="H67" s="7">
        <v>0</v>
      </c>
      <c r="I67" s="2"/>
      <c r="J67" s="6">
        <f t="shared" si="41"/>
        <v>0</v>
      </c>
      <c r="K67" s="2"/>
      <c r="L67" s="7">
        <f t="shared" si="42"/>
        <v>0</v>
      </c>
      <c r="M67" s="2"/>
      <c r="N67" s="6">
        <f t="shared" si="43"/>
        <v>0</v>
      </c>
      <c r="O67" s="11"/>
      <c r="P67" s="7"/>
      <c r="Q67" s="2"/>
      <c r="R67" s="6">
        <f t="shared" si="44"/>
        <v>0</v>
      </c>
      <c r="S67" s="2"/>
      <c r="T67" s="7">
        <v>0</v>
      </c>
      <c r="U67" s="2"/>
      <c r="V67" s="6">
        <f t="shared" si="45"/>
        <v>0</v>
      </c>
      <c r="W67" s="2"/>
      <c r="X67" s="7">
        <f t="shared" si="46"/>
        <v>0</v>
      </c>
      <c r="Y67" s="2"/>
      <c r="Z67" s="6">
        <f t="shared" si="47"/>
        <v>0</v>
      </c>
    </row>
    <row r="68" spans="1:26" s="24" customFormat="1" hidden="1" outlineLevel="2" x14ac:dyDescent="0.25">
      <c r="A68" s="29"/>
      <c r="B68" s="11" t="str">
        <f>CONCATENATE("          ", "6239", " - ", "KITCHEN SUPPLIES")</f>
        <v xml:space="preserve">          6239 - KITCHEN SUPPLIES</v>
      </c>
      <c r="C68" s="11"/>
      <c r="D68" s="7"/>
      <c r="E68" s="2"/>
      <c r="F68" s="6">
        <f t="shared" si="40"/>
        <v>0</v>
      </c>
      <c r="G68" s="2"/>
      <c r="H68" s="7">
        <v>0</v>
      </c>
      <c r="I68" s="2"/>
      <c r="J68" s="6">
        <f t="shared" si="41"/>
        <v>0</v>
      </c>
      <c r="K68" s="2"/>
      <c r="L68" s="7">
        <f t="shared" si="42"/>
        <v>0</v>
      </c>
      <c r="M68" s="2"/>
      <c r="N68" s="6">
        <f t="shared" si="43"/>
        <v>0</v>
      </c>
      <c r="O68" s="11"/>
      <c r="P68" s="7"/>
      <c r="Q68" s="2"/>
      <c r="R68" s="6">
        <f t="shared" si="44"/>
        <v>0</v>
      </c>
      <c r="S68" s="2"/>
      <c r="T68" s="7">
        <v>0</v>
      </c>
      <c r="U68" s="2"/>
      <c r="V68" s="6">
        <f t="shared" si="45"/>
        <v>0</v>
      </c>
      <c r="W68" s="2"/>
      <c r="X68" s="7">
        <f t="shared" si="46"/>
        <v>0</v>
      </c>
      <c r="Y68" s="2"/>
      <c r="Z68" s="6">
        <f t="shared" si="47"/>
        <v>0</v>
      </c>
    </row>
    <row r="69" spans="1:26" s="24" customFormat="1" hidden="1" outlineLevel="2" x14ac:dyDescent="0.25">
      <c r="A69" s="29"/>
      <c r="B69" s="11" t="str">
        <f>CONCATENATE("          ", "6241", " - ", "OFFICE EXPENSE")</f>
        <v xml:space="preserve">          6241 - OFFICE EXPENSE</v>
      </c>
      <c r="C69" s="11"/>
      <c r="D69" s="7"/>
      <c r="E69" s="2"/>
      <c r="F69" s="6">
        <f t="shared" si="40"/>
        <v>0</v>
      </c>
      <c r="G69" s="2"/>
      <c r="H69" s="7">
        <v>0</v>
      </c>
      <c r="I69" s="2"/>
      <c r="J69" s="6">
        <f t="shared" si="41"/>
        <v>0</v>
      </c>
      <c r="K69" s="2"/>
      <c r="L69" s="7">
        <f t="shared" si="42"/>
        <v>0</v>
      </c>
      <c r="M69" s="2"/>
      <c r="N69" s="6">
        <f t="shared" si="43"/>
        <v>0</v>
      </c>
      <c r="O69" s="11"/>
      <c r="P69" s="7">
        <v>-29200.769999999997</v>
      </c>
      <c r="Q69" s="2"/>
      <c r="R69" s="6">
        <f t="shared" si="44"/>
        <v>0</v>
      </c>
      <c r="S69" s="2"/>
      <c r="T69" s="7">
        <v>0</v>
      </c>
      <c r="U69" s="2"/>
      <c r="V69" s="6">
        <f t="shared" si="45"/>
        <v>0</v>
      </c>
      <c r="W69" s="2"/>
      <c r="X69" s="7">
        <f t="shared" si="46"/>
        <v>-29200.769999999997</v>
      </c>
      <c r="Y69" s="2"/>
      <c r="Z69" s="6">
        <f t="shared" si="47"/>
        <v>0</v>
      </c>
    </row>
    <row r="70" spans="1:26" s="24" customFormat="1" hidden="1" outlineLevel="2" x14ac:dyDescent="0.25">
      <c r="A70" s="29"/>
      <c r="B70" s="11" t="str">
        <f>CONCATENATE("          ", "6246", " - ", "REPLACEMENTS")</f>
        <v xml:space="preserve">          6246 - REPLACEMENTS</v>
      </c>
      <c r="C70" s="11"/>
      <c r="D70" s="7"/>
      <c r="E70" s="2"/>
      <c r="F70" s="6">
        <f t="shared" si="40"/>
        <v>0</v>
      </c>
      <c r="G70" s="2"/>
      <c r="H70" s="7">
        <v>0</v>
      </c>
      <c r="I70" s="2"/>
      <c r="J70" s="6">
        <f t="shared" si="41"/>
        <v>0</v>
      </c>
      <c r="K70" s="2"/>
      <c r="L70" s="7">
        <f t="shared" si="42"/>
        <v>0</v>
      </c>
      <c r="M70" s="2"/>
      <c r="N70" s="6">
        <f t="shared" si="43"/>
        <v>0</v>
      </c>
      <c r="O70" s="11"/>
      <c r="P70" s="7"/>
      <c r="Q70" s="2"/>
      <c r="R70" s="6">
        <f t="shared" si="44"/>
        <v>0</v>
      </c>
      <c r="S70" s="2"/>
      <c r="T70" s="7">
        <v>0</v>
      </c>
      <c r="U70" s="2"/>
      <c r="V70" s="6">
        <f t="shared" si="45"/>
        <v>0</v>
      </c>
      <c r="W70" s="2"/>
      <c r="X70" s="7">
        <f t="shared" si="46"/>
        <v>0</v>
      </c>
      <c r="Y70" s="2"/>
      <c r="Z70" s="6">
        <f t="shared" si="47"/>
        <v>0</v>
      </c>
    </row>
    <row r="71" spans="1:26" s="24" customFormat="1" hidden="1" outlineLevel="2" x14ac:dyDescent="0.25">
      <c r="A71" s="29"/>
      <c r="B71" s="11" t="str">
        <f>CONCATENATE("          ", "6247", " - ", "STORE SUPPLIES")</f>
        <v xml:space="preserve">          6247 - STORE SUPPLIES</v>
      </c>
      <c r="C71" s="11"/>
      <c r="D71" s="7"/>
      <c r="E71" s="2"/>
      <c r="F71" s="6">
        <f t="shared" si="40"/>
        <v>0</v>
      </c>
      <c r="G71" s="2"/>
      <c r="H71" s="7">
        <v>0</v>
      </c>
      <c r="I71" s="2"/>
      <c r="J71" s="6">
        <f t="shared" si="41"/>
        <v>0</v>
      </c>
      <c r="K71" s="2"/>
      <c r="L71" s="7">
        <f t="shared" si="42"/>
        <v>0</v>
      </c>
      <c r="M71" s="2"/>
      <c r="N71" s="6">
        <f t="shared" si="43"/>
        <v>0</v>
      </c>
      <c r="O71" s="11"/>
      <c r="P71" s="7"/>
      <c r="Q71" s="2"/>
      <c r="R71" s="6">
        <f t="shared" si="44"/>
        <v>0</v>
      </c>
      <c r="S71" s="2"/>
      <c r="T71" s="7">
        <v>0</v>
      </c>
      <c r="U71" s="2"/>
      <c r="V71" s="6">
        <f t="shared" si="45"/>
        <v>0</v>
      </c>
      <c r="W71" s="2"/>
      <c r="X71" s="7">
        <f t="shared" si="46"/>
        <v>0</v>
      </c>
      <c r="Y71" s="2"/>
      <c r="Z71" s="6">
        <f t="shared" si="47"/>
        <v>0</v>
      </c>
    </row>
    <row r="72" spans="1:26" s="24" customFormat="1" hidden="1" outlineLevel="2" x14ac:dyDescent="0.25">
      <c r="A72" s="29"/>
      <c r="B72" s="11" t="str">
        <f>CONCATENATE("          ", "6248", " - ", "UNIFORMS")</f>
        <v xml:space="preserve">          6248 - UNIFORMS</v>
      </c>
      <c r="C72" s="11"/>
      <c r="D72" s="7"/>
      <c r="E72" s="2"/>
      <c r="F72" s="6">
        <f t="shared" si="40"/>
        <v>0</v>
      </c>
      <c r="G72" s="2"/>
      <c r="H72" s="7"/>
      <c r="I72" s="2"/>
      <c r="J72" s="6">
        <f t="shared" si="41"/>
        <v>0</v>
      </c>
      <c r="K72" s="2"/>
      <c r="L72" s="7">
        <f t="shared" si="42"/>
        <v>0</v>
      </c>
      <c r="M72" s="2"/>
      <c r="N72" s="6">
        <f t="shared" si="43"/>
        <v>0</v>
      </c>
      <c r="O72" s="11"/>
      <c r="P72" s="7"/>
      <c r="Q72" s="2"/>
      <c r="R72" s="6">
        <f t="shared" si="44"/>
        <v>0</v>
      </c>
      <c r="S72" s="2"/>
      <c r="T72" s="7">
        <v>0</v>
      </c>
      <c r="U72" s="2"/>
      <c r="V72" s="6">
        <f t="shared" si="45"/>
        <v>0</v>
      </c>
      <c r="W72" s="2"/>
      <c r="X72" s="7">
        <f t="shared" si="46"/>
        <v>0</v>
      </c>
      <c r="Y72" s="2"/>
      <c r="Z72" s="6">
        <f t="shared" si="47"/>
        <v>0</v>
      </c>
    </row>
    <row r="73" spans="1:26" s="28" customFormat="1" outlineLevel="1" collapsed="1" x14ac:dyDescent="0.25">
      <c r="A73" s="27"/>
      <c r="B73" s="14" t="str">
        <f>CONCATENATE("     ","Telephone/Data Lines                              ")</f>
        <v xml:space="preserve">     Telephone/Data Lines                              </v>
      </c>
      <c r="C73" s="14"/>
      <c r="D73" s="1">
        <f>SUM(OSRRefD22_13x_0)</f>
        <v>143.1</v>
      </c>
      <c r="E73" s="1"/>
      <c r="F73" s="5">
        <f t="shared" ref="F73:F78" si="48">IF(D$12=0,0,D73/D$12)</f>
        <v>0</v>
      </c>
      <c r="G73" s="1"/>
      <c r="H73" s="1">
        <f>SUM(OSRRefH22_13x_0)</f>
        <v>50</v>
      </c>
      <c r="I73" s="1"/>
      <c r="J73" s="5">
        <f t="shared" ref="J73:J78" si="49">IF(H$12=0,0,H73/H$12)</f>
        <v>0</v>
      </c>
      <c r="K73" s="1"/>
      <c r="L73" s="1">
        <f t="shared" ref="L73:L78" si="50">+D73-H73</f>
        <v>93.1</v>
      </c>
      <c r="M73" s="1"/>
      <c r="N73" s="5">
        <f t="shared" ref="N73:N78" si="51">IF(H73=0,0,L73/H73)</f>
        <v>1.8619999999999999</v>
      </c>
      <c r="O73" s="14"/>
      <c r="P73" s="1">
        <f>SUM(OSRRefP22_13x_0)</f>
        <v>1386.53</v>
      </c>
      <c r="Q73" s="1"/>
      <c r="R73" s="5">
        <f t="shared" ref="R73:R78" si="52">IF(P$12=0,0,P73/P$12)</f>
        <v>0</v>
      </c>
      <c r="S73" s="1"/>
      <c r="T73" s="1">
        <f>SUM(OSRRefT22_13x_0)</f>
        <v>300</v>
      </c>
      <c r="U73" s="1"/>
      <c r="V73" s="5">
        <f t="shared" ref="V73:V78" si="53">IF(T$12=0,0,T73/T$12)</f>
        <v>0</v>
      </c>
      <c r="W73" s="1"/>
      <c r="X73" s="1">
        <f t="shared" ref="X73:X78" si="54">+P73-T73</f>
        <v>1086.53</v>
      </c>
      <c r="Y73" s="1"/>
      <c r="Z73" s="5">
        <f t="shared" ref="Z73:Z78" si="55">IF(T73=0,0,X73/T73)</f>
        <v>3.6217666666666664</v>
      </c>
    </row>
    <row r="74" spans="1:26" s="24" customFormat="1" hidden="1" outlineLevel="2" x14ac:dyDescent="0.25">
      <c r="A74" s="29"/>
      <c r="B74" s="11" t="str">
        <f>CONCATENATE("          ", "6309", " - ", "TELEPHONE")</f>
        <v xml:space="preserve">          6309 - TELEPHONE</v>
      </c>
      <c r="C74" s="11"/>
      <c r="D74" s="7">
        <v>143.1</v>
      </c>
      <c r="E74" s="2"/>
      <c r="F74" s="6">
        <f t="shared" si="48"/>
        <v>0</v>
      </c>
      <c r="G74" s="2"/>
      <c r="H74" s="7">
        <v>50</v>
      </c>
      <c r="I74" s="2"/>
      <c r="J74" s="6">
        <f t="shared" si="49"/>
        <v>0</v>
      </c>
      <c r="K74" s="2"/>
      <c r="L74" s="7">
        <f t="shared" si="50"/>
        <v>93.1</v>
      </c>
      <c r="M74" s="2"/>
      <c r="N74" s="6">
        <f t="shared" si="51"/>
        <v>1.8619999999999999</v>
      </c>
      <c r="O74" s="11"/>
      <c r="P74" s="7">
        <v>1386.53</v>
      </c>
      <c r="Q74" s="2"/>
      <c r="R74" s="6">
        <f t="shared" si="52"/>
        <v>0</v>
      </c>
      <c r="S74" s="2"/>
      <c r="T74" s="7">
        <v>300</v>
      </c>
      <c r="U74" s="2"/>
      <c r="V74" s="6">
        <f t="shared" si="53"/>
        <v>0</v>
      </c>
      <c r="W74" s="2"/>
      <c r="X74" s="7">
        <f t="shared" si="54"/>
        <v>1086.53</v>
      </c>
      <c r="Y74" s="2"/>
      <c r="Z74" s="6">
        <f t="shared" si="55"/>
        <v>3.6217666666666664</v>
      </c>
    </row>
    <row r="75" spans="1:26" s="28" customFormat="1" outlineLevel="1" collapsed="1" x14ac:dyDescent="0.25">
      <c r="A75" s="27"/>
      <c r="B75" s="14" t="str">
        <f>CONCATENATE("     ","Travel                                            ")</f>
        <v xml:space="preserve">     Travel                                            </v>
      </c>
      <c r="C75" s="14"/>
      <c r="D75" s="1">
        <f>SUM(OSRRefD22_14x_0)</f>
        <v>0</v>
      </c>
      <c r="E75" s="1"/>
      <c r="F75" s="5">
        <f t="shared" si="48"/>
        <v>0</v>
      </c>
      <c r="G75" s="1"/>
      <c r="H75" s="1">
        <f>SUM(OSRRefH22_14x_0)</f>
        <v>0</v>
      </c>
      <c r="I75" s="1"/>
      <c r="J75" s="5">
        <f t="shared" si="49"/>
        <v>0</v>
      </c>
      <c r="K75" s="1"/>
      <c r="L75" s="1">
        <f t="shared" si="50"/>
        <v>0</v>
      </c>
      <c r="M75" s="1"/>
      <c r="N75" s="5">
        <f t="shared" si="51"/>
        <v>0</v>
      </c>
      <c r="O75" s="14"/>
      <c r="P75" s="1">
        <f>SUM(OSRRefP22_14x_0)</f>
        <v>332.21</v>
      </c>
      <c r="Q75" s="1"/>
      <c r="R75" s="5">
        <f t="shared" si="52"/>
        <v>0</v>
      </c>
      <c r="S75" s="1"/>
      <c r="T75" s="1">
        <f>SUM(OSRRefT22_14x_0)</f>
        <v>0</v>
      </c>
      <c r="U75" s="1"/>
      <c r="V75" s="5">
        <f t="shared" si="53"/>
        <v>0</v>
      </c>
      <c r="W75" s="1"/>
      <c r="X75" s="1">
        <f t="shared" si="54"/>
        <v>332.21</v>
      </c>
      <c r="Y75" s="1"/>
      <c r="Z75" s="5">
        <f t="shared" si="55"/>
        <v>0</v>
      </c>
    </row>
    <row r="76" spans="1:26" s="24" customFormat="1" hidden="1" outlineLevel="2" x14ac:dyDescent="0.25">
      <c r="A76" s="29"/>
      <c r="B76" s="11" t="str">
        <f>CONCATENATE("          ", "6298", " - ", "VEHICLE MILEAGE")</f>
        <v xml:space="preserve">          6298 - VEHICLE MILEAGE</v>
      </c>
      <c r="C76" s="11"/>
      <c r="D76" s="7"/>
      <c r="E76" s="2"/>
      <c r="F76" s="6">
        <f t="shared" si="48"/>
        <v>0</v>
      </c>
      <c r="G76" s="2"/>
      <c r="H76" s="7"/>
      <c r="I76" s="2"/>
      <c r="J76" s="6">
        <f t="shared" si="49"/>
        <v>0</v>
      </c>
      <c r="K76" s="2"/>
      <c r="L76" s="7">
        <f t="shared" si="50"/>
        <v>0</v>
      </c>
      <c r="M76" s="2"/>
      <c r="N76" s="6">
        <f t="shared" si="51"/>
        <v>0</v>
      </c>
      <c r="O76" s="11"/>
      <c r="P76" s="7">
        <v>332.21</v>
      </c>
      <c r="Q76" s="2"/>
      <c r="R76" s="6">
        <f t="shared" si="52"/>
        <v>0</v>
      </c>
      <c r="S76" s="2"/>
      <c r="T76" s="7"/>
      <c r="U76" s="2"/>
      <c r="V76" s="6">
        <f t="shared" si="53"/>
        <v>0</v>
      </c>
      <c r="W76" s="2"/>
      <c r="X76" s="7">
        <f t="shared" si="54"/>
        <v>332.21</v>
      </c>
      <c r="Y76" s="2"/>
      <c r="Z76" s="6">
        <f t="shared" si="55"/>
        <v>0</v>
      </c>
    </row>
    <row r="77" spans="1:26" s="28" customFormat="1" outlineLevel="1" collapsed="1" x14ac:dyDescent="0.25">
      <c r="A77" s="27"/>
      <c r="B77" s="14" t="str">
        <f>CONCATENATE("     ","Utilities                                         ")</f>
        <v xml:space="preserve">     Utilities                                         </v>
      </c>
      <c r="C77" s="14"/>
      <c r="D77" s="1">
        <f>SUM(OSRRefD22_15x_0)</f>
        <v>1000</v>
      </c>
      <c r="E77" s="1"/>
      <c r="F77" s="5">
        <f t="shared" si="48"/>
        <v>0</v>
      </c>
      <c r="G77" s="1"/>
      <c r="H77" s="1">
        <f>SUM(OSRRefH22_15x_0)</f>
        <v>1000</v>
      </c>
      <c r="I77" s="1"/>
      <c r="J77" s="5">
        <f t="shared" si="49"/>
        <v>0</v>
      </c>
      <c r="K77" s="1"/>
      <c r="L77" s="1">
        <f t="shared" si="50"/>
        <v>0</v>
      </c>
      <c r="M77" s="1"/>
      <c r="N77" s="5">
        <f t="shared" si="51"/>
        <v>0</v>
      </c>
      <c r="O77" s="14"/>
      <c r="P77" s="1">
        <f>SUM(OSRRefP22_15x_0)</f>
        <v>-13876</v>
      </c>
      <c r="Q77" s="1"/>
      <c r="R77" s="5">
        <f t="shared" si="52"/>
        <v>0</v>
      </c>
      <c r="S77" s="1"/>
      <c r="T77" s="1">
        <f>SUM(OSRRefT22_15x_0)</f>
        <v>6000</v>
      </c>
      <c r="U77" s="1"/>
      <c r="V77" s="5">
        <f t="shared" si="53"/>
        <v>0</v>
      </c>
      <c r="W77" s="1"/>
      <c r="X77" s="1">
        <f t="shared" si="54"/>
        <v>-19876</v>
      </c>
      <c r="Y77" s="1"/>
      <c r="Z77" s="5">
        <f t="shared" si="55"/>
        <v>-3.3126666666666669</v>
      </c>
    </row>
    <row r="78" spans="1:26" s="24" customFormat="1" hidden="1" outlineLevel="2" x14ac:dyDescent="0.25">
      <c r="A78" s="29"/>
      <c r="B78" s="11" t="str">
        <f>CONCATENATE("          ", "6274", " - ", "UTILITIES")</f>
        <v xml:space="preserve">          6274 - UTILITIES</v>
      </c>
      <c r="C78" s="11"/>
      <c r="D78" s="7">
        <v>1000</v>
      </c>
      <c r="E78" s="2"/>
      <c r="F78" s="6">
        <f t="shared" si="48"/>
        <v>0</v>
      </c>
      <c r="G78" s="2"/>
      <c r="H78" s="7">
        <v>1000</v>
      </c>
      <c r="I78" s="2"/>
      <c r="J78" s="6">
        <f t="shared" si="49"/>
        <v>0</v>
      </c>
      <c r="K78" s="2"/>
      <c r="L78" s="7">
        <f t="shared" si="50"/>
        <v>0</v>
      </c>
      <c r="M78" s="2"/>
      <c r="N78" s="6">
        <f t="shared" si="51"/>
        <v>0</v>
      </c>
      <c r="O78" s="11"/>
      <c r="P78" s="7">
        <v>-13876</v>
      </c>
      <c r="Q78" s="2"/>
      <c r="R78" s="6">
        <f t="shared" si="52"/>
        <v>0</v>
      </c>
      <c r="S78" s="2"/>
      <c r="T78" s="7">
        <v>6000</v>
      </c>
      <c r="U78" s="2"/>
      <c r="V78" s="6">
        <f t="shared" si="53"/>
        <v>0</v>
      </c>
      <c r="W78" s="2"/>
      <c r="X78" s="7">
        <f t="shared" si="54"/>
        <v>-19876</v>
      </c>
      <c r="Y78" s="2"/>
      <c r="Z78" s="6">
        <f t="shared" si="55"/>
        <v>-3.3126666666666669</v>
      </c>
    </row>
    <row r="79" spans="1:26" s="53" customFormat="1" x14ac:dyDescent="0.25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collapsed="1" x14ac:dyDescent="0.25">
      <c r="A80" s="10"/>
      <c r="B80" s="26" t="s">
        <v>0</v>
      </c>
      <c r="C80" s="10"/>
      <c r="D80" s="4">
        <f>SUM(OSRRefD25x_0)</f>
        <v>804.28</v>
      </c>
      <c r="E80" s="4"/>
      <c r="F80" s="12">
        <f t="shared" ref="F80:F82" si="56">IF(D$12=0,0,D80/D$12)</f>
        <v>0</v>
      </c>
      <c r="G80" s="4"/>
      <c r="H80" s="4">
        <f>SUM(OSRRefH25x_0)</f>
        <v>0</v>
      </c>
      <c r="I80" s="4"/>
      <c r="J80" s="12">
        <f t="shared" ref="J80:J82" si="57">IF(H$12=0,0,H80/H$12)</f>
        <v>0</v>
      </c>
      <c r="K80" s="4"/>
      <c r="L80" s="4">
        <f t="shared" ref="L80:L82" si="58">+D80-H80</f>
        <v>804.28</v>
      </c>
      <c r="M80" s="4"/>
      <c r="N80" s="12">
        <f t="shared" ref="N80:N82" si="59">IF(H80=0,0,L80/H80)</f>
        <v>0</v>
      </c>
      <c r="O80" s="10"/>
      <c r="P80" s="4">
        <f>SUM(OSRRefP25x_0)</f>
        <v>2243.06</v>
      </c>
      <c r="Q80" s="4"/>
      <c r="R80" s="12">
        <f t="shared" ref="R80:R82" si="60">IF(P$12=0,0,P80/P$12)</f>
        <v>0</v>
      </c>
      <c r="S80" s="4"/>
      <c r="T80" s="4">
        <f>SUM(OSRRefT25x_0)</f>
        <v>0</v>
      </c>
      <c r="U80" s="4"/>
      <c r="V80" s="12">
        <f t="shared" ref="V80:V82" si="61">IF(T$12=0,0,T80/T$12)</f>
        <v>0</v>
      </c>
      <c r="W80" s="4"/>
      <c r="X80" s="4">
        <f t="shared" ref="X80:X82" si="62">+P80-T80</f>
        <v>2243.06</v>
      </c>
      <c r="Y80" s="4"/>
      <c r="Z80" s="12">
        <f t="shared" ref="Z80:Z82" si="63">IF(T80=0,0,X80/T80)</f>
        <v>0</v>
      </c>
    </row>
    <row r="81" spans="1:26" s="24" customFormat="1" hidden="1" outlineLevel="1" x14ac:dyDescent="0.25">
      <c r="A81" s="51"/>
      <c r="B81" s="11" t="str">
        <f>CONCATENATE("          ", "9150", " - ", "MISC. INCOME")</f>
        <v xml:space="preserve">          9150 - MISC. INCOME</v>
      </c>
      <c r="C81" s="11"/>
      <c r="D81" s="2">
        <f>--804.28</f>
        <v>804.28</v>
      </c>
      <c r="E81" s="2"/>
      <c r="F81" s="22">
        <f t="shared" si="56"/>
        <v>0</v>
      </c>
      <c r="G81" s="2"/>
      <c r="H81" s="2">
        <v>0</v>
      </c>
      <c r="I81" s="2"/>
      <c r="J81" s="22">
        <f t="shared" si="57"/>
        <v>0</v>
      </c>
      <c r="K81" s="2"/>
      <c r="L81" s="2">
        <f t="shared" si="58"/>
        <v>804.28</v>
      </c>
      <c r="M81" s="2"/>
      <c r="N81" s="22">
        <f t="shared" si="59"/>
        <v>0</v>
      </c>
      <c r="O81" s="11"/>
      <c r="P81" s="2">
        <f>--1616.63</f>
        <v>1616.63</v>
      </c>
      <c r="Q81" s="2"/>
      <c r="R81" s="22">
        <f t="shared" si="60"/>
        <v>0</v>
      </c>
      <c r="S81" s="2"/>
      <c r="T81" s="2">
        <v>0</v>
      </c>
      <c r="U81" s="2"/>
      <c r="V81" s="22">
        <f t="shared" si="61"/>
        <v>0</v>
      </c>
      <c r="W81" s="2"/>
      <c r="X81" s="2">
        <f t="shared" si="62"/>
        <v>1616.63</v>
      </c>
      <c r="Y81" s="2"/>
      <c r="Z81" s="22">
        <f t="shared" si="63"/>
        <v>0</v>
      </c>
    </row>
    <row r="82" spans="1:26" s="24" customFormat="1" hidden="1" outlineLevel="1" x14ac:dyDescent="0.25">
      <c r="A82" s="51"/>
      <c r="B82" s="11" t="str">
        <f>CONCATENATE("          ", "9160", " - ", "MISC. INCOME")</f>
        <v xml:space="preserve">          9160 - MISC. INCOME</v>
      </c>
      <c r="C82" s="11"/>
      <c r="D82" s="2">
        <f>0</f>
        <v>0</v>
      </c>
      <c r="E82" s="2"/>
      <c r="F82" s="22">
        <f t="shared" si="56"/>
        <v>0</v>
      </c>
      <c r="G82" s="2"/>
      <c r="H82" s="2"/>
      <c r="I82" s="2"/>
      <c r="J82" s="22">
        <f t="shared" si="57"/>
        <v>0</v>
      </c>
      <c r="K82" s="2"/>
      <c r="L82" s="2">
        <f t="shared" si="58"/>
        <v>0</v>
      </c>
      <c r="M82" s="2"/>
      <c r="N82" s="22">
        <f t="shared" si="59"/>
        <v>0</v>
      </c>
      <c r="O82" s="11"/>
      <c r="P82" s="2">
        <f>--626.43</f>
        <v>626.42999999999995</v>
      </c>
      <c r="Q82" s="2"/>
      <c r="R82" s="22">
        <f t="shared" si="60"/>
        <v>0</v>
      </c>
      <c r="S82" s="2"/>
      <c r="T82" s="2"/>
      <c r="U82" s="2"/>
      <c r="V82" s="22">
        <f t="shared" si="61"/>
        <v>0</v>
      </c>
      <c r="W82" s="2"/>
      <c r="X82" s="2">
        <f t="shared" si="62"/>
        <v>626.42999999999995</v>
      </c>
      <c r="Y82" s="2"/>
      <c r="Z82" s="22">
        <f t="shared" si="63"/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5" t="s">
        <v>3</v>
      </c>
      <c r="C84" s="25"/>
      <c r="D84" s="21">
        <f>+D16-D18+D80</f>
        <v>-32392.589999999997</v>
      </c>
      <c r="E84" s="13"/>
      <c r="F84" s="19">
        <f>IF(D$12=0,0,D84/D$12)</f>
        <v>0</v>
      </c>
      <c r="G84" s="13"/>
      <c r="H84" s="21">
        <f>+H16-H18+H80</f>
        <v>-19320.461538461539</v>
      </c>
      <c r="I84" s="13"/>
      <c r="J84" s="19">
        <f>IF(H$12=0,0,H84/H$12)</f>
        <v>0</v>
      </c>
      <c r="K84" s="16"/>
      <c r="L84" s="21">
        <f>+D84-H84</f>
        <v>-13072.128461538457</v>
      </c>
      <c r="M84" s="16"/>
      <c r="N84" s="19">
        <f>IF(H84=0,0,L84/H84)</f>
        <v>0.67659504073003485</v>
      </c>
      <c r="O84" s="26"/>
      <c r="P84" s="21">
        <f>+P16-P18+P80</f>
        <v>-150153.20000000004</v>
      </c>
      <c r="Q84" s="13"/>
      <c r="R84" s="19">
        <f>IF(P$12=0,0,P84/P$12)</f>
        <v>0</v>
      </c>
      <c r="S84" s="13"/>
      <c r="T84" s="21">
        <f>+T16-T18+T80</f>
        <v>-107513</v>
      </c>
      <c r="U84" s="13"/>
      <c r="V84" s="19">
        <f>IF(T$12=0,0,T84/T$12)</f>
        <v>0</v>
      </c>
      <c r="W84" s="16"/>
      <c r="X84" s="21">
        <f>+P84-T84</f>
        <v>-42640.200000000041</v>
      </c>
      <c r="Y84" s="16"/>
      <c r="Z84" s="19">
        <f>IF(T84=0,0,X84/T84)</f>
        <v>0.3966050617134676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2"/>
      <c r="B86" s="10" t="s">
        <v>14</v>
      </c>
      <c r="C86" s="10"/>
      <c r="D86" s="4"/>
      <c r="E86" s="4"/>
      <c r="F86" s="12">
        <f>IF(D$12=0,0,D86/D$12)</f>
        <v>0</v>
      </c>
      <c r="G86" s="4"/>
      <c r="H86" s="4"/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/>
      <c r="Q86" s="4"/>
      <c r="R86" s="12">
        <f>IF(P$12=0,0,P86/P$12)</f>
        <v>0</v>
      </c>
      <c r="S86" s="4"/>
      <c r="T86" s="4"/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5" t="s">
        <v>4</v>
      </c>
      <c r="C88" s="25"/>
      <c r="D88" s="34">
        <f>+D84-D86</f>
        <v>-32392.589999999997</v>
      </c>
      <c r="E88" s="13"/>
      <c r="F88" s="31">
        <f>IF(D$12=0,0,D88/D$12)</f>
        <v>0</v>
      </c>
      <c r="G88" s="13"/>
      <c r="H88" s="34">
        <f>+H84-H86</f>
        <v>-19320.461538461539</v>
      </c>
      <c r="I88" s="13"/>
      <c r="J88" s="31">
        <f>IF(H$12=0,0,H88/H$12)</f>
        <v>0</v>
      </c>
      <c r="K88" s="16"/>
      <c r="L88" s="34">
        <f>D88-H88</f>
        <v>-13072.128461538457</v>
      </c>
      <c r="M88" s="16"/>
      <c r="N88" s="31">
        <f>IF(H88=0,0,L88/H88)</f>
        <v>0.67659504073003485</v>
      </c>
      <c r="O88" s="26"/>
      <c r="P88" s="34">
        <f>+P84-P86</f>
        <v>-150153.20000000004</v>
      </c>
      <c r="Q88" s="13"/>
      <c r="R88" s="31">
        <f>IF(P$12=0,0,P88/P$12)</f>
        <v>0</v>
      </c>
      <c r="S88" s="13"/>
      <c r="T88" s="34">
        <f>+T84-T86</f>
        <v>-107513</v>
      </c>
      <c r="U88" s="13"/>
      <c r="V88" s="31">
        <f>IF(T$12=0,0,T88/T$12)</f>
        <v>0</v>
      </c>
      <c r="W88" s="16"/>
      <c r="X88" s="34">
        <f>P88-T88</f>
        <v>-42640.200000000041</v>
      </c>
      <c r="Y88" s="16"/>
      <c r="Z88" s="31">
        <f>IF(T88=0,0,X88/T88)</f>
        <v>0.3966050617134676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5" t="s">
        <v>5</v>
      </c>
      <c r="C91" s="25"/>
      <c r="D91" s="33">
        <f>SUM(D88:D90)</f>
        <v>-32392.589999999997</v>
      </c>
      <c r="E91" s="13"/>
      <c r="F91" s="32">
        <f>IF(D$12=0,0,D91/D$12)</f>
        <v>0</v>
      </c>
      <c r="G91" s="13"/>
      <c r="H91" s="33">
        <f>SUM(H88:H90)</f>
        <v>-19320.461538461539</v>
      </c>
      <c r="I91" s="13"/>
      <c r="J91" s="32">
        <f>IF(H$12=0,0,H91/H$12)</f>
        <v>0</v>
      </c>
      <c r="K91" s="16"/>
      <c r="L91" s="33">
        <f>+D91-H91</f>
        <v>-13072.128461538457</v>
      </c>
      <c r="M91" s="16"/>
      <c r="N91" s="32">
        <f>IF(H91=0,0,L91/H91)</f>
        <v>0.67659504073003485</v>
      </c>
      <c r="O91" s="26"/>
      <c r="P91" s="33">
        <f>SUM(P88:P90)</f>
        <v>-150153.20000000004</v>
      </c>
      <c r="Q91" s="13"/>
      <c r="R91" s="32">
        <f>IF(P$12=0,0,P91/P$12)</f>
        <v>0</v>
      </c>
      <c r="S91" s="13"/>
      <c r="T91" s="33">
        <f>SUM(T88:T90)</f>
        <v>-107513</v>
      </c>
      <c r="U91" s="13"/>
      <c r="V91" s="32">
        <f>IF(T$12=0,0,T91/T$12)</f>
        <v>0</v>
      </c>
      <c r="W91" s="16"/>
      <c r="X91" s="33">
        <f>+P91-T91</f>
        <v>-42640.200000000041</v>
      </c>
      <c r="Y91" s="16"/>
      <c r="Z91" s="32">
        <f>IF(T91=0,0,X91/T91)</f>
        <v>0.3966050617134676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63">
        <v>44209.518740509258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60" t="s">
        <v>314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58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","412", " - ", "Chartroom")</f>
        <v>Department 412 - Chartroom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0</v>
      </c>
      <c r="I16" s="2"/>
      <c r="J16" s="22">
        <f t="shared" si="5"/>
        <v>0</v>
      </c>
      <c r="K16" s="2"/>
      <c r="L16" s="2">
        <f t="shared" si="6"/>
        <v>0</v>
      </c>
      <c r="M16" s="2"/>
      <c r="N16" s="22">
        <f t="shared" si="7"/>
        <v>0</v>
      </c>
      <c r="O16" s="11"/>
      <c r="P16" s="2"/>
      <c r="Q16" s="2"/>
      <c r="R16" s="22">
        <f t="shared" si="8"/>
        <v>0</v>
      </c>
      <c r="S16" s="2"/>
      <c r="T16" s="2">
        <v>0</v>
      </c>
      <c r="U16" s="2"/>
      <c r="V16" s="22">
        <f t="shared" si="9"/>
        <v>0</v>
      </c>
      <c r="W16" s="2"/>
      <c r="X16" s="2">
        <f t="shared" si="10"/>
        <v>0</v>
      </c>
      <c r="Y16" s="2"/>
      <c r="Z16" s="22">
        <f t="shared" si="11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>
        <f>D12-D15</f>
        <v>0</v>
      </c>
      <c r="E18" s="13"/>
      <c r="F18" s="19">
        <f>IF(D$12=0,0,D18/D$12)</f>
        <v>0</v>
      </c>
      <c r="G18" s="13"/>
      <c r="H18" s="21">
        <f>H12-H15</f>
        <v>0</v>
      </c>
      <c r="I18" s="13"/>
      <c r="J18" s="19">
        <f>IF(H$12=0,0,H18/H$12)</f>
        <v>0</v>
      </c>
      <c r="K18" s="16"/>
      <c r="L18" s="21">
        <f>+D18-H18</f>
        <v>0</v>
      </c>
      <c r="M18" s="16"/>
      <c r="N18" s="19">
        <f>IF(H18=0,0,L18/H18)</f>
        <v>0</v>
      </c>
      <c r="O18" s="26"/>
      <c r="P18" s="21">
        <f>P12-P15</f>
        <v>0</v>
      </c>
      <c r="Q18" s="13"/>
      <c r="R18" s="19">
        <f>IF(P$12=0,0,P18/P$12)</f>
        <v>0</v>
      </c>
      <c r="S18" s="13"/>
      <c r="T18" s="21">
        <f>T12-T15</f>
        <v>0</v>
      </c>
      <c r="U18" s="13"/>
      <c r="V18" s="19">
        <f>IF(T$12=0,0,T18/T$12)</f>
        <v>0</v>
      </c>
      <c r="W18" s="16"/>
      <c r="X18" s="21">
        <f>+P18-T18</f>
        <v>0</v>
      </c>
      <c r="Y18" s="16"/>
      <c r="Z18" s="19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>
        <f>SUM(OSRRefD22x_0)</f>
        <v>673.96</v>
      </c>
      <c r="E20" s="20"/>
      <c r="F20" s="30">
        <f t="shared" ref="F20:F29" si="12">IF(D$12=0,0,D20/D$12)</f>
        <v>0</v>
      </c>
      <c r="G20" s="20"/>
      <c r="H20" s="20">
        <f>SUM(OSRRefH22x_0)</f>
        <v>848</v>
      </c>
      <c r="I20" s="20"/>
      <c r="J20" s="30">
        <f t="shared" ref="J20:J29" si="13">IF(H$12=0,0,H20/H$12)</f>
        <v>0</v>
      </c>
      <c r="K20" s="4"/>
      <c r="L20" s="20">
        <f t="shared" ref="L20:L29" si="14">+D20-H20</f>
        <v>-174.03999999999996</v>
      </c>
      <c r="M20" s="4"/>
      <c r="N20" s="30">
        <f t="shared" ref="N20:N29" si="15">IF(H20=0,0,L20/H20)</f>
        <v>-0.20523584905660372</v>
      </c>
      <c r="O20" s="10"/>
      <c r="P20" s="20">
        <f>SUM(OSRRefP22x_0)</f>
        <v>6049.53</v>
      </c>
      <c r="Q20" s="20"/>
      <c r="R20" s="30">
        <f t="shared" ref="R20:R29" si="16">IF(P$12=0,0,P20/P$12)</f>
        <v>0</v>
      </c>
      <c r="S20" s="20"/>
      <c r="T20" s="20">
        <f>SUM(OSRRefT22x_0)</f>
        <v>5088</v>
      </c>
      <c r="U20" s="20"/>
      <c r="V20" s="30">
        <f t="shared" ref="V20:V29" si="17">IF(T$12=0,0,T20/T$12)</f>
        <v>0</v>
      </c>
      <c r="W20" s="4"/>
      <c r="X20" s="20">
        <f t="shared" ref="X20:X29" si="18">+P20-T20</f>
        <v>961.52999999999975</v>
      </c>
      <c r="Y20" s="4"/>
      <c r="Z20" s="30">
        <f t="shared" ref="Z20:Z29" si="19">IF(T20=0,0,X20/T20)</f>
        <v>0.18897995283018862</v>
      </c>
    </row>
    <row r="21" spans="1:26" s="28" customFormat="1" outlineLevel="1" collapsed="1" x14ac:dyDescent="0.25">
      <c r="A21" s="27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25">
      <c r="A22" s="29"/>
      <c r="B22" s="11" t="str">
        <f>CONCATENATE("          ", "6111", " - ", "F.I.C.A.")</f>
        <v xml:space="preserve">          6111 - F.I.C.A.</v>
      </c>
      <c r="C22" s="11"/>
      <c r="D22" s="7"/>
      <c r="E22" s="2"/>
      <c r="F22" s="6">
        <f t="shared" si="12"/>
        <v>0</v>
      </c>
      <c r="G22" s="2"/>
      <c r="H22" s="7">
        <v>0</v>
      </c>
      <c r="I22" s="2"/>
      <c r="J22" s="6">
        <f t="shared" si="13"/>
        <v>0</v>
      </c>
      <c r="K22" s="2"/>
      <c r="L22" s="7">
        <f t="shared" si="14"/>
        <v>0</v>
      </c>
      <c r="M22" s="2"/>
      <c r="N22" s="6">
        <f t="shared" si="15"/>
        <v>0</v>
      </c>
      <c r="O22" s="11"/>
      <c r="P22" s="7"/>
      <c r="Q22" s="2"/>
      <c r="R22" s="6">
        <f t="shared" si="16"/>
        <v>0</v>
      </c>
      <c r="S22" s="2"/>
      <c r="T22" s="7">
        <v>0</v>
      </c>
      <c r="U22" s="2"/>
      <c r="V22" s="6">
        <f t="shared" si="17"/>
        <v>0</v>
      </c>
      <c r="W22" s="2"/>
      <c r="X22" s="7">
        <f t="shared" si="18"/>
        <v>0</v>
      </c>
      <c r="Y22" s="2"/>
      <c r="Z22" s="6">
        <f t="shared" si="19"/>
        <v>0</v>
      </c>
    </row>
    <row r="23" spans="1:26" s="24" customFormat="1" hidden="1" outlineLevel="2" x14ac:dyDescent="0.25">
      <c r="A23" s="29"/>
      <c r="B23" s="11" t="str">
        <f>CONCATENATE("          ", "6112", " - ", "COMPENSATION INSURANCE")</f>
        <v xml:space="preserve">          6112 - COMPENSATION INSURANCE</v>
      </c>
      <c r="C23" s="11"/>
      <c r="D23" s="7"/>
      <c r="E23" s="2"/>
      <c r="F23" s="6">
        <f t="shared" si="12"/>
        <v>0</v>
      </c>
      <c r="G23" s="2"/>
      <c r="H23" s="7">
        <v>0</v>
      </c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/>
      <c r="Q23" s="2"/>
      <c r="R23" s="6">
        <f t="shared" si="16"/>
        <v>0</v>
      </c>
      <c r="S23" s="2"/>
      <c r="T23" s="7">
        <v>0</v>
      </c>
      <c r="U23" s="2"/>
      <c r="V23" s="6">
        <f t="shared" si="17"/>
        <v>0</v>
      </c>
      <c r="W23" s="2"/>
      <c r="X23" s="7">
        <f t="shared" si="18"/>
        <v>0</v>
      </c>
      <c r="Y23" s="2"/>
      <c r="Z23" s="6">
        <f t="shared" si="19"/>
        <v>0</v>
      </c>
    </row>
    <row r="24" spans="1:26" s="24" customFormat="1" hidden="1" outlineLevel="2" x14ac:dyDescent="0.25">
      <c r="A24" s="29"/>
      <c r="B24" s="11" t="str">
        <f>CONCATENATE("          ", "6113", " - ", "GROUP INSURANCE")</f>
        <v xml:space="preserve">          6113 - GROUP INSURANCE</v>
      </c>
      <c r="C24" s="11"/>
      <c r="D24" s="7"/>
      <c r="E24" s="2"/>
      <c r="F24" s="6">
        <f t="shared" si="12"/>
        <v>0</v>
      </c>
      <c r="G24" s="2"/>
      <c r="H24" s="7">
        <v>0</v>
      </c>
      <c r="I24" s="2"/>
      <c r="J24" s="6">
        <f t="shared" si="13"/>
        <v>0</v>
      </c>
      <c r="K24" s="2"/>
      <c r="L24" s="7">
        <f t="shared" si="14"/>
        <v>0</v>
      </c>
      <c r="M24" s="2"/>
      <c r="N24" s="6">
        <f t="shared" si="15"/>
        <v>0</v>
      </c>
      <c r="O24" s="11"/>
      <c r="P24" s="7"/>
      <c r="Q24" s="2"/>
      <c r="R24" s="6">
        <f t="shared" si="16"/>
        <v>0</v>
      </c>
      <c r="S24" s="2"/>
      <c r="T24" s="7">
        <v>0</v>
      </c>
      <c r="U24" s="2"/>
      <c r="V24" s="6">
        <f t="shared" si="17"/>
        <v>0</v>
      </c>
      <c r="W24" s="2"/>
      <c r="X24" s="7">
        <f t="shared" si="18"/>
        <v>0</v>
      </c>
      <c r="Y24" s="2"/>
      <c r="Z24" s="6">
        <f t="shared" si="19"/>
        <v>0</v>
      </c>
    </row>
    <row r="25" spans="1:26" s="24" customFormat="1" hidden="1" outlineLevel="2" x14ac:dyDescent="0.25">
      <c r="A25" s="29"/>
      <c r="B25" s="11" t="str">
        <f>CONCATENATE("          ", "6114", " - ", "STATE UNEMPLOYMENT INSURANCE")</f>
        <v xml:space="preserve">          6114 - STATE UNEMPLOYMENT INSURANCE</v>
      </c>
      <c r="C25" s="11"/>
      <c r="D25" s="7"/>
      <c r="E25" s="2"/>
      <c r="F25" s="6">
        <f t="shared" si="12"/>
        <v>0</v>
      </c>
      <c r="G25" s="2"/>
      <c r="H25" s="7">
        <v>0</v>
      </c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/>
      <c r="Q25" s="2"/>
      <c r="R25" s="6">
        <f t="shared" si="16"/>
        <v>0</v>
      </c>
      <c r="S25" s="2"/>
      <c r="T25" s="7">
        <v>0</v>
      </c>
      <c r="U25" s="2"/>
      <c r="V25" s="6">
        <f t="shared" si="17"/>
        <v>0</v>
      </c>
      <c r="W25" s="2"/>
      <c r="X25" s="7">
        <f t="shared" si="18"/>
        <v>0</v>
      </c>
      <c r="Y25" s="2"/>
      <c r="Z25" s="6">
        <f t="shared" si="19"/>
        <v>0</v>
      </c>
    </row>
    <row r="26" spans="1:26" s="24" customFormat="1" hidden="1" outlineLevel="2" x14ac:dyDescent="0.25">
      <c r="A26" s="29"/>
      <c r="B26" s="11" t="str">
        <f>CONCATENATE("          ", "6115", " - ", "P.E.R.S.")</f>
        <v xml:space="preserve">          6115 - P.E.R.S.</v>
      </c>
      <c r="C26" s="11"/>
      <c r="D26" s="7"/>
      <c r="E26" s="2"/>
      <c r="F26" s="6">
        <f t="shared" si="12"/>
        <v>0</v>
      </c>
      <c r="G26" s="2"/>
      <c r="H26" s="7">
        <v>0</v>
      </c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0</v>
      </c>
      <c r="U26" s="2"/>
      <c r="V26" s="6">
        <f t="shared" si="17"/>
        <v>0</v>
      </c>
      <c r="W26" s="2"/>
      <c r="X26" s="7">
        <f t="shared" si="18"/>
        <v>0</v>
      </c>
      <c r="Y26" s="2"/>
      <c r="Z26" s="6">
        <f t="shared" si="19"/>
        <v>0</v>
      </c>
    </row>
    <row r="27" spans="1:26" s="24" customFormat="1" hidden="1" outlineLevel="2" x14ac:dyDescent="0.25">
      <c r="A27" s="29"/>
      <c r="B27" s="11" t="str">
        <f>CONCATENATE("          ", "6116", " - ", "EDUCATIONAL BENEFITS")</f>
        <v xml:space="preserve">          6116 - EDUCATIONAL BENEFITS</v>
      </c>
      <c r="C27" s="11"/>
      <c r="D27" s="7"/>
      <c r="E27" s="2"/>
      <c r="F27" s="6">
        <f t="shared" si="12"/>
        <v>0</v>
      </c>
      <c r="G27" s="2"/>
      <c r="H27" s="7">
        <v>0</v>
      </c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0</v>
      </c>
      <c r="U27" s="2"/>
      <c r="V27" s="6">
        <f t="shared" si="17"/>
        <v>0</v>
      </c>
      <c r="W27" s="2"/>
      <c r="X27" s="7">
        <f t="shared" si="18"/>
        <v>0</v>
      </c>
      <c r="Y27" s="2"/>
      <c r="Z27" s="6">
        <f t="shared" si="19"/>
        <v>0</v>
      </c>
    </row>
    <row r="28" spans="1:26" s="24" customFormat="1" hidden="1" outlineLevel="2" x14ac:dyDescent="0.25">
      <c r="A28" s="29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2"/>
        <v>0</v>
      </c>
      <c r="G28" s="2"/>
      <c r="H28" s="7">
        <v>0</v>
      </c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0</v>
      </c>
      <c r="U28" s="2"/>
      <c r="V28" s="6">
        <f t="shared" si="17"/>
        <v>0</v>
      </c>
      <c r="W28" s="2"/>
      <c r="X28" s="7">
        <f t="shared" si="18"/>
        <v>0</v>
      </c>
      <c r="Y28" s="2"/>
      <c r="Z28" s="6">
        <f t="shared" si="19"/>
        <v>0</v>
      </c>
    </row>
    <row r="29" spans="1:26" s="24" customFormat="1" hidden="1" outlineLevel="2" x14ac:dyDescent="0.25">
      <c r="A29" s="29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2"/>
        <v>0</v>
      </c>
      <c r="G29" s="2"/>
      <c r="H29" s="7">
        <v>0</v>
      </c>
      <c r="I29" s="2"/>
      <c r="J29" s="6">
        <f t="shared" si="13"/>
        <v>0</v>
      </c>
      <c r="K29" s="2"/>
      <c r="L29" s="7">
        <f t="shared" si="14"/>
        <v>0</v>
      </c>
      <c r="M29" s="2"/>
      <c r="N29" s="6">
        <f t="shared" si="15"/>
        <v>0</v>
      </c>
      <c r="O29" s="11"/>
      <c r="P29" s="7"/>
      <c r="Q29" s="2"/>
      <c r="R29" s="6">
        <f t="shared" si="16"/>
        <v>0</v>
      </c>
      <c r="S29" s="2"/>
      <c r="T29" s="7">
        <v>0</v>
      </c>
      <c r="U29" s="2"/>
      <c r="V29" s="6">
        <f t="shared" si="17"/>
        <v>0</v>
      </c>
      <c r="W29" s="2"/>
      <c r="X29" s="7">
        <f t="shared" si="18"/>
        <v>0</v>
      </c>
      <c r="Y29" s="2"/>
      <c r="Z29" s="6">
        <f t="shared" si="19"/>
        <v>0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0</v>
      </c>
      <c r="M30" s="1"/>
      <c r="N30" s="5">
        <f t="shared" ref="N30:N40" si="23">IF(H30=0,0,L30/H30)</f>
        <v>0</v>
      </c>
      <c r="O30" s="14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0</v>
      </c>
      <c r="Y30" s="1"/>
      <c r="Z30" s="5">
        <f t="shared" ref="Z30:Z40" si="27">IF(T30=0,0,X30/T30)</f>
        <v>0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/>
      <c r="E31" s="2"/>
      <c r="F31" s="6">
        <f t="shared" si="20"/>
        <v>0</v>
      </c>
      <c r="G31" s="2"/>
      <c r="H31" s="7">
        <v>0</v>
      </c>
      <c r="I31" s="2"/>
      <c r="J31" s="6">
        <f t="shared" si="21"/>
        <v>0</v>
      </c>
      <c r="K31" s="2"/>
      <c r="L31" s="7">
        <f t="shared" si="22"/>
        <v>0</v>
      </c>
      <c r="M31" s="2"/>
      <c r="N31" s="6">
        <f t="shared" si="23"/>
        <v>0</v>
      </c>
      <c r="O31" s="11"/>
      <c r="P31" s="7"/>
      <c r="Q31" s="2"/>
      <c r="R31" s="6">
        <f t="shared" si="24"/>
        <v>0</v>
      </c>
      <c r="S31" s="2"/>
      <c r="T31" s="7">
        <v>0</v>
      </c>
      <c r="U31" s="2"/>
      <c r="V31" s="6">
        <f t="shared" si="25"/>
        <v>0</v>
      </c>
      <c r="W31" s="2"/>
      <c r="X31" s="7">
        <f t="shared" si="26"/>
        <v>0</v>
      </c>
      <c r="Y31" s="2"/>
      <c r="Z31" s="6">
        <f t="shared" si="27"/>
        <v>0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0"/>
        <v>0</v>
      </c>
      <c r="G32" s="2"/>
      <c r="H32" s="7">
        <v>0</v>
      </c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0</v>
      </c>
      <c r="U32" s="2"/>
      <c r="V32" s="6">
        <f t="shared" si="25"/>
        <v>0</v>
      </c>
      <c r="W32" s="2"/>
      <c r="X32" s="7">
        <f t="shared" si="26"/>
        <v>0</v>
      </c>
      <c r="Y32" s="2"/>
      <c r="Z32" s="6">
        <f t="shared" si="27"/>
        <v>0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7"/>
      <c r="E33" s="2"/>
      <c r="F33" s="6">
        <f t="shared" si="20"/>
        <v>0</v>
      </c>
      <c r="G33" s="2"/>
      <c r="H33" s="7">
        <v>0</v>
      </c>
      <c r="I33" s="2"/>
      <c r="J33" s="6">
        <f t="shared" si="21"/>
        <v>0</v>
      </c>
      <c r="K33" s="2"/>
      <c r="L33" s="7">
        <f t="shared" si="22"/>
        <v>0</v>
      </c>
      <c r="M33" s="2"/>
      <c r="N33" s="6">
        <f t="shared" si="23"/>
        <v>0</v>
      </c>
      <c r="O33" s="11"/>
      <c r="P33" s="7"/>
      <c r="Q33" s="2"/>
      <c r="R33" s="6">
        <f t="shared" si="24"/>
        <v>0</v>
      </c>
      <c r="S33" s="2"/>
      <c r="T33" s="7">
        <v>0</v>
      </c>
      <c r="U33" s="2"/>
      <c r="V33" s="6">
        <f t="shared" si="25"/>
        <v>0</v>
      </c>
      <c r="W33" s="2"/>
      <c r="X33" s="7">
        <f t="shared" si="26"/>
        <v>0</v>
      </c>
      <c r="Y33" s="2"/>
      <c r="Z33" s="6">
        <f t="shared" si="27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0"/>
        <v>0</v>
      </c>
      <c r="G34" s="2"/>
      <c r="H34" s="7">
        <v>0</v>
      </c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0</v>
      </c>
      <c r="U34" s="2"/>
      <c r="V34" s="6">
        <f t="shared" si="25"/>
        <v>0</v>
      </c>
      <c r="W34" s="2"/>
      <c r="X34" s="7">
        <f t="shared" si="26"/>
        <v>0</v>
      </c>
      <c r="Y34" s="2"/>
      <c r="Z34" s="6">
        <f t="shared" si="27"/>
        <v>0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0"/>
        <v>0</v>
      </c>
      <c r="G35" s="2"/>
      <c r="H35" s="7">
        <v>0</v>
      </c>
      <c r="I35" s="2"/>
      <c r="J35" s="6">
        <f t="shared" si="21"/>
        <v>0</v>
      </c>
      <c r="K35" s="2"/>
      <c r="L35" s="7">
        <f t="shared" si="22"/>
        <v>0</v>
      </c>
      <c r="M35" s="2"/>
      <c r="N35" s="6">
        <f t="shared" si="23"/>
        <v>0</v>
      </c>
      <c r="O35" s="11"/>
      <c r="P35" s="7"/>
      <c r="Q35" s="2"/>
      <c r="R35" s="6">
        <f t="shared" si="24"/>
        <v>0</v>
      </c>
      <c r="S35" s="2"/>
      <c r="T35" s="7">
        <v>0</v>
      </c>
      <c r="U35" s="2"/>
      <c r="V35" s="6">
        <f t="shared" si="25"/>
        <v>0</v>
      </c>
      <c r="W35" s="2"/>
      <c r="X35" s="7">
        <f t="shared" si="26"/>
        <v>0</v>
      </c>
      <c r="Y35" s="2"/>
      <c r="Z35" s="6">
        <f t="shared" si="27"/>
        <v>0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>
        <v>0</v>
      </c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0</v>
      </c>
      <c r="U36" s="2"/>
      <c r="V36" s="6">
        <f t="shared" si="25"/>
        <v>0</v>
      </c>
      <c r="W36" s="2"/>
      <c r="X36" s="7">
        <f t="shared" si="26"/>
        <v>0</v>
      </c>
      <c r="Y36" s="2"/>
      <c r="Z36" s="6">
        <f t="shared" si="27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8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47" si="28">IF(D$12=0,0,D41/D$12)</f>
        <v>0</v>
      </c>
      <c r="G41" s="1"/>
      <c r="H41" s="1">
        <f>SUM(OSRRefH22_2x_0)</f>
        <v>0</v>
      </c>
      <c r="I41" s="1"/>
      <c r="J41" s="5">
        <f t="shared" ref="J41:J47" si="29">IF(H$12=0,0,H41/H$12)</f>
        <v>0</v>
      </c>
      <c r="K41" s="1"/>
      <c r="L41" s="1">
        <f t="shared" ref="L41:L47" si="30">+D41-H41</f>
        <v>0</v>
      </c>
      <c r="M41" s="1"/>
      <c r="N41" s="5">
        <f t="shared" ref="N41:N47" si="31">IF(H41=0,0,L41/H41)</f>
        <v>0</v>
      </c>
      <c r="O41" s="14"/>
      <c r="P41" s="1">
        <f>SUM(OSRRefP22_2x_0)</f>
        <v>0</v>
      </c>
      <c r="Q41" s="1"/>
      <c r="R41" s="5">
        <f t="shared" ref="R41:R47" si="32">IF(P$12=0,0,P41/P$12)</f>
        <v>0</v>
      </c>
      <c r="S41" s="1"/>
      <c r="T41" s="1">
        <f>SUM(OSRRefT22_2x_0)</f>
        <v>0</v>
      </c>
      <c r="U41" s="1"/>
      <c r="V41" s="5">
        <f t="shared" ref="V41:V47" si="33">IF(T$12=0,0,T41/T$12)</f>
        <v>0</v>
      </c>
      <c r="W41" s="1"/>
      <c r="X41" s="1">
        <f t="shared" ref="X41:X47" si="34">+P41-T41</f>
        <v>0</v>
      </c>
      <c r="Y41" s="1"/>
      <c r="Z41" s="5">
        <f t="shared" ref="Z41:Z47" si="35">IF(T41=0,0,X41/T41)</f>
        <v>0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>
        <v>0</v>
      </c>
      <c r="I42" s="2"/>
      <c r="J42" s="6">
        <f t="shared" si="29"/>
        <v>0</v>
      </c>
      <c r="K42" s="2"/>
      <c r="L42" s="7">
        <f t="shared" si="30"/>
        <v>0</v>
      </c>
      <c r="M42" s="2"/>
      <c r="N42" s="6">
        <f t="shared" si="31"/>
        <v>0</v>
      </c>
      <c r="O42" s="11"/>
      <c r="P42" s="7"/>
      <c r="Q42" s="2"/>
      <c r="R42" s="6">
        <f t="shared" si="32"/>
        <v>0</v>
      </c>
      <c r="S42" s="2"/>
      <c r="T42" s="7">
        <v>0</v>
      </c>
      <c r="U42" s="2"/>
      <c r="V42" s="6">
        <f t="shared" si="33"/>
        <v>0</v>
      </c>
      <c r="W42" s="2"/>
      <c r="X42" s="7">
        <f t="shared" si="34"/>
        <v>0</v>
      </c>
      <c r="Y42" s="2"/>
      <c r="Z42" s="6">
        <f t="shared" si="35"/>
        <v>0</v>
      </c>
    </row>
    <row r="43" spans="1:26" s="28" customFormat="1" outlineLevel="1" collapsed="1" x14ac:dyDescent="0.25">
      <c r="A43" s="27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9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28"/>
        <v>0</v>
      </c>
      <c r="G44" s="2"/>
      <c r="H44" s="7">
        <v>0</v>
      </c>
      <c r="I44" s="2"/>
      <c r="J44" s="6">
        <f t="shared" si="29"/>
        <v>0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/>
      <c r="Q44" s="2"/>
      <c r="R44" s="6">
        <f t="shared" si="32"/>
        <v>0</v>
      </c>
      <c r="S44" s="2"/>
      <c r="T44" s="7">
        <v>0</v>
      </c>
      <c r="U44" s="2"/>
      <c r="V44" s="6">
        <f t="shared" si="33"/>
        <v>0</v>
      </c>
      <c r="W44" s="2"/>
      <c r="X44" s="7">
        <f t="shared" si="34"/>
        <v>0</v>
      </c>
      <c r="Y44" s="2"/>
      <c r="Z44" s="6">
        <f t="shared" si="35"/>
        <v>0</v>
      </c>
    </row>
    <row r="45" spans="1:26" s="28" customFormat="1" outlineLevel="1" collapsed="1" x14ac:dyDescent="0.25">
      <c r="A45" s="27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SUM(OSRRefD22_4x_0)</f>
        <v>577.36</v>
      </c>
      <c r="E45" s="1"/>
      <c r="F45" s="5">
        <f t="shared" si="28"/>
        <v>0</v>
      </c>
      <c r="G45" s="1"/>
      <c r="H45" s="1">
        <f>SUM(OSRRefH22_4x_0)</f>
        <v>848</v>
      </c>
      <c r="I45" s="1"/>
      <c r="J45" s="5">
        <f t="shared" si="29"/>
        <v>0</v>
      </c>
      <c r="K45" s="1"/>
      <c r="L45" s="1">
        <f t="shared" si="30"/>
        <v>-270.64</v>
      </c>
      <c r="M45" s="1"/>
      <c r="N45" s="5">
        <f t="shared" si="31"/>
        <v>-0.31915094339622641</v>
      </c>
      <c r="O45" s="14"/>
      <c r="P45" s="1">
        <f>SUM(OSRRefP22_4x_0)</f>
        <v>3803.15</v>
      </c>
      <c r="Q45" s="1"/>
      <c r="R45" s="5">
        <f t="shared" si="32"/>
        <v>0</v>
      </c>
      <c r="S45" s="1"/>
      <c r="T45" s="1">
        <f>SUM(OSRRefT22_4x_0)</f>
        <v>5088</v>
      </c>
      <c r="U45" s="1"/>
      <c r="V45" s="5">
        <f t="shared" si="33"/>
        <v>0</v>
      </c>
      <c r="W45" s="1"/>
      <c r="X45" s="1">
        <f t="shared" si="34"/>
        <v>-1284.8499999999999</v>
      </c>
      <c r="Y45" s="1"/>
      <c r="Z45" s="5">
        <f t="shared" si="35"/>
        <v>-0.25252555031446539</v>
      </c>
    </row>
    <row r="46" spans="1:26" s="24" customFormat="1" hidden="1" outlineLevel="2" x14ac:dyDescent="0.25">
      <c r="A46" s="29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577.36</v>
      </c>
      <c r="E46" s="2"/>
      <c r="F46" s="6">
        <f t="shared" si="28"/>
        <v>0</v>
      </c>
      <c r="G46" s="2"/>
      <c r="H46" s="7">
        <v>298</v>
      </c>
      <c r="I46" s="2"/>
      <c r="J46" s="6">
        <f t="shared" si="29"/>
        <v>0</v>
      </c>
      <c r="K46" s="2"/>
      <c r="L46" s="7">
        <f t="shared" si="30"/>
        <v>279.36</v>
      </c>
      <c r="M46" s="2"/>
      <c r="N46" s="6">
        <f t="shared" si="31"/>
        <v>0.93744966442953026</v>
      </c>
      <c r="O46" s="11"/>
      <c r="P46" s="7">
        <v>3803.15</v>
      </c>
      <c r="Q46" s="2"/>
      <c r="R46" s="6">
        <f t="shared" si="32"/>
        <v>0</v>
      </c>
      <c r="S46" s="2"/>
      <c r="T46" s="7">
        <v>1788</v>
      </c>
      <c r="U46" s="2"/>
      <c r="V46" s="6">
        <f t="shared" si="33"/>
        <v>0</v>
      </c>
      <c r="W46" s="2"/>
      <c r="X46" s="7">
        <f t="shared" si="34"/>
        <v>2015.15</v>
      </c>
      <c r="Y46" s="2"/>
      <c r="Z46" s="6">
        <f t="shared" si="35"/>
        <v>1.1270413870246085</v>
      </c>
    </row>
    <row r="47" spans="1:26" s="24" customFormat="1" hidden="1" outlineLevel="2" x14ac:dyDescent="0.25">
      <c r="A47" s="29"/>
      <c r="B47" s="11" t="str">
        <f>CONCATENATE("          ", "6326", " - ", "VEHICLES DEPRECIATION EXPENSE")</f>
        <v xml:space="preserve">          6326 - VEHICLES DEPRECIATION EXPENSE</v>
      </c>
      <c r="C47" s="11"/>
      <c r="D47" s="7"/>
      <c r="E47" s="2"/>
      <c r="F47" s="6">
        <f t="shared" si="28"/>
        <v>0</v>
      </c>
      <c r="G47" s="2"/>
      <c r="H47" s="7">
        <v>550</v>
      </c>
      <c r="I47" s="2"/>
      <c r="J47" s="6">
        <f t="shared" si="29"/>
        <v>0</v>
      </c>
      <c r="K47" s="2"/>
      <c r="L47" s="7">
        <f t="shared" si="30"/>
        <v>-550</v>
      </c>
      <c r="M47" s="2"/>
      <c r="N47" s="6">
        <f t="shared" si="31"/>
        <v>-1</v>
      </c>
      <c r="O47" s="11"/>
      <c r="P47" s="7"/>
      <c r="Q47" s="2"/>
      <c r="R47" s="6">
        <f t="shared" si="32"/>
        <v>0</v>
      </c>
      <c r="S47" s="2"/>
      <c r="T47" s="7">
        <v>3300</v>
      </c>
      <c r="U47" s="2"/>
      <c r="V47" s="6">
        <f t="shared" si="33"/>
        <v>0</v>
      </c>
      <c r="W47" s="2"/>
      <c r="X47" s="7">
        <f t="shared" si="34"/>
        <v>-3300</v>
      </c>
      <c r="Y47" s="2"/>
      <c r="Z47" s="6">
        <f t="shared" si="35"/>
        <v>-1</v>
      </c>
    </row>
    <row r="48" spans="1:26" s="28" customFormat="1" outlineLevel="1" collapsed="1" x14ac:dyDescent="0.25">
      <c r="A48" s="27"/>
      <c r="B48" s="14" t="str">
        <f>CONCATENATE("     ","Employees' Appreciation                           ")</f>
        <v xml:space="preserve">     Employees' Appreciation                           </v>
      </c>
      <c r="C48" s="14"/>
      <c r="D48" s="1">
        <f>SUM(OSRRefD22_5x_0)</f>
        <v>0</v>
      </c>
      <c r="E48" s="1"/>
      <c r="F48" s="5">
        <f t="shared" ref="F48:F56" si="36">IF(D$12=0,0,D48/D$12)</f>
        <v>0</v>
      </c>
      <c r="G48" s="1"/>
      <c r="H48" s="1">
        <f>SUM(OSRRefH22_5x_0)</f>
        <v>0</v>
      </c>
      <c r="I48" s="1"/>
      <c r="J48" s="5">
        <f t="shared" ref="J48:J56" si="37">IF(H$12=0,0,H48/H$12)</f>
        <v>0</v>
      </c>
      <c r="K48" s="1"/>
      <c r="L48" s="1">
        <f t="shared" ref="L48:L56" si="38">+D48-H48</f>
        <v>0</v>
      </c>
      <c r="M48" s="1"/>
      <c r="N48" s="5">
        <f t="shared" ref="N48:N56" si="39">IF(H48=0,0,L48/H48)</f>
        <v>0</v>
      </c>
      <c r="O48" s="14"/>
      <c r="P48" s="1">
        <f>SUM(OSRRefP22_5x_0)</f>
        <v>0</v>
      </c>
      <c r="Q48" s="1"/>
      <c r="R48" s="5">
        <f t="shared" ref="R48:R56" si="40">IF(P$12=0,0,P48/P$12)</f>
        <v>0</v>
      </c>
      <c r="S48" s="1"/>
      <c r="T48" s="1">
        <f>SUM(OSRRefT22_5x_0)</f>
        <v>0</v>
      </c>
      <c r="U48" s="1"/>
      <c r="V48" s="5">
        <f t="shared" ref="V48:V56" si="41">IF(T$12=0,0,T48/T$12)</f>
        <v>0</v>
      </c>
      <c r="W48" s="1"/>
      <c r="X48" s="1">
        <f t="shared" ref="X48:X56" si="42">+P48-T48</f>
        <v>0</v>
      </c>
      <c r="Y48" s="1"/>
      <c r="Z48" s="5">
        <f t="shared" ref="Z48:Z56" si="43">IF(T48=0,0,X48/T48)</f>
        <v>0</v>
      </c>
    </row>
    <row r="49" spans="1:26" s="24" customFormat="1" hidden="1" outlineLevel="2" x14ac:dyDescent="0.25">
      <c r="A49" s="29"/>
      <c r="B49" s="11" t="str">
        <f>CONCATENATE("          ", "6277", " - ", "EMPLOYEE APPRECIATION")</f>
        <v xml:space="preserve">          6277 - EMPLOYEE APPRECIATION</v>
      </c>
      <c r="C49" s="11"/>
      <c r="D49" s="7"/>
      <c r="E49" s="2"/>
      <c r="F49" s="6">
        <f t="shared" si="36"/>
        <v>0</v>
      </c>
      <c r="G49" s="2"/>
      <c r="H49" s="7">
        <v>0</v>
      </c>
      <c r="I49" s="2"/>
      <c r="J49" s="6">
        <f t="shared" si="37"/>
        <v>0</v>
      </c>
      <c r="K49" s="2"/>
      <c r="L49" s="7">
        <f t="shared" si="38"/>
        <v>0</v>
      </c>
      <c r="M49" s="2"/>
      <c r="N49" s="6">
        <f t="shared" si="39"/>
        <v>0</v>
      </c>
      <c r="O49" s="11"/>
      <c r="P49" s="7"/>
      <c r="Q49" s="2"/>
      <c r="R49" s="6">
        <f t="shared" si="40"/>
        <v>0</v>
      </c>
      <c r="S49" s="2"/>
      <c r="T49" s="7">
        <v>0</v>
      </c>
      <c r="U49" s="2"/>
      <c r="V49" s="6">
        <f t="shared" si="41"/>
        <v>0</v>
      </c>
      <c r="W49" s="2"/>
      <c r="X49" s="7">
        <f t="shared" si="42"/>
        <v>0</v>
      </c>
      <c r="Y49" s="2"/>
      <c r="Z49" s="6">
        <f t="shared" si="43"/>
        <v>0</v>
      </c>
    </row>
    <row r="50" spans="1:26" s="28" customFormat="1" outlineLevel="1" collapsed="1" x14ac:dyDescent="0.25">
      <c r="A50" s="27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SUM(OSRRefD22_6x_0)</f>
        <v>0</v>
      </c>
      <c r="E50" s="1"/>
      <c r="F50" s="5">
        <f t="shared" si="36"/>
        <v>0</v>
      </c>
      <c r="G50" s="1"/>
      <c r="H50" s="1">
        <f>SUM(OSRRefH22_6x_0)</f>
        <v>0</v>
      </c>
      <c r="I50" s="1"/>
      <c r="J50" s="5">
        <f t="shared" si="37"/>
        <v>0</v>
      </c>
      <c r="K50" s="1"/>
      <c r="L50" s="1">
        <f t="shared" si="38"/>
        <v>0</v>
      </c>
      <c r="M50" s="1"/>
      <c r="N50" s="5">
        <f t="shared" si="39"/>
        <v>0</v>
      </c>
      <c r="O50" s="14"/>
      <c r="P50" s="1">
        <f>SUM(OSRRefP22_6x_0)</f>
        <v>16.239999999999998</v>
      </c>
      <c r="Q50" s="1"/>
      <c r="R50" s="5">
        <f t="shared" si="40"/>
        <v>0</v>
      </c>
      <c r="S50" s="1"/>
      <c r="T50" s="1">
        <f>SUM(OSRRefT22_6x_0)</f>
        <v>0</v>
      </c>
      <c r="U50" s="1"/>
      <c r="V50" s="5">
        <f t="shared" si="41"/>
        <v>0</v>
      </c>
      <c r="W50" s="1"/>
      <c r="X50" s="1">
        <f t="shared" si="42"/>
        <v>16.239999999999998</v>
      </c>
      <c r="Y50" s="1"/>
      <c r="Z50" s="5">
        <f t="shared" si="43"/>
        <v>0</v>
      </c>
    </row>
    <row r="51" spans="1:26" s="24" customFormat="1" hidden="1" outlineLevel="2" x14ac:dyDescent="0.25">
      <c r="A51" s="29"/>
      <c r="B51" s="11" t="str">
        <f>CONCATENATE("          ", "6351", " - ", "EQUIPMENT RENTAL")</f>
        <v xml:space="preserve">          6351 - EQUIPMENT RENTAL</v>
      </c>
      <c r="C51" s="11"/>
      <c r="D51" s="7"/>
      <c r="E51" s="2"/>
      <c r="F51" s="6">
        <f t="shared" si="36"/>
        <v>0</v>
      </c>
      <c r="G51" s="2"/>
      <c r="H51" s="7">
        <v>0</v>
      </c>
      <c r="I51" s="2"/>
      <c r="J51" s="6">
        <f t="shared" si="37"/>
        <v>0</v>
      </c>
      <c r="K51" s="2"/>
      <c r="L51" s="7">
        <f t="shared" si="38"/>
        <v>0</v>
      </c>
      <c r="M51" s="2"/>
      <c r="N51" s="6">
        <f t="shared" si="39"/>
        <v>0</v>
      </c>
      <c r="O51" s="11"/>
      <c r="P51" s="7">
        <v>16.239999999999998</v>
      </c>
      <c r="Q51" s="2"/>
      <c r="R51" s="6">
        <f t="shared" si="40"/>
        <v>0</v>
      </c>
      <c r="S51" s="2"/>
      <c r="T51" s="7">
        <v>0</v>
      </c>
      <c r="U51" s="2"/>
      <c r="V51" s="6">
        <f t="shared" si="41"/>
        <v>0</v>
      </c>
      <c r="W51" s="2"/>
      <c r="X51" s="7">
        <f t="shared" si="42"/>
        <v>16.239999999999998</v>
      </c>
      <c r="Y51" s="2"/>
      <c r="Z51" s="6">
        <f t="shared" si="43"/>
        <v>0</v>
      </c>
    </row>
    <row r="52" spans="1:26" s="28" customFormat="1" outlineLevel="1" collapsed="1" x14ac:dyDescent="0.25">
      <c r="A52" s="27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SUM(OSRRefD22_7x_0)</f>
        <v>0</v>
      </c>
      <c r="E52" s="1"/>
      <c r="F52" s="5">
        <f t="shared" si="36"/>
        <v>0</v>
      </c>
      <c r="G52" s="1"/>
      <c r="H52" s="1">
        <f>SUM(OSRRefH22_7x_0)</f>
        <v>0</v>
      </c>
      <c r="I52" s="1"/>
      <c r="J52" s="5">
        <f t="shared" si="37"/>
        <v>0</v>
      </c>
      <c r="K52" s="1"/>
      <c r="L52" s="1">
        <f t="shared" si="38"/>
        <v>0</v>
      </c>
      <c r="M52" s="1"/>
      <c r="N52" s="5">
        <f t="shared" si="39"/>
        <v>0</v>
      </c>
      <c r="O52" s="14"/>
      <c r="P52" s="1">
        <f>SUM(OSRRefP22_7x_0)</f>
        <v>0</v>
      </c>
      <c r="Q52" s="1"/>
      <c r="R52" s="5">
        <f t="shared" si="40"/>
        <v>0</v>
      </c>
      <c r="S52" s="1"/>
      <c r="T52" s="1">
        <f>SUM(OSRRefT22_7x_0)</f>
        <v>0</v>
      </c>
      <c r="U52" s="1"/>
      <c r="V52" s="5">
        <f t="shared" si="41"/>
        <v>0</v>
      </c>
      <c r="W52" s="1"/>
      <c r="X52" s="1">
        <f t="shared" si="42"/>
        <v>0</v>
      </c>
      <c r="Y52" s="1"/>
      <c r="Z52" s="5">
        <f t="shared" si="43"/>
        <v>0</v>
      </c>
    </row>
    <row r="53" spans="1:26" s="24" customFormat="1" hidden="1" outlineLevel="2" x14ac:dyDescent="0.25">
      <c r="A53" s="29"/>
      <c r="B53" s="11" t="str">
        <f>CONCATENATE("          ", "6279", " - ", "GENERAL EXPENSE")</f>
        <v xml:space="preserve">          6279 - GENERAL EXPENSE</v>
      </c>
      <c r="C53" s="11"/>
      <c r="D53" s="7"/>
      <c r="E53" s="2"/>
      <c r="F53" s="6">
        <f t="shared" si="36"/>
        <v>0</v>
      </c>
      <c r="G53" s="2"/>
      <c r="H53" s="7">
        <v>0</v>
      </c>
      <c r="I53" s="2"/>
      <c r="J53" s="6">
        <f t="shared" si="37"/>
        <v>0</v>
      </c>
      <c r="K53" s="2"/>
      <c r="L53" s="7">
        <f t="shared" si="38"/>
        <v>0</v>
      </c>
      <c r="M53" s="2"/>
      <c r="N53" s="6">
        <f t="shared" si="39"/>
        <v>0</v>
      </c>
      <c r="O53" s="11"/>
      <c r="P53" s="7"/>
      <c r="Q53" s="2"/>
      <c r="R53" s="6">
        <f t="shared" si="40"/>
        <v>0</v>
      </c>
      <c r="S53" s="2"/>
      <c r="T53" s="7">
        <v>0</v>
      </c>
      <c r="U53" s="2"/>
      <c r="V53" s="6">
        <f t="shared" si="41"/>
        <v>0</v>
      </c>
      <c r="W53" s="2"/>
      <c r="X53" s="7">
        <f t="shared" si="42"/>
        <v>0</v>
      </c>
      <c r="Y53" s="2"/>
      <c r="Z53" s="6">
        <f t="shared" si="43"/>
        <v>0</v>
      </c>
    </row>
    <row r="54" spans="1:26" s="28" customFormat="1" outlineLevel="1" collapsed="1" x14ac:dyDescent="0.25">
      <c r="A54" s="27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SUM(OSRRefD22_8x_0)</f>
        <v>60.6</v>
      </c>
      <c r="E54" s="1"/>
      <c r="F54" s="5">
        <f t="shared" si="36"/>
        <v>0</v>
      </c>
      <c r="G54" s="1"/>
      <c r="H54" s="1">
        <f>SUM(OSRRefH22_8x_0)</f>
        <v>0</v>
      </c>
      <c r="I54" s="1"/>
      <c r="J54" s="5">
        <f t="shared" si="37"/>
        <v>0</v>
      </c>
      <c r="K54" s="1"/>
      <c r="L54" s="1">
        <f t="shared" si="38"/>
        <v>60.6</v>
      </c>
      <c r="M54" s="1"/>
      <c r="N54" s="5">
        <f t="shared" si="39"/>
        <v>0</v>
      </c>
      <c r="O54" s="14"/>
      <c r="P54" s="1">
        <f>SUM(OSRRefP22_8x_0)</f>
        <v>1616.5300000000002</v>
      </c>
      <c r="Q54" s="1"/>
      <c r="R54" s="5">
        <f t="shared" si="40"/>
        <v>0</v>
      </c>
      <c r="S54" s="1"/>
      <c r="T54" s="1">
        <f>SUM(OSRRefT22_8x_0)</f>
        <v>0</v>
      </c>
      <c r="U54" s="1"/>
      <c r="V54" s="5">
        <f t="shared" si="41"/>
        <v>0</v>
      </c>
      <c r="W54" s="1"/>
      <c r="X54" s="1">
        <f t="shared" si="42"/>
        <v>1616.5300000000002</v>
      </c>
      <c r="Y54" s="1"/>
      <c r="Z54" s="5">
        <f t="shared" si="43"/>
        <v>0</v>
      </c>
    </row>
    <row r="55" spans="1:26" s="24" customFormat="1" hidden="1" outlineLevel="2" x14ac:dyDescent="0.25">
      <c r="A55" s="29"/>
      <c r="B55" s="11" t="str">
        <f>CONCATENATE("          ", "6373", " - ", "MAINTENANCE CONTRACTS")</f>
        <v xml:space="preserve">          6373 - MAINTENANCE CONTRACTS</v>
      </c>
      <c r="C55" s="11"/>
      <c r="D55" s="7">
        <v>60.6</v>
      </c>
      <c r="E55" s="2"/>
      <c r="F55" s="6">
        <f t="shared" si="36"/>
        <v>0</v>
      </c>
      <c r="G55" s="2"/>
      <c r="H55" s="7">
        <v>0</v>
      </c>
      <c r="I55" s="2"/>
      <c r="J55" s="6">
        <f t="shared" si="37"/>
        <v>0</v>
      </c>
      <c r="K55" s="2"/>
      <c r="L55" s="7">
        <f t="shared" si="38"/>
        <v>60.6</v>
      </c>
      <c r="M55" s="2"/>
      <c r="N55" s="6">
        <f t="shared" si="39"/>
        <v>0</v>
      </c>
      <c r="O55" s="11"/>
      <c r="P55" s="7">
        <v>278.39999999999998</v>
      </c>
      <c r="Q55" s="2"/>
      <c r="R55" s="6">
        <f t="shared" si="40"/>
        <v>0</v>
      </c>
      <c r="S55" s="2"/>
      <c r="T55" s="7">
        <v>0</v>
      </c>
      <c r="U55" s="2"/>
      <c r="V55" s="6">
        <f t="shared" si="41"/>
        <v>0</v>
      </c>
      <c r="W55" s="2"/>
      <c r="X55" s="7">
        <f t="shared" si="42"/>
        <v>278.39999999999998</v>
      </c>
      <c r="Y55" s="2"/>
      <c r="Z55" s="6">
        <f t="shared" si="43"/>
        <v>0</v>
      </c>
    </row>
    <row r="56" spans="1:26" s="24" customFormat="1" hidden="1" outlineLevel="2" x14ac:dyDescent="0.25">
      <c r="A56" s="29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36"/>
        <v>0</v>
      </c>
      <c r="G56" s="2"/>
      <c r="H56" s="7">
        <v>0</v>
      </c>
      <c r="I56" s="2"/>
      <c r="J56" s="6">
        <f t="shared" si="37"/>
        <v>0</v>
      </c>
      <c r="K56" s="2"/>
      <c r="L56" s="7">
        <f t="shared" si="38"/>
        <v>0</v>
      </c>
      <c r="M56" s="2"/>
      <c r="N56" s="6">
        <f t="shared" si="39"/>
        <v>0</v>
      </c>
      <c r="O56" s="11"/>
      <c r="P56" s="7">
        <v>1338.13</v>
      </c>
      <c r="Q56" s="2"/>
      <c r="R56" s="6">
        <f t="shared" si="40"/>
        <v>0</v>
      </c>
      <c r="S56" s="2"/>
      <c r="T56" s="7">
        <v>0</v>
      </c>
      <c r="U56" s="2"/>
      <c r="V56" s="6">
        <f t="shared" si="41"/>
        <v>0</v>
      </c>
      <c r="W56" s="2"/>
      <c r="X56" s="7">
        <f t="shared" si="42"/>
        <v>1338.13</v>
      </c>
      <c r="Y56" s="2"/>
      <c r="Z56" s="6">
        <f t="shared" si="43"/>
        <v>0</v>
      </c>
    </row>
    <row r="57" spans="1:26" s="28" customFormat="1" outlineLevel="1" collapsed="1" x14ac:dyDescent="0.25">
      <c r="A57" s="27"/>
      <c r="B57" s="14" t="str">
        <f>CONCATENATE("     ","Royalty &amp; Commissions                             ")</f>
        <v xml:space="preserve">     Royalty &amp; Commissions                             </v>
      </c>
      <c r="C57" s="14"/>
      <c r="D57" s="1">
        <f>SUM(OSRRefD22_9x_0)</f>
        <v>0</v>
      </c>
      <c r="E57" s="1"/>
      <c r="F57" s="5">
        <f t="shared" ref="F57:F63" si="44">IF(D$12=0,0,D57/D$12)</f>
        <v>0</v>
      </c>
      <c r="G57" s="1"/>
      <c r="H57" s="1">
        <f>SUM(OSRRefH22_9x_0)</f>
        <v>0</v>
      </c>
      <c r="I57" s="1"/>
      <c r="J57" s="5">
        <f t="shared" ref="J57:J63" si="45">IF(H$12=0,0,H57/H$12)</f>
        <v>0</v>
      </c>
      <c r="K57" s="1"/>
      <c r="L57" s="1">
        <f t="shared" ref="L57:L63" si="46">+D57-H57</f>
        <v>0</v>
      </c>
      <c r="M57" s="1"/>
      <c r="N57" s="5">
        <f t="shared" ref="N57:N63" si="47">IF(H57=0,0,L57/H57)</f>
        <v>0</v>
      </c>
      <c r="O57" s="14"/>
      <c r="P57" s="1">
        <f>SUM(OSRRefP22_9x_0)</f>
        <v>0</v>
      </c>
      <c r="Q57" s="1"/>
      <c r="R57" s="5">
        <f t="shared" ref="R57:R63" si="48">IF(P$12=0,0,P57/P$12)</f>
        <v>0</v>
      </c>
      <c r="S57" s="1"/>
      <c r="T57" s="1">
        <f>SUM(OSRRefT22_9x_0)</f>
        <v>0</v>
      </c>
      <c r="U57" s="1"/>
      <c r="V57" s="5">
        <f t="shared" ref="V57:V63" si="49">IF(T$12=0,0,T57/T$12)</f>
        <v>0</v>
      </c>
      <c r="W57" s="1"/>
      <c r="X57" s="1">
        <f t="shared" ref="X57:X63" si="50">+P57-T57</f>
        <v>0</v>
      </c>
      <c r="Y57" s="1"/>
      <c r="Z57" s="5">
        <f t="shared" ref="Z57:Z63" si="51">IF(T57=0,0,X57/T57)</f>
        <v>0</v>
      </c>
    </row>
    <row r="58" spans="1:26" s="24" customFormat="1" hidden="1" outlineLevel="2" x14ac:dyDescent="0.25">
      <c r="A58" s="29"/>
      <c r="B58" s="11" t="str">
        <f>CONCATENATE("          ", "6254", " - ", "ROYALTY &amp; COMMISSIONS")</f>
        <v xml:space="preserve">          6254 - ROYALTY &amp; COMMISSIONS</v>
      </c>
      <c r="C58" s="11"/>
      <c r="D58" s="7"/>
      <c r="E58" s="2"/>
      <c r="F58" s="6">
        <f t="shared" si="44"/>
        <v>0</v>
      </c>
      <c r="G58" s="2"/>
      <c r="H58" s="7">
        <v>0</v>
      </c>
      <c r="I58" s="2"/>
      <c r="J58" s="6">
        <f t="shared" si="45"/>
        <v>0</v>
      </c>
      <c r="K58" s="2"/>
      <c r="L58" s="7">
        <f t="shared" si="46"/>
        <v>0</v>
      </c>
      <c r="M58" s="2"/>
      <c r="N58" s="6">
        <f t="shared" si="47"/>
        <v>0</v>
      </c>
      <c r="O58" s="11"/>
      <c r="P58" s="7"/>
      <c r="Q58" s="2"/>
      <c r="R58" s="6">
        <f t="shared" si="48"/>
        <v>0</v>
      </c>
      <c r="S58" s="2"/>
      <c r="T58" s="7">
        <v>0</v>
      </c>
      <c r="U58" s="2"/>
      <c r="V58" s="6">
        <f t="shared" si="49"/>
        <v>0</v>
      </c>
      <c r="W58" s="2"/>
      <c r="X58" s="7">
        <f t="shared" si="50"/>
        <v>0</v>
      </c>
      <c r="Y58" s="2"/>
      <c r="Z58" s="6">
        <f t="shared" si="51"/>
        <v>0</v>
      </c>
    </row>
    <row r="59" spans="1:26" s="28" customFormat="1" outlineLevel="1" collapsed="1" x14ac:dyDescent="0.25">
      <c r="A59" s="27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SUM(OSRRefD22_10x_0)</f>
        <v>0</v>
      </c>
      <c r="E59" s="1"/>
      <c r="F59" s="5">
        <f t="shared" si="44"/>
        <v>0</v>
      </c>
      <c r="G59" s="1"/>
      <c r="H59" s="1">
        <f>SUM(OSRRefH22_10x_0)</f>
        <v>0</v>
      </c>
      <c r="I59" s="1"/>
      <c r="J59" s="5">
        <f t="shared" si="45"/>
        <v>0</v>
      </c>
      <c r="K59" s="1"/>
      <c r="L59" s="1">
        <f t="shared" si="46"/>
        <v>0</v>
      </c>
      <c r="M59" s="1"/>
      <c r="N59" s="5">
        <f t="shared" si="47"/>
        <v>0</v>
      </c>
      <c r="O59" s="14"/>
      <c r="P59" s="1">
        <f>SUM(OSRRefP22_10x_0)</f>
        <v>320.58</v>
      </c>
      <c r="Q59" s="1"/>
      <c r="R59" s="5">
        <f t="shared" si="48"/>
        <v>0</v>
      </c>
      <c r="S59" s="1"/>
      <c r="T59" s="1">
        <f>SUM(OSRRefT22_10x_0)</f>
        <v>0</v>
      </c>
      <c r="U59" s="1"/>
      <c r="V59" s="5">
        <f t="shared" si="49"/>
        <v>0</v>
      </c>
      <c r="W59" s="1"/>
      <c r="X59" s="1">
        <f t="shared" si="50"/>
        <v>320.58</v>
      </c>
      <c r="Y59" s="1"/>
      <c r="Z59" s="5">
        <f t="shared" si="51"/>
        <v>0</v>
      </c>
    </row>
    <row r="60" spans="1:26" s="24" customFormat="1" hidden="1" outlineLevel="2" x14ac:dyDescent="0.25">
      <c r="A60" s="29"/>
      <c r="B60" s="11" t="str">
        <f>CONCATENATE("          ", "6282", " - ", "JANITORIAL/EXTERMINATOR EXPENS")</f>
        <v xml:space="preserve">          6282 - JANITORIAL/EXTERMINATOR EXPENS</v>
      </c>
      <c r="C60" s="11"/>
      <c r="D60" s="7"/>
      <c r="E60" s="2"/>
      <c r="F60" s="6">
        <f t="shared" si="44"/>
        <v>0</v>
      </c>
      <c r="G60" s="2"/>
      <c r="H60" s="7">
        <v>0</v>
      </c>
      <c r="I60" s="2"/>
      <c r="J60" s="6">
        <f t="shared" si="45"/>
        <v>0</v>
      </c>
      <c r="K60" s="2"/>
      <c r="L60" s="7">
        <f t="shared" si="46"/>
        <v>0</v>
      </c>
      <c r="M60" s="2"/>
      <c r="N60" s="6">
        <f t="shared" si="47"/>
        <v>0</v>
      </c>
      <c r="O60" s="11"/>
      <c r="P60" s="7"/>
      <c r="Q60" s="2"/>
      <c r="R60" s="6">
        <f t="shared" si="48"/>
        <v>0</v>
      </c>
      <c r="S60" s="2"/>
      <c r="T60" s="7">
        <v>0</v>
      </c>
      <c r="U60" s="2"/>
      <c r="V60" s="6">
        <f t="shared" si="49"/>
        <v>0</v>
      </c>
      <c r="W60" s="2"/>
      <c r="X60" s="7">
        <f t="shared" si="50"/>
        <v>0</v>
      </c>
      <c r="Y60" s="2"/>
      <c r="Z60" s="6">
        <f t="shared" si="51"/>
        <v>0</v>
      </c>
    </row>
    <row r="61" spans="1:26" s="24" customFormat="1" hidden="1" outlineLevel="2" x14ac:dyDescent="0.25">
      <c r="A61" s="29"/>
      <c r="B61" s="11" t="str">
        <f>CONCATENATE("          ", "6283", " - ", "PLANT SERVICE")</f>
        <v xml:space="preserve">          6283 - PLANT SERVICE</v>
      </c>
      <c r="C61" s="11"/>
      <c r="D61" s="7"/>
      <c r="E61" s="2"/>
      <c r="F61" s="6">
        <f t="shared" si="44"/>
        <v>0</v>
      </c>
      <c r="G61" s="2"/>
      <c r="H61" s="7">
        <v>0</v>
      </c>
      <c r="I61" s="2"/>
      <c r="J61" s="6">
        <f t="shared" si="45"/>
        <v>0</v>
      </c>
      <c r="K61" s="2"/>
      <c r="L61" s="7">
        <f t="shared" si="46"/>
        <v>0</v>
      </c>
      <c r="M61" s="2"/>
      <c r="N61" s="6">
        <f t="shared" si="47"/>
        <v>0</v>
      </c>
      <c r="O61" s="11"/>
      <c r="P61" s="7"/>
      <c r="Q61" s="2"/>
      <c r="R61" s="6">
        <f t="shared" si="48"/>
        <v>0</v>
      </c>
      <c r="S61" s="2"/>
      <c r="T61" s="7">
        <v>0</v>
      </c>
      <c r="U61" s="2"/>
      <c r="V61" s="6">
        <f t="shared" si="49"/>
        <v>0</v>
      </c>
      <c r="W61" s="2"/>
      <c r="X61" s="7">
        <f t="shared" si="50"/>
        <v>0</v>
      </c>
      <c r="Y61" s="2"/>
      <c r="Z61" s="6">
        <f t="shared" si="51"/>
        <v>0</v>
      </c>
    </row>
    <row r="62" spans="1:26" s="24" customFormat="1" hidden="1" outlineLevel="2" x14ac:dyDescent="0.25">
      <c r="A62" s="29"/>
      <c r="B62" s="11" t="str">
        <f>CONCATENATE("          ", "6285", " - ", "JANITORIAL SERVICES")</f>
        <v xml:space="preserve">          6285 - JANITORIAL SERVICES</v>
      </c>
      <c r="C62" s="11"/>
      <c r="D62" s="7"/>
      <c r="E62" s="2"/>
      <c r="F62" s="6">
        <f t="shared" si="44"/>
        <v>0</v>
      </c>
      <c r="G62" s="2"/>
      <c r="H62" s="7">
        <v>0</v>
      </c>
      <c r="I62" s="2"/>
      <c r="J62" s="6">
        <f t="shared" si="45"/>
        <v>0</v>
      </c>
      <c r="K62" s="2"/>
      <c r="L62" s="7">
        <f t="shared" si="46"/>
        <v>0</v>
      </c>
      <c r="M62" s="2"/>
      <c r="N62" s="6">
        <f t="shared" si="47"/>
        <v>0</v>
      </c>
      <c r="O62" s="11"/>
      <c r="P62" s="7"/>
      <c r="Q62" s="2"/>
      <c r="R62" s="6">
        <f t="shared" si="48"/>
        <v>0</v>
      </c>
      <c r="S62" s="2"/>
      <c r="T62" s="7">
        <v>0</v>
      </c>
      <c r="U62" s="2"/>
      <c r="V62" s="6">
        <f t="shared" si="49"/>
        <v>0</v>
      </c>
      <c r="W62" s="2"/>
      <c r="X62" s="7">
        <f t="shared" si="50"/>
        <v>0</v>
      </c>
      <c r="Y62" s="2"/>
      <c r="Z62" s="6">
        <f t="shared" si="51"/>
        <v>0</v>
      </c>
    </row>
    <row r="63" spans="1:26" s="24" customFormat="1" hidden="1" outlineLevel="2" x14ac:dyDescent="0.25">
      <c r="A63" s="29"/>
      <c r="B63" s="11" t="str">
        <f>CONCATENATE("          ", "6286", " - ", "LAUNDRY EXPENSE")</f>
        <v xml:space="preserve">          6286 - LAUNDRY EXPENSE</v>
      </c>
      <c r="C63" s="11"/>
      <c r="D63" s="7"/>
      <c r="E63" s="2"/>
      <c r="F63" s="6">
        <f t="shared" si="44"/>
        <v>0</v>
      </c>
      <c r="G63" s="2"/>
      <c r="H63" s="7">
        <v>0</v>
      </c>
      <c r="I63" s="2"/>
      <c r="J63" s="6">
        <f t="shared" si="45"/>
        <v>0</v>
      </c>
      <c r="K63" s="2"/>
      <c r="L63" s="7">
        <f t="shared" si="46"/>
        <v>0</v>
      </c>
      <c r="M63" s="2"/>
      <c r="N63" s="6">
        <f t="shared" si="47"/>
        <v>0</v>
      </c>
      <c r="O63" s="11"/>
      <c r="P63" s="7">
        <v>320.58</v>
      </c>
      <c r="Q63" s="2"/>
      <c r="R63" s="6">
        <f t="shared" si="48"/>
        <v>0</v>
      </c>
      <c r="S63" s="2"/>
      <c r="T63" s="7">
        <v>0</v>
      </c>
      <c r="U63" s="2"/>
      <c r="V63" s="6">
        <f t="shared" si="49"/>
        <v>0</v>
      </c>
      <c r="W63" s="2"/>
      <c r="X63" s="7">
        <f t="shared" si="50"/>
        <v>320.58</v>
      </c>
      <c r="Y63" s="2"/>
      <c r="Z63" s="6">
        <f t="shared" si="51"/>
        <v>0</v>
      </c>
    </row>
    <row r="64" spans="1:26" s="28" customFormat="1" outlineLevel="1" collapsed="1" x14ac:dyDescent="0.25">
      <c r="A64" s="27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SUM(OSRRefD22_11x_0)</f>
        <v>0</v>
      </c>
      <c r="E64" s="1"/>
      <c r="F64" s="5">
        <f t="shared" ref="F64:F69" si="52">IF(D$12=0,0,D64/D$12)</f>
        <v>0</v>
      </c>
      <c r="G64" s="1"/>
      <c r="H64" s="1">
        <f>SUM(OSRRefH22_11x_0)</f>
        <v>0</v>
      </c>
      <c r="I64" s="1"/>
      <c r="J64" s="5">
        <f t="shared" ref="J64:J69" si="53">IF(H$12=0,0,H64/H$12)</f>
        <v>0</v>
      </c>
      <c r="K64" s="1"/>
      <c r="L64" s="1">
        <f t="shared" ref="L64:L69" si="54">+D64-H64</f>
        <v>0</v>
      </c>
      <c r="M64" s="1"/>
      <c r="N64" s="5">
        <f t="shared" ref="N64:N69" si="55">IF(H64=0,0,L64/H64)</f>
        <v>0</v>
      </c>
      <c r="O64" s="14"/>
      <c r="P64" s="1">
        <f>SUM(OSRRefP22_11x_0)</f>
        <v>0</v>
      </c>
      <c r="Q64" s="1"/>
      <c r="R64" s="5">
        <f t="shared" ref="R64:R69" si="56">IF(P$12=0,0,P64/P$12)</f>
        <v>0</v>
      </c>
      <c r="S64" s="1"/>
      <c r="T64" s="1">
        <f>SUM(OSRRefT22_11x_0)</f>
        <v>0</v>
      </c>
      <c r="U64" s="1"/>
      <c r="V64" s="5">
        <f t="shared" ref="V64:V69" si="57">IF(T$12=0,0,T64/T$12)</f>
        <v>0</v>
      </c>
      <c r="W64" s="1"/>
      <c r="X64" s="1">
        <f t="shared" ref="X64:X69" si="58">+P64-T64</f>
        <v>0</v>
      </c>
      <c r="Y64" s="1"/>
      <c r="Z64" s="5">
        <f t="shared" ref="Z64:Z69" si="59">IF(T64=0,0,X64/T64)</f>
        <v>0</v>
      </c>
    </row>
    <row r="65" spans="1:26" s="24" customFormat="1" hidden="1" outlineLevel="2" x14ac:dyDescent="0.25">
      <c r="A65" s="29"/>
      <c r="B65" s="11" t="str">
        <f>CONCATENATE("          ", "6235", " - ", "COVID-19 EXPENSES")</f>
        <v xml:space="preserve">          6235 - COVID-19 EXPENSES</v>
      </c>
      <c r="C65" s="11"/>
      <c r="D65" s="7"/>
      <c r="E65" s="2"/>
      <c r="F65" s="6">
        <f t="shared" si="52"/>
        <v>0</v>
      </c>
      <c r="G65" s="2"/>
      <c r="H65" s="7">
        <v>0</v>
      </c>
      <c r="I65" s="2"/>
      <c r="J65" s="6">
        <f t="shared" si="53"/>
        <v>0</v>
      </c>
      <c r="K65" s="2"/>
      <c r="L65" s="7">
        <f t="shared" si="54"/>
        <v>0</v>
      </c>
      <c r="M65" s="2"/>
      <c r="N65" s="6">
        <f t="shared" si="55"/>
        <v>0</v>
      </c>
      <c r="O65" s="11"/>
      <c r="P65" s="7"/>
      <c r="Q65" s="2"/>
      <c r="R65" s="6">
        <f t="shared" si="56"/>
        <v>0</v>
      </c>
      <c r="S65" s="2"/>
      <c r="T65" s="7">
        <v>0</v>
      </c>
      <c r="U65" s="2"/>
      <c r="V65" s="6">
        <f t="shared" si="57"/>
        <v>0</v>
      </c>
      <c r="W65" s="2"/>
      <c r="X65" s="7">
        <f t="shared" si="58"/>
        <v>0</v>
      </c>
      <c r="Y65" s="2"/>
      <c r="Z65" s="6">
        <f t="shared" si="59"/>
        <v>0</v>
      </c>
    </row>
    <row r="66" spans="1:26" s="24" customFormat="1" hidden="1" outlineLevel="2" x14ac:dyDescent="0.25">
      <c r="A66" s="29"/>
      <c r="B66" s="11" t="str">
        <f>CONCATENATE("          ", "6241", " - ", "OFFICE EXPENSE")</f>
        <v xml:space="preserve">          6241 - OFFICE EXPENSE</v>
      </c>
      <c r="C66" s="11"/>
      <c r="D66" s="7"/>
      <c r="E66" s="2"/>
      <c r="F66" s="6">
        <f t="shared" si="52"/>
        <v>0</v>
      </c>
      <c r="G66" s="2"/>
      <c r="H66" s="7">
        <v>0</v>
      </c>
      <c r="I66" s="2"/>
      <c r="J66" s="6">
        <f t="shared" si="53"/>
        <v>0</v>
      </c>
      <c r="K66" s="2"/>
      <c r="L66" s="7">
        <f t="shared" si="54"/>
        <v>0</v>
      </c>
      <c r="M66" s="2"/>
      <c r="N66" s="6">
        <f t="shared" si="55"/>
        <v>0</v>
      </c>
      <c r="O66" s="11"/>
      <c r="P66" s="7"/>
      <c r="Q66" s="2"/>
      <c r="R66" s="6">
        <f t="shared" si="56"/>
        <v>0</v>
      </c>
      <c r="S66" s="2"/>
      <c r="T66" s="7">
        <v>0</v>
      </c>
      <c r="U66" s="2"/>
      <c r="V66" s="6">
        <f t="shared" si="57"/>
        <v>0</v>
      </c>
      <c r="W66" s="2"/>
      <c r="X66" s="7">
        <f t="shared" si="58"/>
        <v>0</v>
      </c>
      <c r="Y66" s="2"/>
      <c r="Z66" s="6">
        <f t="shared" si="59"/>
        <v>0</v>
      </c>
    </row>
    <row r="67" spans="1:26" s="24" customFormat="1" hidden="1" outlineLevel="2" x14ac:dyDescent="0.25">
      <c r="A67" s="29"/>
      <c r="B67" s="11" t="str">
        <f>CONCATENATE("          ", "6243", " - ", "PAPER SUPPLIES")</f>
        <v xml:space="preserve">          6243 - PAPER SUPPLIES</v>
      </c>
      <c r="C67" s="11"/>
      <c r="D67" s="7"/>
      <c r="E67" s="2"/>
      <c r="F67" s="6">
        <f t="shared" si="52"/>
        <v>0</v>
      </c>
      <c r="G67" s="2"/>
      <c r="H67" s="7">
        <v>0</v>
      </c>
      <c r="I67" s="2"/>
      <c r="J67" s="6">
        <f t="shared" si="53"/>
        <v>0</v>
      </c>
      <c r="K67" s="2"/>
      <c r="L67" s="7">
        <f t="shared" si="54"/>
        <v>0</v>
      </c>
      <c r="M67" s="2"/>
      <c r="N67" s="6">
        <f t="shared" si="55"/>
        <v>0</v>
      </c>
      <c r="O67" s="11"/>
      <c r="P67" s="7"/>
      <c r="Q67" s="2"/>
      <c r="R67" s="6">
        <f t="shared" si="56"/>
        <v>0</v>
      </c>
      <c r="S67" s="2"/>
      <c r="T67" s="7">
        <v>0</v>
      </c>
      <c r="U67" s="2"/>
      <c r="V67" s="6">
        <f t="shared" si="57"/>
        <v>0</v>
      </c>
      <c r="W67" s="2"/>
      <c r="X67" s="7">
        <f t="shared" si="58"/>
        <v>0</v>
      </c>
      <c r="Y67" s="2"/>
      <c r="Z67" s="6">
        <f t="shared" si="59"/>
        <v>0</v>
      </c>
    </row>
    <row r="68" spans="1:26" s="24" customFormat="1" hidden="1" outlineLevel="2" x14ac:dyDescent="0.25">
      <c r="A68" s="29"/>
      <c r="B68" s="11" t="str">
        <f>CONCATENATE("          ", "6247", " - ", "STORE SUPPLIES")</f>
        <v xml:space="preserve">          6247 - STORE SUPPLIES</v>
      </c>
      <c r="C68" s="11"/>
      <c r="D68" s="7"/>
      <c r="E68" s="2"/>
      <c r="F68" s="6">
        <f t="shared" si="52"/>
        <v>0</v>
      </c>
      <c r="G68" s="2"/>
      <c r="H68" s="7">
        <v>0</v>
      </c>
      <c r="I68" s="2"/>
      <c r="J68" s="6">
        <f t="shared" si="53"/>
        <v>0</v>
      </c>
      <c r="K68" s="2"/>
      <c r="L68" s="7">
        <f t="shared" si="54"/>
        <v>0</v>
      </c>
      <c r="M68" s="2"/>
      <c r="N68" s="6">
        <f t="shared" si="55"/>
        <v>0</v>
      </c>
      <c r="O68" s="11"/>
      <c r="P68" s="7"/>
      <c r="Q68" s="2"/>
      <c r="R68" s="6">
        <f t="shared" si="56"/>
        <v>0</v>
      </c>
      <c r="S68" s="2"/>
      <c r="T68" s="7">
        <v>0</v>
      </c>
      <c r="U68" s="2"/>
      <c r="V68" s="6">
        <f t="shared" si="57"/>
        <v>0</v>
      </c>
      <c r="W68" s="2"/>
      <c r="X68" s="7">
        <f t="shared" si="58"/>
        <v>0</v>
      </c>
      <c r="Y68" s="2"/>
      <c r="Z68" s="6">
        <f t="shared" si="59"/>
        <v>0</v>
      </c>
    </row>
    <row r="69" spans="1:26" s="24" customFormat="1" hidden="1" outlineLevel="2" x14ac:dyDescent="0.25">
      <c r="A69" s="29"/>
      <c r="B69" s="11" t="str">
        <f>CONCATENATE("          ", "6248", " - ", "UNIFORMS")</f>
        <v xml:space="preserve">          6248 - UNIFORMS</v>
      </c>
      <c r="C69" s="11"/>
      <c r="D69" s="7"/>
      <c r="E69" s="2"/>
      <c r="F69" s="6">
        <f t="shared" si="52"/>
        <v>0</v>
      </c>
      <c r="G69" s="2"/>
      <c r="H69" s="7">
        <v>0</v>
      </c>
      <c r="I69" s="2"/>
      <c r="J69" s="6">
        <f t="shared" si="53"/>
        <v>0</v>
      </c>
      <c r="K69" s="2"/>
      <c r="L69" s="7">
        <f t="shared" si="54"/>
        <v>0</v>
      </c>
      <c r="M69" s="2"/>
      <c r="N69" s="6">
        <f t="shared" si="55"/>
        <v>0</v>
      </c>
      <c r="O69" s="11"/>
      <c r="P69" s="7"/>
      <c r="Q69" s="2"/>
      <c r="R69" s="6">
        <f t="shared" si="56"/>
        <v>0</v>
      </c>
      <c r="S69" s="2"/>
      <c r="T69" s="7">
        <v>0</v>
      </c>
      <c r="U69" s="2"/>
      <c r="V69" s="6">
        <f t="shared" si="57"/>
        <v>0</v>
      </c>
      <c r="W69" s="2"/>
      <c r="X69" s="7">
        <f t="shared" si="58"/>
        <v>0</v>
      </c>
      <c r="Y69" s="2"/>
      <c r="Z69" s="6">
        <f t="shared" si="59"/>
        <v>0</v>
      </c>
    </row>
    <row r="70" spans="1:26" s="28" customFormat="1" outlineLevel="1" collapsed="1" x14ac:dyDescent="0.25">
      <c r="A70" s="27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SUM(OSRRefD22_12x_0)</f>
        <v>36</v>
      </c>
      <c r="E70" s="1"/>
      <c r="F70" s="5">
        <f t="shared" ref="F70:F72" si="60">IF(D$12=0,0,D70/D$12)</f>
        <v>0</v>
      </c>
      <c r="G70" s="1"/>
      <c r="H70" s="1">
        <f>SUM(OSRRefH22_12x_0)</f>
        <v>0</v>
      </c>
      <c r="I70" s="1"/>
      <c r="J70" s="5">
        <f t="shared" ref="J70:J72" si="61">IF(H$12=0,0,H70/H$12)</f>
        <v>0</v>
      </c>
      <c r="K70" s="1"/>
      <c r="L70" s="1">
        <f t="shared" ref="L70:L72" si="62">+D70-H70</f>
        <v>36</v>
      </c>
      <c r="M70" s="1"/>
      <c r="N70" s="5">
        <f t="shared" ref="N70:N72" si="63">IF(H70=0,0,L70/H70)</f>
        <v>0</v>
      </c>
      <c r="O70" s="14"/>
      <c r="P70" s="1">
        <f>SUM(OSRRefP22_12x_0)</f>
        <v>293.02999999999997</v>
      </c>
      <c r="Q70" s="1"/>
      <c r="R70" s="5">
        <f t="shared" ref="R70:R72" si="64">IF(P$12=0,0,P70/P$12)</f>
        <v>0</v>
      </c>
      <c r="S70" s="1"/>
      <c r="T70" s="1">
        <f>SUM(OSRRefT22_12x_0)</f>
        <v>0</v>
      </c>
      <c r="U70" s="1"/>
      <c r="V70" s="5">
        <f t="shared" ref="V70:V72" si="65">IF(T$12=0,0,T70/T$12)</f>
        <v>0</v>
      </c>
      <c r="W70" s="1"/>
      <c r="X70" s="1">
        <f t="shared" ref="X70:X72" si="66">+P70-T70</f>
        <v>293.02999999999997</v>
      </c>
      <c r="Y70" s="1"/>
      <c r="Z70" s="5">
        <f t="shared" ref="Z70:Z72" si="67">IF(T70=0,0,X70/T70)</f>
        <v>0</v>
      </c>
    </row>
    <row r="71" spans="1:26" s="24" customFormat="1" hidden="1" outlineLevel="2" x14ac:dyDescent="0.25">
      <c r="A71" s="29"/>
      <c r="B71" s="11" t="str">
        <f>CONCATENATE("          ", "6303", " - ", "DATA PHONE LINES")</f>
        <v xml:space="preserve">          6303 - DATA PHONE LINES</v>
      </c>
      <c r="C71" s="11"/>
      <c r="D71" s="7"/>
      <c r="E71" s="2"/>
      <c r="F71" s="6">
        <f t="shared" si="60"/>
        <v>0</v>
      </c>
      <c r="G71" s="2"/>
      <c r="H71" s="7">
        <v>0</v>
      </c>
      <c r="I71" s="2"/>
      <c r="J71" s="6">
        <f t="shared" si="61"/>
        <v>0</v>
      </c>
      <c r="K71" s="2"/>
      <c r="L71" s="7">
        <f t="shared" si="62"/>
        <v>0</v>
      </c>
      <c r="M71" s="2"/>
      <c r="N71" s="6">
        <f t="shared" si="63"/>
        <v>0</v>
      </c>
      <c r="O71" s="11"/>
      <c r="P71" s="7"/>
      <c r="Q71" s="2"/>
      <c r="R71" s="6">
        <f t="shared" si="64"/>
        <v>0</v>
      </c>
      <c r="S71" s="2"/>
      <c r="T71" s="7">
        <v>0</v>
      </c>
      <c r="U71" s="2"/>
      <c r="V71" s="6">
        <f t="shared" si="65"/>
        <v>0</v>
      </c>
      <c r="W71" s="2"/>
      <c r="X71" s="7">
        <f t="shared" si="66"/>
        <v>0</v>
      </c>
      <c r="Y71" s="2"/>
      <c r="Z71" s="6">
        <f t="shared" si="67"/>
        <v>0</v>
      </c>
    </row>
    <row r="72" spans="1:26" s="24" customFormat="1" hidden="1" outlineLevel="2" x14ac:dyDescent="0.25">
      <c r="A72" s="29"/>
      <c r="B72" s="11" t="str">
        <f>CONCATENATE("          ", "6309", " - ", "TELEPHONE")</f>
        <v xml:space="preserve">          6309 - TELEPHONE</v>
      </c>
      <c r="C72" s="11"/>
      <c r="D72" s="7">
        <v>36</v>
      </c>
      <c r="E72" s="2"/>
      <c r="F72" s="6">
        <f t="shared" si="60"/>
        <v>0</v>
      </c>
      <c r="G72" s="2"/>
      <c r="H72" s="7"/>
      <c r="I72" s="2"/>
      <c r="J72" s="6">
        <f t="shared" si="61"/>
        <v>0</v>
      </c>
      <c r="K72" s="2"/>
      <c r="L72" s="7">
        <f t="shared" si="62"/>
        <v>36</v>
      </c>
      <c r="M72" s="2"/>
      <c r="N72" s="6">
        <f t="shared" si="63"/>
        <v>0</v>
      </c>
      <c r="O72" s="11"/>
      <c r="P72" s="7">
        <v>293.02999999999997</v>
      </c>
      <c r="Q72" s="2"/>
      <c r="R72" s="6">
        <f t="shared" si="64"/>
        <v>0</v>
      </c>
      <c r="S72" s="2"/>
      <c r="T72" s="7"/>
      <c r="U72" s="2"/>
      <c r="V72" s="6">
        <f t="shared" si="65"/>
        <v>0</v>
      </c>
      <c r="W72" s="2"/>
      <c r="X72" s="7">
        <f t="shared" si="66"/>
        <v>293.02999999999997</v>
      </c>
      <c r="Y72" s="2"/>
      <c r="Z72" s="6">
        <f t="shared" si="67"/>
        <v>0</v>
      </c>
    </row>
    <row r="73" spans="1:26" s="28" customFormat="1" outlineLevel="1" collapsed="1" x14ac:dyDescent="0.25">
      <c r="A73" s="27"/>
      <c r="B73" s="14" t="str">
        <f>CONCATENATE("     ","Utilities                                         ")</f>
        <v xml:space="preserve">     Utilities                                         </v>
      </c>
      <c r="C73" s="14"/>
      <c r="D73" s="1">
        <f>SUM(OSRRefD22_13x_0)</f>
        <v>0</v>
      </c>
      <c r="E73" s="1"/>
      <c r="F73" s="5">
        <f t="shared" ref="F73:F74" si="68">IF(D$12=0,0,D73/D$12)</f>
        <v>0</v>
      </c>
      <c r="G73" s="1"/>
      <c r="H73" s="1">
        <f>SUM(OSRRefH22_13x_0)</f>
        <v>0</v>
      </c>
      <c r="I73" s="1"/>
      <c r="J73" s="5">
        <f t="shared" ref="J73:J74" si="69">IF(H$12=0,0,H73/H$12)</f>
        <v>0</v>
      </c>
      <c r="K73" s="1"/>
      <c r="L73" s="1">
        <f t="shared" ref="L73:L74" si="70">+D73-H73</f>
        <v>0</v>
      </c>
      <c r="M73" s="1"/>
      <c r="N73" s="5">
        <f t="shared" ref="N73:N74" si="71">IF(H73=0,0,L73/H73)</f>
        <v>0</v>
      </c>
      <c r="O73" s="14"/>
      <c r="P73" s="1">
        <f>SUM(OSRRefP22_13x_0)</f>
        <v>0</v>
      </c>
      <c r="Q73" s="1"/>
      <c r="R73" s="5">
        <f t="shared" ref="R73:R74" si="72">IF(P$12=0,0,P73/P$12)</f>
        <v>0</v>
      </c>
      <c r="S73" s="1"/>
      <c r="T73" s="1">
        <f>SUM(OSRRefT22_13x_0)</f>
        <v>0</v>
      </c>
      <c r="U73" s="1"/>
      <c r="V73" s="5">
        <f t="shared" ref="V73:V74" si="73">IF(T$12=0,0,T73/T$12)</f>
        <v>0</v>
      </c>
      <c r="W73" s="1"/>
      <c r="X73" s="1">
        <f t="shared" ref="X73:X74" si="74">+P73-T73</f>
        <v>0</v>
      </c>
      <c r="Y73" s="1"/>
      <c r="Z73" s="5">
        <f t="shared" ref="Z73:Z74" si="75">IF(T73=0,0,X73/T73)</f>
        <v>0</v>
      </c>
    </row>
    <row r="74" spans="1:26" s="24" customFormat="1" hidden="1" outlineLevel="2" x14ac:dyDescent="0.25">
      <c r="A74" s="29"/>
      <c r="B74" s="11" t="str">
        <f>CONCATENATE("          ", "6274", " - ", "UTILITIES")</f>
        <v xml:space="preserve">          6274 - UTILITIES</v>
      </c>
      <c r="C74" s="11"/>
      <c r="D74" s="7"/>
      <c r="E74" s="2"/>
      <c r="F74" s="6">
        <f t="shared" si="68"/>
        <v>0</v>
      </c>
      <c r="G74" s="2"/>
      <c r="H74" s="7">
        <v>0</v>
      </c>
      <c r="I74" s="2"/>
      <c r="J74" s="6">
        <f t="shared" si="69"/>
        <v>0</v>
      </c>
      <c r="K74" s="2"/>
      <c r="L74" s="7">
        <f t="shared" si="70"/>
        <v>0</v>
      </c>
      <c r="M74" s="2"/>
      <c r="N74" s="6">
        <f t="shared" si="71"/>
        <v>0</v>
      </c>
      <c r="O74" s="11"/>
      <c r="P74" s="7"/>
      <c r="Q74" s="2"/>
      <c r="R74" s="6">
        <f t="shared" si="72"/>
        <v>0</v>
      </c>
      <c r="S74" s="2"/>
      <c r="T74" s="7">
        <v>0</v>
      </c>
      <c r="U74" s="2"/>
      <c r="V74" s="6">
        <f t="shared" si="73"/>
        <v>0</v>
      </c>
      <c r="W74" s="2"/>
      <c r="X74" s="7">
        <f t="shared" si="74"/>
        <v>0</v>
      </c>
      <c r="Y74" s="2"/>
      <c r="Z74" s="6">
        <f t="shared" si="75"/>
        <v>0</v>
      </c>
    </row>
    <row r="75" spans="1:26" s="53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6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5" t="s">
        <v>3</v>
      </c>
      <c r="C78" s="25"/>
      <c r="D78" s="21">
        <f>+D18-D20+D76</f>
        <v>-673.96</v>
      </c>
      <c r="E78" s="13"/>
      <c r="F78" s="19">
        <f>IF(D$12=0,0,D78/D$12)</f>
        <v>0</v>
      </c>
      <c r="G78" s="13"/>
      <c r="H78" s="21">
        <f>+H18-H20+H76</f>
        <v>-848</v>
      </c>
      <c r="I78" s="13"/>
      <c r="J78" s="19">
        <f>IF(H$12=0,0,H78/H$12)</f>
        <v>0</v>
      </c>
      <c r="K78" s="16"/>
      <c r="L78" s="21">
        <f>+D78-H78</f>
        <v>174.03999999999996</v>
      </c>
      <c r="M78" s="16"/>
      <c r="N78" s="19">
        <f>IF(H78=0,0,L78/H78)</f>
        <v>-0.20523584905660372</v>
      </c>
      <c r="O78" s="26"/>
      <c r="P78" s="21">
        <f>+P18-P20+P76</f>
        <v>-6049.53</v>
      </c>
      <c r="Q78" s="13"/>
      <c r="R78" s="19">
        <f>IF(P$12=0,0,P78/P$12)</f>
        <v>0</v>
      </c>
      <c r="S78" s="13"/>
      <c r="T78" s="21">
        <f>+T18-T20+T76</f>
        <v>-5088</v>
      </c>
      <c r="U78" s="13"/>
      <c r="V78" s="19">
        <f>IF(T$12=0,0,T78/T$12)</f>
        <v>0</v>
      </c>
      <c r="W78" s="16"/>
      <c r="X78" s="21">
        <f>+P78-T78</f>
        <v>-961.52999999999975</v>
      </c>
      <c r="Y78" s="16"/>
      <c r="Z78" s="19">
        <f>IF(T78=0,0,X78/T78)</f>
        <v>0.18897995283018862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/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/>
      <c r="Q80" s="4"/>
      <c r="R80" s="12">
        <f>IF(P$12=0,0,P80/P$12)</f>
        <v>0</v>
      </c>
      <c r="S80" s="4"/>
      <c r="T80" s="4"/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5" t="s">
        <v>4</v>
      </c>
      <c r="C82" s="25"/>
      <c r="D82" s="34">
        <f>+D78-D80</f>
        <v>-673.96</v>
      </c>
      <c r="E82" s="13"/>
      <c r="F82" s="31">
        <f>IF(D$12=0,0,D82/D$12)</f>
        <v>0</v>
      </c>
      <c r="G82" s="13"/>
      <c r="H82" s="34">
        <f>+H78-H80</f>
        <v>-848</v>
      </c>
      <c r="I82" s="13"/>
      <c r="J82" s="31">
        <f>IF(H$12=0,0,H82/H$12)</f>
        <v>0</v>
      </c>
      <c r="K82" s="16"/>
      <c r="L82" s="34">
        <f>D82-H82</f>
        <v>174.03999999999996</v>
      </c>
      <c r="M82" s="16"/>
      <c r="N82" s="31">
        <f>IF(H82=0,0,L82/H82)</f>
        <v>-0.20523584905660372</v>
      </c>
      <c r="O82" s="26"/>
      <c r="P82" s="34">
        <f>+P78-P80</f>
        <v>-6049.53</v>
      </c>
      <c r="Q82" s="13"/>
      <c r="R82" s="31">
        <f>IF(P$12=0,0,P82/P$12)</f>
        <v>0</v>
      </c>
      <c r="S82" s="13"/>
      <c r="T82" s="34">
        <f>+T78-T80</f>
        <v>-5088</v>
      </c>
      <c r="U82" s="13"/>
      <c r="V82" s="31">
        <f>IF(T$12=0,0,T82/T$12)</f>
        <v>0</v>
      </c>
      <c r="W82" s="16"/>
      <c r="X82" s="34">
        <f>P82-T82</f>
        <v>-961.52999999999975</v>
      </c>
      <c r="Y82" s="16"/>
      <c r="Z82" s="31">
        <f>IF(T82=0,0,X82/T82)</f>
        <v>0.18897995283018862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5" t="s">
        <v>5</v>
      </c>
      <c r="C85" s="25"/>
      <c r="D85" s="33">
        <f>SUM(D82:D84)</f>
        <v>-673.96</v>
      </c>
      <c r="E85" s="13"/>
      <c r="F85" s="32">
        <f>IF(D$12=0,0,D85/D$12)</f>
        <v>0</v>
      </c>
      <c r="G85" s="13"/>
      <c r="H85" s="33">
        <f>SUM(H82:H84)</f>
        <v>-848</v>
      </c>
      <c r="I85" s="13"/>
      <c r="J85" s="32">
        <f>IF(H$12=0,0,H85/H$12)</f>
        <v>0</v>
      </c>
      <c r="K85" s="16"/>
      <c r="L85" s="33">
        <f>+D85-H85</f>
        <v>174.03999999999996</v>
      </c>
      <c r="M85" s="16"/>
      <c r="N85" s="32">
        <f>IF(H85=0,0,L85/H85)</f>
        <v>-0.20523584905660372</v>
      </c>
      <c r="O85" s="26"/>
      <c r="P85" s="33">
        <f>SUM(P82:P84)</f>
        <v>-6049.53</v>
      </c>
      <c r="Q85" s="13"/>
      <c r="R85" s="32">
        <f>IF(P$12=0,0,P85/P$12)</f>
        <v>0</v>
      </c>
      <c r="S85" s="13"/>
      <c r="T85" s="33">
        <f>SUM(T82:T84)</f>
        <v>-5088</v>
      </c>
      <c r="U85" s="13"/>
      <c r="V85" s="32">
        <f>IF(T$12=0,0,T85/T$12)</f>
        <v>0</v>
      </c>
      <c r="W85" s="16"/>
      <c r="X85" s="33">
        <f>+P85-T85</f>
        <v>-961.52999999999975</v>
      </c>
      <c r="Y85" s="16"/>
      <c r="Z85" s="32">
        <f>IF(T85=0,0,X85/T85)</f>
        <v>0.18897995283018862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63">
        <v>44209.518751238429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60" t="s">
        <v>314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8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","413", " - ", "Beach Walk")</f>
        <v>Department 413 - Beach Walk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 t="shared" ref="P13:P14" si="5"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0</v>
      </c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 t="shared" si="5"/>
        <v>0</v>
      </c>
      <c r="Q14" s="2"/>
      <c r="R14" s="22"/>
      <c r="S14" s="2"/>
      <c r="T14" s="2">
        <v>0</v>
      </c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0</v>
      </c>
      <c r="I17" s="2"/>
      <c r="J17" s="22">
        <f t="shared" si="7"/>
        <v>0</v>
      </c>
      <c r="K17" s="2"/>
      <c r="L17" s="2">
        <f t="shared" si="8"/>
        <v>0</v>
      </c>
      <c r="M17" s="2"/>
      <c r="N17" s="22">
        <f t="shared" si="9"/>
        <v>0</v>
      </c>
      <c r="O17" s="11"/>
      <c r="P17" s="2"/>
      <c r="Q17" s="2"/>
      <c r="R17" s="22">
        <f t="shared" si="10"/>
        <v>0</v>
      </c>
      <c r="S17" s="2"/>
      <c r="T17" s="2">
        <v>0</v>
      </c>
      <c r="U17" s="2"/>
      <c r="V17" s="22">
        <f t="shared" si="11"/>
        <v>0</v>
      </c>
      <c r="W17" s="2"/>
      <c r="X17" s="2">
        <f t="shared" si="12"/>
        <v>0</v>
      </c>
      <c r="Y17" s="2"/>
      <c r="Z17" s="22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21">
        <f>D12-D16</f>
        <v>0</v>
      </c>
      <c r="E19" s="13"/>
      <c r="F19" s="19">
        <f>IF(D$12=0,0,D19/D$12)</f>
        <v>0</v>
      </c>
      <c r="G19" s="13"/>
      <c r="H19" s="21">
        <f>H12-H16</f>
        <v>0</v>
      </c>
      <c r="I19" s="13"/>
      <c r="J19" s="19">
        <f>IF(H$12=0,0,H19/H$12)</f>
        <v>0</v>
      </c>
      <c r="K19" s="16"/>
      <c r="L19" s="21">
        <f>+D19-H19</f>
        <v>0</v>
      </c>
      <c r="M19" s="16"/>
      <c r="N19" s="19">
        <f>IF(H19=0,0,L19/H19)</f>
        <v>0</v>
      </c>
      <c r="O19" s="26"/>
      <c r="P19" s="21">
        <f>P12-P16</f>
        <v>0</v>
      </c>
      <c r="Q19" s="13"/>
      <c r="R19" s="19">
        <f>IF(P$12=0,0,P19/P$12)</f>
        <v>0</v>
      </c>
      <c r="S19" s="13"/>
      <c r="T19" s="21">
        <f>T12-T16</f>
        <v>0</v>
      </c>
      <c r="U19" s="13"/>
      <c r="V19" s="19">
        <f>IF(T$12=0,0,T19/T$12)</f>
        <v>0</v>
      </c>
      <c r="W19" s="16"/>
      <c r="X19" s="21">
        <f>+P19-T19</f>
        <v>0</v>
      </c>
      <c r="Y19" s="16"/>
      <c r="Z19" s="19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20">
        <f>SUM(OSRRefD22x_0)</f>
        <v>85.78</v>
      </c>
      <c r="E21" s="20"/>
      <c r="F21" s="30">
        <f t="shared" ref="F21:F31" si="14">IF(D$12=0,0,D21/D$12)</f>
        <v>0</v>
      </c>
      <c r="G21" s="20"/>
      <c r="H21" s="20">
        <f>SUM(OSRRefH22x_0)</f>
        <v>630</v>
      </c>
      <c r="I21" s="20"/>
      <c r="J21" s="30">
        <f t="shared" ref="J21:J31" si="15">IF(H$12=0,0,H21/H$12)</f>
        <v>0</v>
      </c>
      <c r="K21" s="4"/>
      <c r="L21" s="20">
        <f t="shared" ref="L21:L31" si="16">+D21-H21</f>
        <v>-544.22</v>
      </c>
      <c r="M21" s="4"/>
      <c r="N21" s="30">
        <f t="shared" ref="N21:N31" si="17">IF(H21=0,0,L21/H21)</f>
        <v>-0.86384126984126985</v>
      </c>
      <c r="O21" s="10"/>
      <c r="P21" s="20">
        <f>SUM(OSRRefP22x_0)</f>
        <v>4847.51</v>
      </c>
      <c r="Q21" s="20"/>
      <c r="R21" s="30">
        <f t="shared" ref="R21:R31" si="18">IF(P$12=0,0,P21/P$12)</f>
        <v>0</v>
      </c>
      <c r="S21" s="20"/>
      <c r="T21" s="20">
        <f>SUM(OSRRefT22x_0)</f>
        <v>3780</v>
      </c>
      <c r="U21" s="20"/>
      <c r="V21" s="30">
        <f t="shared" ref="V21:V31" si="19">IF(T$12=0,0,T21/T$12)</f>
        <v>0</v>
      </c>
      <c r="W21" s="4"/>
      <c r="X21" s="20">
        <f t="shared" ref="X21:X31" si="20">+P21-T21</f>
        <v>1067.5100000000002</v>
      </c>
      <c r="Y21" s="4"/>
      <c r="Z21" s="30">
        <f t="shared" ref="Z21:Z31" si="21">IF(T21=0,0,X21/T21)</f>
        <v>0.28241005291005294</v>
      </c>
    </row>
    <row r="22" spans="1:26" s="28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4"/>
      <c r="P22" s="1">
        <f>SUM(OSRRefP22_0x_0)</f>
        <v>1493.43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1493.43</v>
      </c>
      <c r="Y22" s="1"/>
      <c r="Z22" s="5">
        <f t="shared" si="21"/>
        <v>0</v>
      </c>
    </row>
    <row r="23" spans="1:26" s="24" customFormat="1" hidden="1" outlineLevel="2" x14ac:dyDescent="0.25">
      <c r="A23" s="29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4"/>
        <v>0</v>
      </c>
      <c r="G23" s="2"/>
      <c r="H23" s="7">
        <v>0</v>
      </c>
      <c r="I23" s="2"/>
      <c r="J23" s="6">
        <f t="shared" si="15"/>
        <v>0</v>
      </c>
      <c r="K23" s="2"/>
      <c r="L23" s="7">
        <f t="shared" si="16"/>
        <v>0</v>
      </c>
      <c r="M23" s="2"/>
      <c r="N23" s="6">
        <f t="shared" si="17"/>
        <v>0</v>
      </c>
      <c r="O23" s="11"/>
      <c r="P23" s="7">
        <v>191.51</v>
      </c>
      <c r="Q23" s="2"/>
      <c r="R23" s="6">
        <f t="shared" si="18"/>
        <v>0</v>
      </c>
      <c r="S23" s="2"/>
      <c r="T23" s="7">
        <v>0</v>
      </c>
      <c r="U23" s="2"/>
      <c r="V23" s="6">
        <f t="shared" si="19"/>
        <v>0</v>
      </c>
      <c r="W23" s="2"/>
      <c r="X23" s="7">
        <f t="shared" si="20"/>
        <v>191.51</v>
      </c>
      <c r="Y23" s="2"/>
      <c r="Z23" s="6">
        <f t="shared" si="21"/>
        <v>0</v>
      </c>
    </row>
    <row r="24" spans="1:26" s="24" customFormat="1" hidden="1" outlineLevel="2" x14ac:dyDescent="0.25">
      <c r="A24" s="29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4"/>
        <v>0</v>
      </c>
      <c r="G24" s="2"/>
      <c r="H24" s="7">
        <v>0</v>
      </c>
      <c r="I24" s="2"/>
      <c r="J24" s="6">
        <f t="shared" si="15"/>
        <v>0</v>
      </c>
      <c r="K24" s="2"/>
      <c r="L24" s="7">
        <f t="shared" si="16"/>
        <v>0</v>
      </c>
      <c r="M24" s="2"/>
      <c r="N24" s="6">
        <f t="shared" si="17"/>
        <v>0</v>
      </c>
      <c r="O24" s="11"/>
      <c r="P24" s="7"/>
      <c r="Q24" s="2"/>
      <c r="R24" s="6">
        <f t="shared" si="18"/>
        <v>0</v>
      </c>
      <c r="S24" s="2"/>
      <c r="T24" s="7">
        <v>0</v>
      </c>
      <c r="U24" s="2"/>
      <c r="V24" s="6">
        <f t="shared" si="19"/>
        <v>0</v>
      </c>
      <c r="W24" s="2"/>
      <c r="X24" s="7">
        <f t="shared" si="20"/>
        <v>0</v>
      </c>
      <c r="Y24" s="2"/>
      <c r="Z24" s="6">
        <f t="shared" si="21"/>
        <v>0</v>
      </c>
    </row>
    <row r="25" spans="1:26" s="24" customFormat="1" hidden="1" outlineLevel="2" x14ac:dyDescent="0.25">
      <c r="A25" s="29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>
        <v>718.51</v>
      </c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718.51</v>
      </c>
      <c r="Y25" s="2"/>
      <c r="Z25" s="6">
        <f t="shared" si="21"/>
        <v>0</v>
      </c>
    </row>
    <row r="26" spans="1:26" s="24" customFormat="1" hidden="1" outlineLevel="2" x14ac:dyDescent="0.2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4"/>
        <v>0</v>
      </c>
      <c r="G26" s="2"/>
      <c r="H26" s="7">
        <v>0</v>
      </c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/>
      <c r="Q26" s="2"/>
      <c r="R26" s="6">
        <f t="shared" si="18"/>
        <v>0</v>
      </c>
      <c r="S26" s="2"/>
      <c r="T26" s="7">
        <v>0</v>
      </c>
      <c r="U26" s="2"/>
      <c r="V26" s="6">
        <f t="shared" si="19"/>
        <v>0</v>
      </c>
      <c r="W26" s="2"/>
      <c r="X26" s="7">
        <f t="shared" si="20"/>
        <v>0</v>
      </c>
      <c r="Y26" s="2"/>
      <c r="Z26" s="6">
        <f t="shared" si="21"/>
        <v>0</v>
      </c>
    </row>
    <row r="27" spans="1:26" s="24" customFormat="1" hidden="1" outlineLevel="2" x14ac:dyDescent="0.25">
      <c r="A27" s="29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>
        <v>377.03</v>
      </c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377.03</v>
      </c>
      <c r="Y27" s="2"/>
      <c r="Z27" s="6">
        <f t="shared" si="21"/>
        <v>0</v>
      </c>
    </row>
    <row r="28" spans="1:26" s="24" customFormat="1" hidden="1" outlineLevel="2" x14ac:dyDescent="0.25">
      <c r="A28" s="29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>
        <v>93.89</v>
      </c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93.89</v>
      </c>
      <c r="Y29" s="2"/>
      <c r="Z29" s="6">
        <f t="shared" si="21"/>
        <v>0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>
        <v>112.49</v>
      </c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112.49</v>
      </c>
      <c r="Y30" s="2"/>
      <c r="Z30" s="6">
        <f t="shared" si="21"/>
        <v>0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0</v>
      </c>
      <c r="I31" s="2"/>
      <c r="J31" s="6">
        <f t="shared" si="15"/>
        <v>0</v>
      </c>
      <c r="K31" s="2"/>
      <c r="L31" s="7">
        <f t="shared" si="16"/>
        <v>0</v>
      </c>
      <c r="M31" s="2"/>
      <c r="N31" s="6">
        <f t="shared" si="17"/>
        <v>0</v>
      </c>
      <c r="O31" s="11"/>
      <c r="P31" s="7"/>
      <c r="Q31" s="2"/>
      <c r="R31" s="6">
        <f t="shared" si="18"/>
        <v>0</v>
      </c>
      <c r="S31" s="2"/>
      <c r="T31" s="7">
        <v>0</v>
      </c>
      <c r="U31" s="2"/>
      <c r="V31" s="6">
        <f t="shared" si="19"/>
        <v>0</v>
      </c>
      <c r="W31" s="2"/>
      <c r="X31" s="7">
        <f t="shared" si="20"/>
        <v>0</v>
      </c>
      <c r="Y31" s="2"/>
      <c r="Z31" s="6">
        <f t="shared" si="21"/>
        <v>0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0</v>
      </c>
      <c r="I32" s="1"/>
      <c r="J32" s="5">
        <f t="shared" ref="J32:J42" si="23">IF(H$12=0,0,H32/H$12)</f>
        <v>0</v>
      </c>
      <c r="K32" s="1"/>
      <c r="L32" s="1">
        <f t="shared" ref="L32:L42" si="24">+D32-H32</f>
        <v>0</v>
      </c>
      <c r="M32" s="1"/>
      <c r="N32" s="5">
        <f t="shared" ref="N32:N42" si="25">IF(H32=0,0,L32/H32)</f>
        <v>0</v>
      </c>
      <c r="O32" s="14"/>
      <c r="P32" s="1">
        <f>SUM(OSRRefP22_1x_0)</f>
        <v>2259.48</v>
      </c>
      <c r="Q32" s="1"/>
      <c r="R32" s="5">
        <f t="shared" ref="R32:R42" si="26">IF(P$12=0,0,P32/P$12)</f>
        <v>0</v>
      </c>
      <c r="S32" s="1"/>
      <c r="T32" s="1">
        <f>SUM(OSRRefT22_1x_0)</f>
        <v>0</v>
      </c>
      <c r="U32" s="1"/>
      <c r="V32" s="5">
        <f t="shared" ref="V32:V42" si="27">IF(T$12=0,0,T32/T$12)</f>
        <v>0</v>
      </c>
      <c r="W32" s="1"/>
      <c r="X32" s="1">
        <f t="shared" ref="X32:X42" si="28">+P32-T32</f>
        <v>2259.48</v>
      </c>
      <c r="Y32" s="1"/>
      <c r="Z32" s="5">
        <f t="shared" ref="Z32:Z42" si="29">IF(T32=0,0,X32/T32)</f>
        <v>0</v>
      </c>
    </row>
    <row r="33" spans="1:26" s="24" customFormat="1" hidden="1" outlineLevel="2" x14ac:dyDescent="0.25">
      <c r="A33" s="29"/>
      <c r="B33" s="11" t="str">
        <f>CONCATENATE("          ", "6001", " - ", "ADMINISTRATIVE SALARIES")</f>
        <v xml:space="preserve">          6001 - ADMINISTRATIVE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/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0</v>
      </c>
      <c r="Y33" s="2"/>
      <c r="Z33" s="6">
        <f t="shared" si="29"/>
        <v>0</v>
      </c>
    </row>
    <row r="34" spans="1:26" s="24" customFormat="1" hidden="1" outlineLevel="2" x14ac:dyDescent="0.25">
      <c r="A34" s="29"/>
      <c r="B34" s="11" t="str">
        <f>CONCATENATE("          ", "6002", " - ", "STAFF SALARIES")</f>
        <v xml:space="preserve">          6002 - STAFF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>
        <v>2259.48</v>
      </c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2259.48</v>
      </c>
      <c r="Y34" s="2"/>
      <c r="Z34" s="6">
        <f t="shared" si="29"/>
        <v>0</v>
      </c>
    </row>
    <row r="35" spans="1:26" s="24" customFormat="1" hidden="1" outlineLevel="2" x14ac:dyDescent="0.25">
      <c r="A35" s="29"/>
      <c r="B35" s="11" t="str">
        <f>CONCATENATE("          ", "6003", " - ", "STAFF HOURLY-9 MONTH")</f>
        <v xml:space="preserve">          6003 - STAFF HOURLY-9 MONTH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25">
      <c r="A36" s="29"/>
      <c r="B36" s="11" t="str">
        <f>CONCATENATE("          ", "6004", " - ", "STAFF HOURLY")</f>
        <v xml:space="preserve">          6004 - STAFF HOURLY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9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9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25">
      <c r="A39" s="29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25">
      <c r="A41" s="29"/>
      <c r="B41" s="11" t="str">
        <f>CONCATENATE("          ", "6009", " - ", "TEMPORARY-SEASONAL")</f>
        <v xml:space="preserve">          6009 - TEMPORARY-SEASONAL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4" customFormat="1" hidden="1" outlineLevel="2" x14ac:dyDescent="0.25">
      <c r="A42" s="29"/>
      <c r="B42" s="11" t="str">
        <f>CONCATENATE("          ", "6010", " - ", "GRATUITY")</f>
        <v xml:space="preserve">          6010 - GRATUITY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8" customFormat="1" outlineLevel="1" collapsed="1" x14ac:dyDescent="0.25">
      <c r="A43" s="27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58" si="30">IF(D$12=0,0,D43/D$12)</f>
        <v>0</v>
      </c>
      <c r="G43" s="1"/>
      <c r="H43" s="1">
        <f>SUM(OSRRefH22_2x_0)</f>
        <v>0</v>
      </c>
      <c r="I43" s="1"/>
      <c r="J43" s="5">
        <f t="shared" ref="J43:J58" si="31">IF(H$12=0,0,H43/H$12)</f>
        <v>0</v>
      </c>
      <c r="K43" s="1"/>
      <c r="L43" s="1">
        <f t="shared" ref="L43:L58" si="32">+D43-H43</f>
        <v>0</v>
      </c>
      <c r="M43" s="1"/>
      <c r="N43" s="5">
        <f t="shared" ref="N43:N58" si="33">IF(H43=0,0,L43/H43)</f>
        <v>0</v>
      </c>
      <c r="O43" s="14"/>
      <c r="P43" s="1">
        <f>SUM(OSRRefP22_2x_0)</f>
        <v>0</v>
      </c>
      <c r="Q43" s="1"/>
      <c r="R43" s="5">
        <f t="shared" ref="R43:R58" si="34">IF(P$12=0,0,P43/P$12)</f>
        <v>0</v>
      </c>
      <c r="S43" s="1"/>
      <c r="T43" s="1">
        <f>SUM(OSRRefT22_2x_0)</f>
        <v>0</v>
      </c>
      <c r="U43" s="1"/>
      <c r="V43" s="5">
        <f t="shared" ref="V43:V58" si="35">IF(T$12=0,0,T43/T$12)</f>
        <v>0</v>
      </c>
      <c r="W43" s="1"/>
      <c r="X43" s="1">
        <f t="shared" ref="X43:X58" si="36">+P43-T43</f>
        <v>0</v>
      </c>
      <c r="Y43" s="1"/>
      <c r="Z43" s="5">
        <f t="shared" ref="Z43:Z58" si="37">IF(T43=0,0,X43/T43)</f>
        <v>0</v>
      </c>
    </row>
    <row r="44" spans="1:26" s="24" customFormat="1" hidden="1" outlineLevel="2" x14ac:dyDescent="0.25">
      <c r="A44" s="29"/>
      <c r="B44" s="11" t="str">
        <f>CONCATENATE("          ", "6362", " - ", "ADVERTISING EXPENSE")</f>
        <v xml:space="preserve">          6362 - ADVERTISING EXPENSE</v>
      </c>
      <c r="C44" s="11"/>
      <c r="D44" s="7"/>
      <c r="E44" s="2"/>
      <c r="F44" s="6">
        <f t="shared" si="30"/>
        <v>0</v>
      </c>
      <c r="G44" s="2"/>
      <c r="H44" s="7">
        <v>0</v>
      </c>
      <c r="I44" s="2"/>
      <c r="J44" s="6">
        <f t="shared" si="31"/>
        <v>0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/>
      <c r="Q44" s="2"/>
      <c r="R44" s="6">
        <f t="shared" si="34"/>
        <v>0</v>
      </c>
      <c r="S44" s="2"/>
      <c r="T44" s="7">
        <v>0</v>
      </c>
      <c r="U44" s="2"/>
      <c r="V44" s="6">
        <f t="shared" si="35"/>
        <v>0</v>
      </c>
      <c r="W44" s="2"/>
      <c r="X44" s="7">
        <f t="shared" si="36"/>
        <v>0</v>
      </c>
      <c r="Y44" s="2"/>
      <c r="Z44" s="6">
        <f t="shared" si="37"/>
        <v>0</v>
      </c>
    </row>
    <row r="45" spans="1:26" s="28" customFormat="1" outlineLevel="1" collapsed="1" x14ac:dyDescent="0.25">
      <c r="A45" s="27"/>
      <c r="B45" s="14" t="str">
        <f>CONCATENATE("     ","Bad Debts/Over/Short                              ")</f>
        <v xml:space="preserve">     Bad Debts/Over/Short                              </v>
      </c>
      <c r="C45" s="14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4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0</v>
      </c>
      <c r="U45" s="1"/>
      <c r="V45" s="5">
        <f t="shared" si="35"/>
        <v>0</v>
      </c>
      <c r="W45" s="1"/>
      <c r="X45" s="1">
        <f t="shared" si="36"/>
        <v>0</v>
      </c>
      <c r="Y45" s="1"/>
      <c r="Z45" s="5">
        <f t="shared" si="37"/>
        <v>0</v>
      </c>
    </row>
    <row r="46" spans="1:26" s="24" customFormat="1" hidden="1" outlineLevel="2" x14ac:dyDescent="0.25">
      <c r="A46" s="29"/>
      <c r="B46" s="11" t="str">
        <f>CONCATENATE("          ", "6272", " - ", "CASH (OVER/SHORT)")</f>
        <v xml:space="preserve">          6272 - CASH (OVER/SHORT)</v>
      </c>
      <c r="C46" s="11"/>
      <c r="D46" s="7"/>
      <c r="E46" s="2"/>
      <c r="F46" s="6">
        <f t="shared" si="30"/>
        <v>0</v>
      </c>
      <c r="G46" s="2"/>
      <c r="H46" s="7">
        <v>0</v>
      </c>
      <c r="I46" s="2"/>
      <c r="J46" s="6">
        <f t="shared" si="31"/>
        <v>0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/>
      <c r="Q46" s="2"/>
      <c r="R46" s="6">
        <f t="shared" si="34"/>
        <v>0</v>
      </c>
      <c r="S46" s="2"/>
      <c r="T46" s="7">
        <v>0</v>
      </c>
      <c r="U46" s="2"/>
      <c r="V46" s="6">
        <f t="shared" si="35"/>
        <v>0</v>
      </c>
      <c r="W46" s="2"/>
      <c r="X46" s="7">
        <f t="shared" si="36"/>
        <v>0</v>
      </c>
      <c r="Y46" s="2"/>
      <c r="Z46" s="6">
        <f t="shared" si="37"/>
        <v>0</v>
      </c>
    </row>
    <row r="47" spans="1:26" s="28" customFormat="1" outlineLevel="1" collapsed="1" x14ac:dyDescent="0.25">
      <c r="A47" s="27"/>
      <c r="B47" s="14" t="str">
        <f>CONCATENATE("     ","Bank/card Fees                                    ")</f>
        <v xml:space="preserve">     Bank/card Fees                                    </v>
      </c>
      <c r="C47" s="14"/>
      <c r="D47" s="1">
        <f>SUM(OSRRefD22_4x_0)</f>
        <v>0</v>
      </c>
      <c r="E47" s="1"/>
      <c r="F47" s="5">
        <f t="shared" si="30"/>
        <v>0</v>
      </c>
      <c r="G47" s="1"/>
      <c r="H47" s="1">
        <f>SUM(OSRRefH22_4x_0)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4"/>
      <c r="P47" s="1">
        <f>SUM(OSRRefP22_4x_0)</f>
        <v>0</v>
      </c>
      <c r="Q47" s="1"/>
      <c r="R47" s="5">
        <f t="shared" si="34"/>
        <v>0</v>
      </c>
      <c r="S47" s="1"/>
      <c r="T47" s="1">
        <f>SUM(OSRRefT22_4x_0)</f>
        <v>0</v>
      </c>
      <c r="U47" s="1"/>
      <c r="V47" s="5">
        <f t="shared" si="35"/>
        <v>0</v>
      </c>
      <c r="W47" s="1"/>
      <c r="X47" s="1">
        <f t="shared" si="36"/>
        <v>0</v>
      </c>
      <c r="Y47" s="1"/>
      <c r="Z47" s="5">
        <f t="shared" si="37"/>
        <v>0</v>
      </c>
    </row>
    <row r="48" spans="1:26" s="24" customFormat="1" hidden="1" outlineLevel="2" x14ac:dyDescent="0.25">
      <c r="A48" s="29"/>
      <c r="B48" s="11" t="str">
        <f>CONCATENATE("          ", "6381", " - ", "BANK/CREDIT CARD FEES")</f>
        <v xml:space="preserve">          6381 - BANK/CREDIT CARD FEES</v>
      </c>
      <c r="C48" s="11"/>
      <c r="D48" s="7"/>
      <c r="E48" s="2"/>
      <c r="F48" s="6">
        <f t="shared" si="30"/>
        <v>0</v>
      </c>
      <c r="G48" s="2"/>
      <c r="H48" s="7">
        <v>0</v>
      </c>
      <c r="I48" s="2"/>
      <c r="J48" s="6">
        <f t="shared" si="31"/>
        <v>0</v>
      </c>
      <c r="K48" s="2"/>
      <c r="L48" s="7">
        <f t="shared" si="32"/>
        <v>0</v>
      </c>
      <c r="M48" s="2"/>
      <c r="N48" s="6">
        <f t="shared" si="33"/>
        <v>0</v>
      </c>
      <c r="O48" s="11"/>
      <c r="P48" s="7"/>
      <c r="Q48" s="2"/>
      <c r="R48" s="6">
        <f t="shared" si="34"/>
        <v>0</v>
      </c>
      <c r="S48" s="2"/>
      <c r="T48" s="7">
        <v>0</v>
      </c>
      <c r="U48" s="2"/>
      <c r="V48" s="6">
        <f t="shared" si="35"/>
        <v>0</v>
      </c>
      <c r="W48" s="2"/>
      <c r="X48" s="7">
        <f t="shared" si="36"/>
        <v>0</v>
      </c>
      <c r="Y48" s="2"/>
      <c r="Z48" s="6">
        <f t="shared" si="37"/>
        <v>0</v>
      </c>
    </row>
    <row r="49" spans="1:26" s="28" customFormat="1" outlineLevel="1" collapsed="1" x14ac:dyDescent="0.25">
      <c r="A49" s="27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58.03</v>
      </c>
      <c r="E49" s="1"/>
      <c r="F49" s="5">
        <f t="shared" si="30"/>
        <v>0</v>
      </c>
      <c r="G49" s="1"/>
      <c r="H49" s="1">
        <f>SUM(OSRRefH22_5x_0)</f>
        <v>630</v>
      </c>
      <c r="I49" s="1"/>
      <c r="J49" s="5">
        <f t="shared" si="31"/>
        <v>0</v>
      </c>
      <c r="K49" s="1"/>
      <c r="L49" s="1">
        <f t="shared" si="32"/>
        <v>-571.97</v>
      </c>
      <c r="M49" s="1"/>
      <c r="N49" s="5">
        <f t="shared" si="33"/>
        <v>-0.90788888888888897</v>
      </c>
      <c r="O49" s="14"/>
      <c r="P49" s="1">
        <f>SUM(OSRRefP22_5x_0)</f>
        <v>348.18</v>
      </c>
      <c r="Q49" s="1"/>
      <c r="R49" s="5">
        <f t="shared" si="34"/>
        <v>0</v>
      </c>
      <c r="S49" s="1"/>
      <c r="T49" s="1">
        <f>SUM(OSRRefT22_5x_0)</f>
        <v>3780</v>
      </c>
      <c r="U49" s="1"/>
      <c r="V49" s="5">
        <f t="shared" si="35"/>
        <v>0</v>
      </c>
      <c r="W49" s="1"/>
      <c r="X49" s="1">
        <f t="shared" si="36"/>
        <v>-3431.82</v>
      </c>
      <c r="Y49" s="1"/>
      <c r="Z49" s="5">
        <f t="shared" si="37"/>
        <v>-0.90788888888888897</v>
      </c>
    </row>
    <row r="50" spans="1:26" s="24" customFormat="1" hidden="1" outlineLevel="2" x14ac:dyDescent="0.25">
      <c r="A50" s="29"/>
      <c r="B50" s="11" t="str">
        <f>CONCATENATE("          ", "6322", " - ", "EQUIPMENT DEPRECIATION EXPENSE")</f>
        <v xml:space="preserve">          6322 - EQUIPMENT DEPRECIATION EXPENSE</v>
      </c>
      <c r="C50" s="11"/>
      <c r="D50" s="7">
        <v>58.03</v>
      </c>
      <c r="E50" s="2"/>
      <c r="F50" s="6">
        <f t="shared" si="30"/>
        <v>0</v>
      </c>
      <c r="G50" s="2"/>
      <c r="H50" s="7">
        <v>630</v>
      </c>
      <c r="I50" s="2"/>
      <c r="J50" s="6">
        <f t="shared" si="31"/>
        <v>0</v>
      </c>
      <c r="K50" s="2"/>
      <c r="L50" s="7">
        <f t="shared" si="32"/>
        <v>-571.97</v>
      </c>
      <c r="M50" s="2"/>
      <c r="N50" s="6">
        <f t="shared" si="33"/>
        <v>-0.90788888888888897</v>
      </c>
      <c r="O50" s="11"/>
      <c r="P50" s="7">
        <v>348.18</v>
      </c>
      <c r="Q50" s="2"/>
      <c r="R50" s="6">
        <f t="shared" si="34"/>
        <v>0</v>
      </c>
      <c r="S50" s="2"/>
      <c r="T50" s="7">
        <v>3780</v>
      </c>
      <c r="U50" s="2"/>
      <c r="V50" s="6">
        <f t="shared" si="35"/>
        <v>0</v>
      </c>
      <c r="W50" s="2"/>
      <c r="X50" s="7">
        <f t="shared" si="36"/>
        <v>-3431.82</v>
      </c>
      <c r="Y50" s="2"/>
      <c r="Z50" s="6">
        <f t="shared" si="37"/>
        <v>-0.90788888888888897</v>
      </c>
    </row>
    <row r="51" spans="1:26" s="28" customFormat="1" outlineLevel="1" collapsed="1" x14ac:dyDescent="0.25">
      <c r="A51" s="27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SUM(OSRRefD22_6x_0)</f>
        <v>0</v>
      </c>
      <c r="E51" s="1"/>
      <c r="F51" s="5">
        <f t="shared" si="30"/>
        <v>0</v>
      </c>
      <c r="G51" s="1"/>
      <c r="H51" s="1">
        <f>SUM(OSRRefH22_6x_0)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4"/>
      <c r="P51" s="1">
        <f>SUM(OSRRefP22_6x_0)</f>
        <v>0</v>
      </c>
      <c r="Q51" s="1"/>
      <c r="R51" s="5">
        <f t="shared" si="34"/>
        <v>0</v>
      </c>
      <c r="S51" s="1"/>
      <c r="T51" s="1">
        <f>SUM(OSRRefT22_6x_0)</f>
        <v>0</v>
      </c>
      <c r="U51" s="1"/>
      <c r="V51" s="5">
        <f t="shared" si="35"/>
        <v>0</v>
      </c>
      <c r="W51" s="1"/>
      <c r="X51" s="1">
        <f t="shared" si="36"/>
        <v>0</v>
      </c>
      <c r="Y51" s="1"/>
      <c r="Z51" s="5">
        <f t="shared" si="37"/>
        <v>0</v>
      </c>
    </row>
    <row r="52" spans="1:26" s="24" customFormat="1" hidden="1" outlineLevel="2" x14ac:dyDescent="0.25">
      <c r="A52" s="29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30"/>
        <v>0</v>
      </c>
      <c r="G52" s="2"/>
      <c r="H52" s="7"/>
      <c r="I52" s="2"/>
      <c r="J52" s="6">
        <f t="shared" si="31"/>
        <v>0</v>
      </c>
      <c r="K52" s="2"/>
      <c r="L52" s="7">
        <f t="shared" si="32"/>
        <v>0</v>
      </c>
      <c r="M52" s="2"/>
      <c r="N52" s="6">
        <f t="shared" si="33"/>
        <v>0</v>
      </c>
      <c r="O52" s="11"/>
      <c r="P52" s="7"/>
      <c r="Q52" s="2"/>
      <c r="R52" s="6">
        <f t="shared" si="34"/>
        <v>0</v>
      </c>
      <c r="S52" s="2"/>
      <c r="T52" s="7">
        <v>0</v>
      </c>
      <c r="U52" s="2"/>
      <c r="V52" s="6">
        <f t="shared" si="35"/>
        <v>0</v>
      </c>
      <c r="W52" s="2"/>
      <c r="X52" s="7">
        <f t="shared" si="36"/>
        <v>0</v>
      </c>
      <c r="Y52" s="2"/>
      <c r="Z52" s="6">
        <f t="shared" si="37"/>
        <v>0</v>
      </c>
    </row>
    <row r="53" spans="1:26" s="28" customFormat="1" outlineLevel="1" collapsed="1" x14ac:dyDescent="0.25">
      <c r="A53" s="27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SUM(OSRRefD22_7x_0)</f>
        <v>0</v>
      </c>
      <c r="E53" s="1"/>
      <c r="F53" s="5">
        <f t="shared" si="30"/>
        <v>0</v>
      </c>
      <c r="G53" s="1"/>
      <c r="H53" s="1">
        <f>SUM(OSRRefH22_7x_0)</f>
        <v>0</v>
      </c>
      <c r="I53" s="1"/>
      <c r="J53" s="5">
        <f t="shared" si="31"/>
        <v>0</v>
      </c>
      <c r="K53" s="1"/>
      <c r="L53" s="1">
        <f t="shared" si="32"/>
        <v>0</v>
      </c>
      <c r="M53" s="1"/>
      <c r="N53" s="5">
        <f t="shared" si="33"/>
        <v>0</v>
      </c>
      <c r="O53" s="14"/>
      <c r="P53" s="1">
        <f>SUM(OSRRefP22_7x_0)</f>
        <v>0</v>
      </c>
      <c r="Q53" s="1"/>
      <c r="R53" s="5">
        <f t="shared" si="34"/>
        <v>0</v>
      </c>
      <c r="S53" s="1"/>
      <c r="T53" s="1">
        <f>SUM(OSRRefT22_7x_0)</f>
        <v>0</v>
      </c>
      <c r="U53" s="1"/>
      <c r="V53" s="5">
        <f t="shared" si="35"/>
        <v>0</v>
      </c>
      <c r="W53" s="1"/>
      <c r="X53" s="1">
        <f t="shared" si="36"/>
        <v>0</v>
      </c>
      <c r="Y53" s="1"/>
      <c r="Z53" s="5">
        <f t="shared" si="37"/>
        <v>0</v>
      </c>
    </row>
    <row r="54" spans="1:26" s="24" customFormat="1" hidden="1" outlineLevel="2" x14ac:dyDescent="0.25">
      <c r="A54" s="29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30"/>
        <v>0</v>
      </c>
      <c r="G54" s="2"/>
      <c r="H54" s="7"/>
      <c r="I54" s="2"/>
      <c r="J54" s="6">
        <f t="shared" si="31"/>
        <v>0</v>
      </c>
      <c r="K54" s="2"/>
      <c r="L54" s="7">
        <f t="shared" si="32"/>
        <v>0</v>
      </c>
      <c r="M54" s="2"/>
      <c r="N54" s="6">
        <f t="shared" si="33"/>
        <v>0</v>
      </c>
      <c r="O54" s="11"/>
      <c r="P54" s="7"/>
      <c r="Q54" s="2"/>
      <c r="R54" s="6">
        <f t="shared" si="34"/>
        <v>0</v>
      </c>
      <c r="S54" s="2"/>
      <c r="T54" s="7">
        <v>0</v>
      </c>
      <c r="U54" s="2"/>
      <c r="V54" s="6">
        <f t="shared" si="35"/>
        <v>0</v>
      </c>
      <c r="W54" s="2"/>
      <c r="X54" s="7">
        <f t="shared" si="36"/>
        <v>0</v>
      </c>
      <c r="Y54" s="2"/>
      <c r="Z54" s="6">
        <f t="shared" si="37"/>
        <v>0</v>
      </c>
    </row>
    <row r="55" spans="1:26" s="28" customFormat="1" outlineLevel="1" collapsed="1" x14ac:dyDescent="0.25">
      <c r="A55" s="27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SUM(OSRRefD22_8x_0)</f>
        <v>165.75</v>
      </c>
      <c r="E55" s="1"/>
      <c r="F55" s="5">
        <f t="shared" si="30"/>
        <v>0</v>
      </c>
      <c r="G55" s="1"/>
      <c r="H55" s="1">
        <f>SUM(OSRRefH22_8x_0)</f>
        <v>0</v>
      </c>
      <c r="I55" s="1"/>
      <c r="J55" s="5">
        <f t="shared" si="31"/>
        <v>0</v>
      </c>
      <c r="K55" s="1"/>
      <c r="L55" s="1">
        <f t="shared" si="32"/>
        <v>165.75</v>
      </c>
      <c r="M55" s="1"/>
      <c r="N55" s="5">
        <f t="shared" si="33"/>
        <v>0</v>
      </c>
      <c r="O55" s="14"/>
      <c r="P55" s="1">
        <f>SUM(OSRRefP22_8x_0)</f>
        <v>410.1</v>
      </c>
      <c r="Q55" s="1"/>
      <c r="R55" s="5">
        <f t="shared" si="34"/>
        <v>0</v>
      </c>
      <c r="S55" s="1"/>
      <c r="T55" s="1">
        <f>SUM(OSRRefT22_8x_0)</f>
        <v>0</v>
      </c>
      <c r="U55" s="1"/>
      <c r="V55" s="5">
        <f t="shared" si="35"/>
        <v>0</v>
      </c>
      <c r="W55" s="1"/>
      <c r="X55" s="1">
        <f t="shared" si="36"/>
        <v>410.1</v>
      </c>
      <c r="Y55" s="1"/>
      <c r="Z55" s="5">
        <f t="shared" si="37"/>
        <v>0</v>
      </c>
    </row>
    <row r="56" spans="1:26" s="24" customFormat="1" hidden="1" outlineLevel="2" x14ac:dyDescent="0.25">
      <c r="A56" s="29"/>
      <c r="B56" s="11" t="str">
        <f>CONCATENATE("          ", "6371", " - ", "COMPUTER SOFTWARE MAINTENANCE")</f>
        <v xml:space="preserve">          6371 - COMPUTER SOFTWARE MAINTENANCE</v>
      </c>
      <c r="C56" s="11"/>
      <c r="D56" s="7"/>
      <c r="E56" s="2"/>
      <c r="F56" s="6">
        <f t="shared" si="30"/>
        <v>0</v>
      </c>
      <c r="G56" s="2"/>
      <c r="H56" s="7"/>
      <c r="I56" s="2"/>
      <c r="J56" s="6">
        <f t="shared" si="31"/>
        <v>0</v>
      </c>
      <c r="K56" s="2"/>
      <c r="L56" s="7">
        <f t="shared" si="32"/>
        <v>0</v>
      </c>
      <c r="M56" s="2"/>
      <c r="N56" s="6">
        <f t="shared" si="33"/>
        <v>0</v>
      </c>
      <c r="O56" s="11"/>
      <c r="P56" s="7"/>
      <c r="Q56" s="2"/>
      <c r="R56" s="6">
        <f t="shared" si="34"/>
        <v>0</v>
      </c>
      <c r="S56" s="2"/>
      <c r="T56" s="7">
        <v>0</v>
      </c>
      <c r="U56" s="2"/>
      <c r="V56" s="6">
        <f t="shared" si="35"/>
        <v>0</v>
      </c>
      <c r="W56" s="2"/>
      <c r="X56" s="7">
        <f t="shared" si="36"/>
        <v>0</v>
      </c>
      <c r="Y56" s="2"/>
      <c r="Z56" s="6">
        <f t="shared" si="37"/>
        <v>0</v>
      </c>
    </row>
    <row r="57" spans="1:26" s="24" customFormat="1" hidden="1" outlineLevel="2" x14ac:dyDescent="0.25">
      <c r="A57" s="29"/>
      <c r="B57" s="11" t="str">
        <f>CONCATENATE("          ", "6373", " - ", "MAINTENANCE CONTRACTS")</f>
        <v xml:space="preserve">          6373 - MAINTENANCE CONTRACTS</v>
      </c>
      <c r="C57" s="11"/>
      <c r="D57" s="7">
        <v>165.75</v>
      </c>
      <c r="E57" s="2"/>
      <c r="F57" s="6">
        <f t="shared" si="30"/>
        <v>0</v>
      </c>
      <c r="G57" s="2"/>
      <c r="H57" s="7"/>
      <c r="I57" s="2"/>
      <c r="J57" s="6">
        <f t="shared" si="31"/>
        <v>0</v>
      </c>
      <c r="K57" s="2"/>
      <c r="L57" s="7">
        <f t="shared" si="32"/>
        <v>165.75</v>
      </c>
      <c r="M57" s="2"/>
      <c r="N57" s="6">
        <f t="shared" si="33"/>
        <v>0</v>
      </c>
      <c r="O57" s="11"/>
      <c r="P57" s="7">
        <v>410.1</v>
      </c>
      <c r="Q57" s="2"/>
      <c r="R57" s="6">
        <f t="shared" si="34"/>
        <v>0</v>
      </c>
      <c r="S57" s="2"/>
      <c r="T57" s="7">
        <v>0</v>
      </c>
      <c r="U57" s="2"/>
      <c r="V57" s="6">
        <f t="shared" si="35"/>
        <v>0</v>
      </c>
      <c r="W57" s="2"/>
      <c r="X57" s="7">
        <f t="shared" si="36"/>
        <v>410.1</v>
      </c>
      <c r="Y57" s="2"/>
      <c r="Z57" s="6">
        <f t="shared" si="37"/>
        <v>0</v>
      </c>
    </row>
    <row r="58" spans="1:26" s="24" customFormat="1" hidden="1" outlineLevel="2" x14ac:dyDescent="0.25">
      <c r="A58" s="29"/>
      <c r="B58" s="11" t="str">
        <f>CONCATENATE("          ", "6375", " - ", "OUTSIDE REPAIRS &amp; MAINTENANCE")</f>
        <v xml:space="preserve">          6375 - OUTSIDE REPAIRS &amp; MAINTENANCE</v>
      </c>
      <c r="C58" s="11"/>
      <c r="D58" s="7"/>
      <c r="E58" s="2"/>
      <c r="F58" s="6">
        <f t="shared" si="30"/>
        <v>0</v>
      </c>
      <c r="G58" s="2"/>
      <c r="H58" s="7">
        <v>0</v>
      </c>
      <c r="I58" s="2"/>
      <c r="J58" s="6">
        <f t="shared" si="31"/>
        <v>0</v>
      </c>
      <c r="K58" s="2"/>
      <c r="L58" s="7">
        <f t="shared" si="32"/>
        <v>0</v>
      </c>
      <c r="M58" s="2"/>
      <c r="N58" s="6">
        <f t="shared" si="33"/>
        <v>0</v>
      </c>
      <c r="O58" s="11"/>
      <c r="P58" s="7"/>
      <c r="Q58" s="2"/>
      <c r="R58" s="6">
        <f t="shared" si="34"/>
        <v>0</v>
      </c>
      <c r="S58" s="2"/>
      <c r="T58" s="7">
        <v>0</v>
      </c>
      <c r="U58" s="2"/>
      <c r="V58" s="6">
        <f t="shared" si="35"/>
        <v>0</v>
      </c>
      <c r="W58" s="2"/>
      <c r="X58" s="7">
        <f t="shared" si="36"/>
        <v>0</v>
      </c>
      <c r="Y58" s="2"/>
      <c r="Z58" s="6">
        <f t="shared" si="37"/>
        <v>0</v>
      </c>
    </row>
    <row r="59" spans="1:26" s="28" customFormat="1" outlineLevel="1" collapsed="1" x14ac:dyDescent="0.25">
      <c r="A59" s="27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SUM(OSRRefD22_9x_0)</f>
        <v>0</v>
      </c>
      <c r="E59" s="1"/>
      <c r="F59" s="5">
        <f t="shared" ref="F59:F61" si="38">IF(D$12=0,0,D59/D$12)</f>
        <v>0</v>
      </c>
      <c r="G59" s="1"/>
      <c r="H59" s="1">
        <f>SUM(OSRRefH22_9x_0)</f>
        <v>0</v>
      </c>
      <c r="I59" s="1"/>
      <c r="J59" s="5">
        <f t="shared" ref="J59:J61" si="39">IF(H$12=0,0,H59/H$12)</f>
        <v>0</v>
      </c>
      <c r="K59" s="1"/>
      <c r="L59" s="1">
        <f t="shared" ref="L59:L61" si="40">+D59-H59</f>
        <v>0</v>
      </c>
      <c r="M59" s="1"/>
      <c r="N59" s="5">
        <f t="shared" ref="N59:N61" si="41">IF(H59=0,0,L59/H59)</f>
        <v>0</v>
      </c>
      <c r="O59" s="14"/>
      <c r="P59" s="1">
        <f>SUM(OSRRefP22_9x_0)</f>
        <v>286.62</v>
      </c>
      <c r="Q59" s="1"/>
      <c r="R59" s="5">
        <f t="shared" ref="R59:R61" si="42">IF(P$12=0,0,P59/P$12)</f>
        <v>0</v>
      </c>
      <c r="S59" s="1"/>
      <c r="T59" s="1">
        <f>SUM(OSRRefT22_9x_0)</f>
        <v>0</v>
      </c>
      <c r="U59" s="1"/>
      <c r="V59" s="5">
        <f t="shared" ref="V59:V61" si="43">IF(T$12=0,0,T59/T$12)</f>
        <v>0</v>
      </c>
      <c r="W59" s="1"/>
      <c r="X59" s="1">
        <f t="shared" ref="X59:X61" si="44">+P59-T59</f>
        <v>286.62</v>
      </c>
      <c r="Y59" s="1"/>
      <c r="Z59" s="5">
        <f t="shared" ref="Z59:Z61" si="45">IF(T59=0,0,X59/T59)</f>
        <v>0</v>
      </c>
    </row>
    <row r="60" spans="1:26" s="24" customFormat="1" hidden="1" outlineLevel="2" x14ac:dyDescent="0.25">
      <c r="A60" s="29"/>
      <c r="B60" s="11" t="str">
        <f>CONCATENATE("          ", "6282", " - ", "JANITORIAL/EXTERMINATOR EXPENS")</f>
        <v xml:space="preserve">          6282 - JANITORIAL/EXTERMINATOR EXPENS</v>
      </c>
      <c r="C60" s="11"/>
      <c r="D60" s="7"/>
      <c r="E60" s="2"/>
      <c r="F60" s="6">
        <f t="shared" si="38"/>
        <v>0</v>
      </c>
      <c r="G60" s="2"/>
      <c r="H60" s="7"/>
      <c r="I60" s="2"/>
      <c r="J60" s="6">
        <f t="shared" si="39"/>
        <v>0</v>
      </c>
      <c r="K60" s="2"/>
      <c r="L60" s="7">
        <f t="shared" si="40"/>
        <v>0</v>
      </c>
      <c r="M60" s="2"/>
      <c r="N60" s="6">
        <f t="shared" si="41"/>
        <v>0</v>
      </c>
      <c r="O60" s="11"/>
      <c r="P60" s="7">
        <v>286.62</v>
      </c>
      <c r="Q60" s="2"/>
      <c r="R60" s="6">
        <f t="shared" si="42"/>
        <v>0</v>
      </c>
      <c r="S60" s="2"/>
      <c r="T60" s="7"/>
      <c r="U60" s="2"/>
      <c r="V60" s="6">
        <f t="shared" si="43"/>
        <v>0</v>
      </c>
      <c r="W60" s="2"/>
      <c r="X60" s="7">
        <f t="shared" si="44"/>
        <v>286.62</v>
      </c>
      <c r="Y60" s="2"/>
      <c r="Z60" s="6">
        <f t="shared" si="45"/>
        <v>0</v>
      </c>
    </row>
    <row r="61" spans="1:26" s="24" customFormat="1" hidden="1" outlineLevel="2" x14ac:dyDescent="0.25">
      <c r="A61" s="29"/>
      <c r="B61" s="11" t="str">
        <f>CONCATENATE("          ", "6286", " - ", "LAUNDRY EXPENSE")</f>
        <v xml:space="preserve">          6286 - LAUNDRY EXPENSE</v>
      </c>
      <c r="C61" s="11"/>
      <c r="D61" s="7"/>
      <c r="E61" s="2"/>
      <c r="F61" s="6">
        <f t="shared" si="38"/>
        <v>0</v>
      </c>
      <c r="G61" s="2"/>
      <c r="H61" s="7">
        <v>0</v>
      </c>
      <c r="I61" s="2"/>
      <c r="J61" s="6">
        <f t="shared" si="39"/>
        <v>0</v>
      </c>
      <c r="K61" s="2"/>
      <c r="L61" s="7">
        <f t="shared" si="40"/>
        <v>0</v>
      </c>
      <c r="M61" s="2"/>
      <c r="N61" s="6">
        <f t="shared" si="41"/>
        <v>0</v>
      </c>
      <c r="O61" s="11"/>
      <c r="P61" s="7"/>
      <c r="Q61" s="2"/>
      <c r="R61" s="6">
        <f t="shared" si="42"/>
        <v>0</v>
      </c>
      <c r="S61" s="2"/>
      <c r="T61" s="7">
        <v>0</v>
      </c>
      <c r="U61" s="2"/>
      <c r="V61" s="6">
        <f t="shared" si="43"/>
        <v>0</v>
      </c>
      <c r="W61" s="2"/>
      <c r="X61" s="7">
        <f t="shared" si="44"/>
        <v>0</v>
      </c>
      <c r="Y61" s="2"/>
      <c r="Z61" s="6">
        <f t="shared" si="45"/>
        <v>0</v>
      </c>
    </row>
    <row r="62" spans="1:26" s="28" customFormat="1" outlineLevel="1" collapsed="1" x14ac:dyDescent="0.25">
      <c r="A62" s="27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SUM(OSRRefD22_10x_0)</f>
        <v>0</v>
      </c>
      <c r="E62" s="1"/>
      <c r="F62" s="5">
        <f t="shared" ref="F62:F70" si="46">IF(D$12=0,0,D62/D$12)</f>
        <v>0</v>
      </c>
      <c r="G62" s="1"/>
      <c r="H62" s="1">
        <f>SUM(OSRRefH22_10x_0)</f>
        <v>0</v>
      </c>
      <c r="I62" s="1"/>
      <c r="J62" s="5">
        <f t="shared" ref="J62:J70" si="47">IF(H$12=0,0,H62/H$12)</f>
        <v>0</v>
      </c>
      <c r="K62" s="1"/>
      <c r="L62" s="1">
        <f t="shared" ref="L62:L70" si="48">+D62-H62</f>
        <v>0</v>
      </c>
      <c r="M62" s="1"/>
      <c r="N62" s="5">
        <f t="shared" ref="N62:N70" si="49">IF(H62=0,0,L62/H62)</f>
        <v>0</v>
      </c>
      <c r="O62" s="14"/>
      <c r="P62" s="1">
        <f>SUM(OSRRefP22_10x_0)</f>
        <v>0</v>
      </c>
      <c r="Q62" s="1"/>
      <c r="R62" s="5">
        <f t="shared" ref="R62:R70" si="50">IF(P$12=0,0,P62/P$12)</f>
        <v>0</v>
      </c>
      <c r="S62" s="1"/>
      <c r="T62" s="1">
        <f>SUM(OSRRefT22_10x_0)</f>
        <v>0</v>
      </c>
      <c r="U62" s="1"/>
      <c r="V62" s="5">
        <f t="shared" ref="V62:V70" si="51">IF(T$12=0,0,T62/T$12)</f>
        <v>0</v>
      </c>
      <c r="W62" s="1"/>
      <c r="X62" s="1">
        <f t="shared" ref="X62:X70" si="52">+P62-T62</f>
        <v>0</v>
      </c>
      <c r="Y62" s="1"/>
      <c r="Z62" s="5">
        <f t="shared" ref="Z62:Z70" si="53">IF(T62=0,0,X62/T62)</f>
        <v>0</v>
      </c>
    </row>
    <row r="63" spans="1:26" s="24" customFormat="1" hidden="1" outlineLevel="2" x14ac:dyDescent="0.25">
      <c r="A63" s="29"/>
      <c r="B63" s="11" t="str">
        <f>CONCATENATE("          ", "6235", " - ", "COVID-19 EXPENSES")</f>
        <v xml:space="preserve">          6235 - COVID-19 EXPENSES</v>
      </c>
      <c r="C63" s="11"/>
      <c r="D63" s="7"/>
      <c r="E63" s="2"/>
      <c r="F63" s="6">
        <f t="shared" si="46"/>
        <v>0</v>
      </c>
      <c r="G63" s="2"/>
      <c r="H63" s="7">
        <v>0</v>
      </c>
      <c r="I63" s="2"/>
      <c r="J63" s="6">
        <f t="shared" si="47"/>
        <v>0</v>
      </c>
      <c r="K63" s="2"/>
      <c r="L63" s="7">
        <f t="shared" si="48"/>
        <v>0</v>
      </c>
      <c r="M63" s="2"/>
      <c r="N63" s="6">
        <f t="shared" si="49"/>
        <v>0</v>
      </c>
      <c r="O63" s="11"/>
      <c r="P63" s="7"/>
      <c r="Q63" s="2"/>
      <c r="R63" s="6">
        <f t="shared" si="50"/>
        <v>0</v>
      </c>
      <c r="S63" s="2"/>
      <c r="T63" s="7">
        <v>0</v>
      </c>
      <c r="U63" s="2"/>
      <c r="V63" s="6">
        <f t="shared" si="51"/>
        <v>0</v>
      </c>
      <c r="W63" s="2"/>
      <c r="X63" s="7">
        <f t="shared" si="52"/>
        <v>0</v>
      </c>
      <c r="Y63" s="2"/>
      <c r="Z63" s="6">
        <f t="shared" si="53"/>
        <v>0</v>
      </c>
    </row>
    <row r="64" spans="1:26" s="24" customFormat="1" hidden="1" outlineLevel="2" x14ac:dyDescent="0.25">
      <c r="A64" s="29"/>
      <c r="B64" s="11" t="str">
        <f>CONCATENATE("          ", "6239", " - ", "KITCHEN SUPPLIES")</f>
        <v xml:space="preserve">          6239 - KITCHEN SUPPLIES</v>
      </c>
      <c r="C64" s="11"/>
      <c r="D64" s="7"/>
      <c r="E64" s="2"/>
      <c r="F64" s="6">
        <f t="shared" si="46"/>
        <v>0</v>
      </c>
      <c r="G64" s="2"/>
      <c r="H64" s="7"/>
      <c r="I64" s="2"/>
      <c r="J64" s="6">
        <f t="shared" si="47"/>
        <v>0</v>
      </c>
      <c r="K64" s="2"/>
      <c r="L64" s="7">
        <f t="shared" si="48"/>
        <v>0</v>
      </c>
      <c r="M64" s="2"/>
      <c r="N64" s="6">
        <f t="shared" si="49"/>
        <v>0</v>
      </c>
      <c r="O64" s="11"/>
      <c r="P64" s="7"/>
      <c r="Q64" s="2"/>
      <c r="R64" s="6">
        <f t="shared" si="50"/>
        <v>0</v>
      </c>
      <c r="S64" s="2"/>
      <c r="T64" s="7">
        <v>0</v>
      </c>
      <c r="U64" s="2"/>
      <c r="V64" s="6">
        <f t="shared" si="51"/>
        <v>0</v>
      </c>
      <c r="W64" s="2"/>
      <c r="X64" s="7">
        <f t="shared" si="52"/>
        <v>0</v>
      </c>
      <c r="Y64" s="2"/>
      <c r="Z64" s="6">
        <f t="shared" si="53"/>
        <v>0</v>
      </c>
    </row>
    <row r="65" spans="1:26" s="24" customFormat="1" hidden="1" outlineLevel="2" x14ac:dyDescent="0.25">
      <c r="A65" s="29"/>
      <c r="B65" s="11" t="str">
        <f>CONCATENATE("          ", "6241", " - ", "OFFICE EXPENSE")</f>
        <v xml:space="preserve">          6241 - OFFICE EXPENSE</v>
      </c>
      <c r="C65" s="11"/>
      <c r="D65" s="7"/>
      <c r="E65" s="2"/>
      <c r="F65" s="6">
        <f t="shared" si="46"/>
        <v>0</v>
      </c>
      <c r="G65" s="2"/>
      <c r="H65" s="7"/>
      <c r="I65" s="2"/>
      <c r="J65" s="6">
        <f t="shared" si="47"/>
        <v>0</v>
      </c>
      <c r="K65" s="2"/>
      <c r="L65" s="7">
        <f t="shared" si="48"/>
        <v>0</v>
      </c>
      <c r="M65" s="2"/>
      <c r="N65" s="6">
        <f t="shared" si="49"/>
        <v>0</v>
      </c>
      <c r="O65" s="11"/>
      <c r="P65" s="7"/>
      <c r="Q65" s="2"/>
      <c r="R65" s="6">
        <f t="shared" si="50"/>
        <v>0</v>
      </c>
      <c r="S65" s="2"/>
      <c r="T65" s="7">
        <v>0</v>
      </c>
      <c r="U65" s="2"/>
      <c r="V65" s="6">
        <f t="shared" si="51"/>
        <v>0</v>
      </c>
      <c r="W65" s="2"/>
      <c r="X65" s="7">
        <f t="shared" si="52"/>
        <v>0</v>
      </c>
      <c r="Y65" s="2"/>
      <c r="Z65" s="6">
        <f t="shared" si="53"/>
        <v>0</v>
      </c>
    </row>
    <row r="66" spans="1:26" s="24" customFormat="1" hidden="1" outlineLevel="2" x14ac:dyDescent="0.25">
      <c r="A66" s="29"/>
      <c r="B66" s="11" t="str">
        <f>CONCATENATE("          ", "6243", " - ", "PAPER SUPPLIES")</f>
        <v xml:space="preserve">          6243 - PAPER SUPPLIES</v>
      </c>
      <c r="C66" s="11"/>
      <c r="D66" s="7"/>
      <c r="E66" s="2"/>
      <c r="F66" s="6">
        <f t="shared" si="46"/>
        <v>0</v>
      </c>
      <c r="G66" s="2"/>
      <c r="H66" s="7">
        <v>0</v>
      </c>
      <c r="I66" s="2"/>
      <c r="J66" s="6">
        <f t="shared" si="47"/>
        <v>0</v>
      </c>
      <c r="K66" s="2"/>
      <c r="L66" s="7">
        <f t="shared" si="48"/>
        <v>0</v>
      </c>
      <c r="M66" s="2"/>
      <c r="N66" s="6">
        <f t="shared" si="49"/>
        <v>0</v>
      </c>
      <c r="O66" s="11"/>
      <c r="P66" s="7"/>
      <c r="Q66" s="2"/>
      <c r="R66" s="6">
        <f t="shared" si="50"/>
        <v>0</v>
      </c>
      <c r="S66" s="2"/>
      <c r="T66" s="7">
        <v>0</v>
      </c>
      <c r="U66" s="2"/>
      <c r="V66" s="6">
        <f t="shared" si="51"/>
        <v>0</v>
      </c>
      <c r="W66" s="2"/>
      <c r="X66" s="7">
        <f t="shared" si="52"/>
        <v>0</v>
      </c>
      <c r="Y66" s="2"/>
      <c r="Z66" s="6">
        <f t="shared" si="53"/>
        <v>0</v>
      </c>
    </row>
    <row r="67" spans="1:26" s="24" customFormat="1" hidden="1" outlineLevel="2" x14ac:dyDescent="0.25">
      <c r="A67" s="29"/>
      <c r="B67" s="11" t="str">
        <f>CONCATENATE("          ", "6244", " - ", "SAFETY SUPPLY EXPENSE")</f>
        <v xml:space="preserve">          6244 - SAFETY SUPPLY EXPENSE</v>
      </c>
      <c r="C67" s="11"/>
      <c r="D67" s="7"/>
      <c r="E67" s="2"/>
      <c r="F67" s="6">
        <f t="shared" si="46"/>
        <v>0</v>
      </c>
      <c r="G67" s="2"/>
      <c r="H67" s="7"/>
      <c r="I67" s="2"/>
      <c r="J67" s="6">
        <f t="shared" si="47"/>
        <v>0</v>
      </c>
      <c r="K67" s="2"/>
      <c r="L67" s="7">
        <f t="shared" si="48"/>
        <v>0</v>
      </c>
      <c r="M67" s="2"/>
      <c r="N67" s="6">
        <f t="shared" si="49"/>
        <v>0</v>
      </c>
      <c r="O67" s="11"/>
      <c r="P67" s="7"/>
      <c r="Q67" s="2"/>
      <c r="R67" s="6">
        <f t="shared" si="50"/>
        <v>0</v>
      </c>
      <c r="S67" s="2"/>
      <c r="T67" s="7">
        <v>0</v>
      </c>
      <c r="U67" s="2"/>
      <c r="V67" s="6">
        <f t="shared" si="51"/>
        <v>0</v>
      </c>
      <c r="W67" s="2"/>
      <c r="X67" s="7">
        <f t="shared" si="52"/>
        <v>0</v>
      </c>
      <c r="Y67" s="2"/>
      <c r="Z67" s="6">
        <f t="shared" si="53"/>
        <v>0</v>
      </c>
    </row>
    <row r="68" spans="1:26" s="24" customFormat="1" hidden="1" outlineLevel="2" x14ac:dyDescent="0.25">
      <c r="A68" s="29"/>
      <c r="B68" s="11" t="str">
        <f>CONCATENATE("          ", "6245", " - ", "PRINTING")</f>
        <v xml:space="preserve">          6245 - PRINTING</v>
      </c>
      <c r="C68" s="11"/>
      <c r="D68" s="7"/>
      <c r="E68" s="2"/>
      <c r="F68" s="6">
        <f t="shared" si="46"/>
        <v>0</v>
      </c>
      <c r="G68" s="2"/>
      <c r="H68" s="7"/>
      <c r="I68" s="2"/>
      <c r="J68" s="6">
        <f t="shared" si="47"/>
        <v>0</v>
      </c>
      <c r="K68" s="2"/>
      <c r="L68" s="7">
        <f t="shared" si="48"/>
        <v>0</v>
      </c>
      <c r="M68" s="2"/>
      <c r="N68" s="6">
        <f t="shared" si="49"/>
        <v>0</v>
      </c>
      <c r="O68" s="11"/>
      <c r="P68" s="7"/>
      <c r="Q68" s="2"/>
      <c r="R68" s="6">
        <f t="shared" si="50"/>
        <v>0</v>
      </c>
      <c r="S68" s="2"/>
      <c r="T68" s="7">
        <v>0</v>
      </c>
      <c r="U68" s="2"/>
      <c r="V68" s="6">
        <f t="shared" si="51"/>
        <v>0</v>
      </c>
      <c r="W68" s="2"/>
      <c r="X68" s="7">
        <f t="shared" si="52"/>
        <v>0</v>
      </c>
      <c r="Y68" s="2"/>
      <c r="Z68" s="6">
        <f t="shared" si="53"/>
        <v>0</v>
      </c>
    </row>
    <row r="69" spans="1:26" s="24" customFormat="1" hidden="1" outlineLevel="2" x14ac:dyDescent="0.25">
      <c r="A69" s="29"/>
      <c r="B69" s="11" t="str">
        <f>CONCATENATE("          ", "6247", " - ", "STORE SUPPLIES")</f>
        <v xml:space="preserve">          6247 - STORE SUPPLIES</v>
      </c>
      <c r="C69" s="11"/>
      <c r="D69" s="7"/>
      <c r="E69" s="2"/>
      <c r="F69" s="6">
        <f t="shared" si="46"/>
        <v>0</v>
      </c>
      <c r="G69" s="2"/>
      <c r="H69" s="7"/>
      <c r="I69" s="2"/>
      <c r="J69" s="6">
        <f t="shared" si="47"/>
        <v>0</v>
      </c>
      <c r="K69" s="2"/>
      <c r="L69" s="7">
        <f t="shared" si="48"/>
        <v>0</v>
      </c>
      <c r="M69" s="2"/>
      <c r="N69" s="6">
        <f t="shared" si="49"/>
        <v>0</v>
      </c>
      <c r="O69" s="11"/>
      <c r="P69" s="7"/>
      <c r="Q69" s="2"/>
      <c r="R69" s="6">
        <f t="shared" si="50"/>
        <v>0</v>
      </c>
      <c r="S69" s="2"/>
      <c r="T69" s="7">
        <v>0</v>
      </c>
      <c r="U69" s="2"/>
      <c r="V69" s="6">
        <f t="shared" si="51"/>
        <v>0</v>
      </c>
      <c r="W69" s="2"/>
      <c r="X69" s="7">
        <f t="shared" si="52"/>
        <v>0</v>
      </c>
      <c r="Y69" s="2"/>
      <c r="Z69" s="6">
        <f t="shared" si="53"/>
        <v>0</v>
      </c>
    </row>
    <row r="70" spans="1:26" s="24" customFormat="1" hidden="1" outlineLevel="2" x14ac:dyDescent="0.25">
      <c r="A70" s="29"/>
      <c r="B70" s="11" t="str">
        <f>CONCATENATE("          ", "6248", " - ", "UNIFORMS")</f>
        <v xml:space="preserve">          6248 - UNIFORMS</v>
      </c>
      <c r="C70" s="11"/>
      <c r="D70" s="7"/>
      <c r="E70" s="2"/>
      <c r="F70" s="6">
        <f t="shared" si="46"/>
        <v>0</v>
      </c>
      <c r="G70" s="2"/>
      <c r="H70" s="7"/>
      <c r="I70" s="2"/>
      <c r="J70" s="6">
        <f t="shared" si="47"/>
        <v>0</v>
      </c>
      <c r="K70" s="2"/>
      <c r="L70" s="7">
        <f t="shared" si="48"/>
        <v>0</v>
      </c>
      <c r="M70" s="2"/>
      <c r="N70" s="6">
        <f t="shared" si="49"/>
        <v>0</v>
      </c>
      <c r="O70" s="11"/>
      <c r="P70" s="7"/>
      <c r="Q70" s="2"/>
      <c r="R70" s="6">
        <f t="shared" si="50"/>
        <v>0</v>
      </c>
      <c r="S70" s="2"/>
      <c r="T70" s="7">
        <v>0</v>
      </c>
      <c r="U70" s="2"/>
      <c r="V70" s="6">
        <f t="shared" si="51"/>
        <v>0</v>
      </c>
      <c r="W70" s="2"/>
      <c r="X70" s="7">
        <f t="shared" si="52"/>
        <v>0</v>
      </c>
      <c r="Y70" s="2"/>
      <c r="Z70" s="6">
        <f t="shared" si="53"/>
        <v>0</v>
      </c>
    </row>
    <row r="71" spans="1:26" s="28" customFormat="1" outlineLevel="1" collapsed="1" x14ac:dyDescent="0.25">
      <c r="A71" s="27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SUM(OSRRefD22_11x_0)</f>
        <v>-138</v>
      </c>
      <c r="E71" s="1"/>
      <c r="F71" s="5">
        <f t="shared" ref="F71:F73" si="54">IF(D$12=0,0,D71/D$12)</f>
        <v>0</v>
      </c>
      <c r="G71" s="1"/>
      <c r="H71" s="1">
        <f>SUM(OSRRefH22_11x_0)</f>
        <v>0</v>
      </c>
      <c r="I71" s="1"/>
      <c r="J71" s="5">
        <f t="shared" ref="J71:J73" si="55">IF(H$12=0,0,H71/H$12)</f>
        <v>0</v>
      </c>
      <c r="K71" s="1"/>
      <c r="L71" s="1">
        <f t="shared" ref="L71:L73" si="56">+D71-H71</f>
        <v>-138</v>
      </c>
      <c r="M71" s="1"/>
      <c r="N71" s="5">
        <f t="shared" ref="N71:N73" si="57">IF(H71=0,0,L71/H71)</f>
        <v>0</v>
      </c>
      <c r="O71" s="14"/>
      <c r="P71" s="1">
        <f>SUM(OSRRefP22_11x_0)</f>
        <v>49.7</v>
      </c>
      <c r="Q71" s="1"/>
      <c r="R71" s="5">
        <f t="shared" ref="R71:R73" si="58">IF(P$12=0,0,P71/P$12)</f>
        <v>0</v>
      </c>
      <c r="S71" s="1"/>
      <c r="T71" s="1">
        <f>SUM(OSRRefT22_11x_0)</f>
        <v>0</v>
      </c>
      <c r="U71" s="1"/>
      <c r="V71" s="5">
        <f t="shared" ref="V71:V73" si="59">IF(T$12=0,0,T71/T$12)</f>
        <v>0</v>
      </c>
      <c r="W71" s="1"/>
      <c r="X71" s="1">
        <f t="shared" ref="X71:X73" si="60">+P71-T71</f>
        <v>49.7</v>
      </c>
      <c r="Y71" s="1"/>
      <c r="Z71" s="5">
        <f t="shared" ref="Z71:Z73" si="61">IF(T71=0,0,X71/T71)</f>
        <v>0</v>
      </c>
    </row>
    <row r="72" spans="1:26" s="24" customFormat="1" hidden="1" outlineLevel="2" x14ac:dyDescent="0.25">
      <c r="A72" s="29"/>
      <c r="B72" s="11" t="str">
        <f>CONCATENATE("          ", "6303", " - ", "DATA PHONE LINES")</f>
        <v xml:space="preserve">          6303 - DATA PHONE LINES</v>
      </c>
      <c r="C72" s="11"/>
      <c r="D72" s="7"/>
      <c r="E72" s="2"/>
      <c r="F72" s="6">
        <f t="shared" si="54"/>
        <v>0</v>
      </c>
      <c r="G72" s="2"/>
      <c r="H72" s="7">
        <v>0</v>
      </c>
      <c r="I72" s="2"/>
      <c r="J72" s="6">
        <f t="shared" si="55"/>
        <v>0</v>
      </c>
      <c r="K72" s="2"/>
      <c r="L72" s="7">
        <f t="shared" si="56"/>
        <v>0</v>
      </c>
      <c r="M72" s="2"/>
      <c r="N72" s="6">
        <f t="shared" si="57"/>
        <v>0</v>
      </c>
      <c r="O72" s="11"/>
      <c r="P72" s="7"/>
      <c r="Q72" s="2"/>
      <c r="R72" s="6">
        <f t="shared" si="58"/>
        <v>0</v>
      </c>
      <c r="S72" s="2"/>
      <c r="T72" s="7">
        <v>0</v>
      </c>
      <c r="U72" s="2"/>
      <c r="V72" s="6">
        <f t="shared" si="59"/>
        <v>0</v>
      </c>
      <c r="W72" s="2"/>
      <c r="X72" s="7">
        <f t="shared" si="60"/>
        <v>0</v>
      </c>
      <c r="Y72" s="2"/>
      <c r="Z72" s="6">
        <f t="shared" si="61"/>
        <v>0</v>
      </c>
    </row>
    <row r="73" spans="1:26" s="24" customFormat="1" hidden="1" outlineLevel="2" x14ac:dyDescent="0.25">
      <c r="A73" s="29"/>
      <c r="B73" s="11" t="str">
        <f>CONCATENATE("          ", "6309", " - ", "TELEPHONE")</f>
        <v xml:space="preserve">          6309 - TELEPHONE</v>
      </c>
      <c r="C73" s="11"/>
      <c r="D73" s="7">
        <v>-138</v>
      </c>
      <c r="E73" s="2"/>
      <c r="F73" s="6">
        <f t="shared" si="54"/>
        <v>0</v>
      </c>
      <c r="G73" s="2"/>
      <c r="H73" s="7">
        <v>0</v>
      </c>
      <c r="I73" s="2"/>
      <c r="J73" s="6">
        <f t="shared" si="55"/>
        <v>0</v>
      </c>
      <c r="K73" s="2"/>
      <c r="L73" s="7">
        <f t="shared" si="56"/>
        <v>-138</v>
      </c>
      <c r="M73" s="2"/>
      <c r="N73" s="6">
        <f t="shared" si="57"/>
        <v>0</v>
      </c>
      <c r="O73" s="11"/>
      <c r="P73" s="7">
        <v>49.7</v>
      </c>
      <c r="Q73" s="2"/>
      <c r="R73" s="6">
        <f t="shared" si="58"/>
        <v>0</v>
      </c>
      <c r="S73" s="2"/>
      <c r="T73" s="7">
        <v>0</v>
      </c>
      <c r="U73" s="2"/>
      <c r="V73" s="6">
        <f t="shared" si="59"/>
        <v>0</v>
      </c>
      <c r="W73" s="2"/>
      <c r="X73" s="7">
        <f t="shared" si="60"/>
        <v>49.7</v>
      </c>
      <c r="Y73" s="2"/>
      <c r="Z73" s="6">
        <f t="shared" si="61"/>
        <v>0</v>
      </c>
    </row>
    <row r="74" spans="1:26" s="28" customFormat="1" outlineLevel="1" collapsed="1" x14ac:dyDescent="0.25">
      <c r="A74" s="27"/>
      <c r="B74" s="14" t="str">
        <f>CONCATENATE("     ","Travel                                            ")</f>
        <v xml:space="preserve">     Travel                                            </v>
      </c>
      <c r="C74" s="14"/>
      <c r="D74" s="1">
        <f>SUM(OSRRefD22_12x_0)</f>
        <v>0</v>
      </c>
      <c r="E74" s="1"/>
      <c r="F74" s="5">
        <f t="shared" ref="F74:F75" si="62">IF(D$12=0,0,D74/D$12)</f>
        <v>0</v>
      </c>
      <c r="G74" s="1"/>
      <c r="H74" s="1">
        <f>SUM(OSRRefH22_12x_0)</f>
        <v>0</v>
      </c>
      <c r="I74" s="1"/>
      <c r="J74" s="5">
        <f t="shared" ref="J74:J75" si="63">IF(H$12=0,0,H74/H$12)</f>
        <v>0</v>
      </c>
      <c r="K74" s="1"/>
      <c r="L74" s="1">
        <f t="shared" ref="L74:L75" si="64">+D74-H74</f>
        <v>0</v>
      </c>
      <c r="M74" s="1"/>
      <c r="N74" s="5">
        <f t="shared" ref="N74:N75" si="65">IF(H74=0,0,L74/H74)</f>
        <v>0</v>
      </c>
      <c r="O74" s="14"/>
      <c r="P74" s="1">
        <f>SUM(OSRRefP22_12x_0)</f>
        <v>0</v>
      </c>
      <c r="Q74" s="1"/>
      <c r="R74" s="5">
        <f t="shared" ref="R74:R75" si="66">IF(P$12=0,0,P74/P$12)</f>
        <v>0</v>
      </c>
      <c r="S74" s="1"/>
      <c r="T74" s="1">
        <f>SUM(OSRRefT22_12x_0)</f>
        <v>0</v>
      </c>
      <c r="U74" s="1"/>
      <c r="V74" s="5">
        <f t="shared" ref="V74:V75" si="67">IF(T$12=0,0,T74/T$12)</f>
        <v>0</v>
      </c>
      <c r="W74" s="1"/>
      <c r="X74" s="1">
        <f t="shared" ref="X74:X75" si="68">+P74-T74</f>
        <v>0</v>
      </c>
      <c r="Y74" s="1"/>
      <c r="Z74" s="5">
        <f t="shared" ref="Z74:Z75" si="69">IF(T74=0,0,X74/T74)</f>
        <v>0</v>
      </c>
    </row>
    <row r="75" spans="1:26" s="24" customFormat="1" hidden="1" outlineLevel="2" x14ac:dyDescent="0.25">
      <c r="A75" s="29"/>
      <c r="B75" s="11" t="str">
        <f>CONCATENATE("          ", "6292", " - ", "TRAVEL/CONFERENCE")</f>
        <v xml:space="preserve">          6292 - TRAVEL/CONFERENCE</v>
      </c>
      <c r="C75" s="11"/>
      <c r="D75" s="7"/>
      <c r="E75" s="2"/>
      <c r="F75" s="6">
        <f t="shared" si="62"/>
        <v>0</v>
      </c>
      <c r="G75" s="2"/>
      <c r="H75" s="7"/>
      <c r="I75" s="2"/>
      <c r="J75" s="6">
        <f t="shared" si="63"/>
        <v>0</v>
      </c>
      <c r="K75" s="2"/>
      <c r="L75" s="7">
        <f t="shared" si="64"/>
        <v>0</v>
      </c>
      <c r="M75" s="2"/>
      <c r="N75" s="6">
        <f t="shared" si="65"/>
        <v>0</v>
      </c>
      <c r="O75" s="11"/>
      <c r="P75" s="7"/>
      <c r="Q75" s="2"/>
      <c r="R75" s="6">
        <f t="shared" si="66"/>
        <v>0</v>
      </c>
      <c r="S75" s="2"/>
      <c r="T75" s="7">
        <v>0</v>
      </c>
      <c r="U75" s="2"/>
      <c r="V75" s="6">
        <f t="shared" si="67"/>
        <v>0</v>
      </c>
      <c r="W75" s="2"/>
      <c r="X75" s="7">
        <f t="shared" si="68"/>
        <v>0</v>
      </c>
      <c r="Y75" s="2"/>
      <c r="Z75" s="6">
        <f t="shared" si="69"/>
        <v>0</v>
      </c>
    </row>
    <row r="76" spans="1:26" s="53" customFormat="1" x14ac:dyDescent="0.25">
      <c r="A76" s="36"/>
      <c r="B76" s="36"/>
      <c r="C76" s="36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6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6" t="s">
        <v>0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5" t="s">
        <v>3</v>
      </c>
      <c r="C79" s="25"/>
      <c r="D79" s="21">
        <f>+D19-D21+D77</f>
        <v>-85.78</v>
      </c>
      <c r="E79" s="13"/>
      <c r="F79" s="19">
        <f>IF(D$12=0,0,D79/D$12)</f>
        <v>0</v>
      </c>
      <c r="G79" s="13"/>
      <c r="H79" s="21">
        <f>+H19-H21+H77</f>
        <v>-630</v>
      </c>
      <c r="I79" s="13"/>
      <c r="J79" s="19">
        <f>IF(H$12=0,0,H79/H$12)</f>
        <v>0</v>
      </c>
      <c r="K79" s="16"/>
      <c r="L79" s="21">
        <f>+D79-H79</f>
        <v>544.22</v>
      </c>
      <c r="M79" s="16"/>
      <c r="N79" s="19">
        <f>IF(H79=0,0,L79/H79)</f>
        <v>-0.86384126984126985</v>
      </c>
      <c r="O79" s="26"/>
      <c r="P79" s="21">
        <f>+P19-P21+P77</f>
        <v>-4847.51</v>
      </c>
      <c r="Q79" s="13"/>
      <c r="R79" s="19">
        <f>IF(P$12=0,0,P79/P$12)</f>
        <v>0</v>
      </c>
      <c r="S79" s="13"/>
      <c r="T79" s="21">
        <f>+T19-T21+T77</f>
        <v>-3780</v>
      </c>
      <c r="U79" s="13"/>
      <c r="V79" s="19">
        <f>IF(T$12=0,0,T79/T$12)</f>
        <v>0</v>
      </c>
      <c r="W79" s="16"/>
      <c r="X79" s="21">
        <f>+P79-T79</f>
        <v>-1067.5100000000002</v>
      </c>
      <c r="Y79" s="16"/>
      <c r="Z79" s="19">
        <f>IF(T79=0,0,X79/T79)</f>
        <v>0.28241005291005294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14</v>
      </c>
      <c r="C81" s="10"/>
      <c r="D81" s="4"/>
      <c r="E81" s="4"/>
      <c r="F81" s="12">
        <f>IF(D$12=0,0,D81/D$12)</f>
        <v>0</v>
      </c>
      <c r="G81" s="4"/>
      <c r="H81" s="4"/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/>
      <c r="Q81" s="4"/>
      <c r="R81" s="12">
        <f>IF(P$12=0,0,P81/P$12)</f>
        <v>0</v>
      </c>
      <c r="S81" s="4"/>
      <c r="T81" s="4"/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5" t="s">
        <v>4</v>
      </c>
      <c r="C83" s="25"/>
      <c r="D83" s="34">
        <f>+D79-D81</f>
        <v>-85.78</v>
      </c>
      <c r="E83" s="13"/>
      <c r="F83" s="31">
        <f>IF(D$12=0,0,D83/D$12)</f>
        <v>0</v>
      </c>
      <c r="G83" s="13"/>
      <c r="H83" s="34">
        <f>+H79-H81</f>
        <v>-630</v>
      </c>
      <c r="I83" s="13"/>
      <c r="J83" s="31">
        <f>IF(H$12=0,0,H83/H$12)</f>
        <v>0</v>
      </c>
      <c r="K83" s="16"/>
      <c r="L83" s="34">
        <f>D83-H83</f>
        <v>544.22</v>
      </c>
      <c r="M83" s="16"/>
      <c r="N83" s="31">
        <f>IF(H83=0,0,L83/H83)</f>
        <v>-0.86384126984126985</v>
      </c>
      <c r="O83" s="26"/>
      <c r="P83" s="34">
        <f>+P79-P81</f>
        <v>-4847.51</v>
      </c>
      <c r="Q83" s="13"/>
      <c r="R83" s="31">
        <f>IF(P$12=0,0,P83/P$12)</f>
        <v>0</v>
      </c>
      <c r="S83" s="13"/>
      <c r="T83" s="34">
        <f>+T79-T81</f>
        <v>-3780</v>
      </c>
      <c r="U83" s="13"/>
      <c r="V83" s="31">
        <f>IF(T$12=0,0,T83/T$12)</f>
        <v>0</v>
      </c>
      <c r="W83" s="16"/>
      <c r="X83" s="34">
        <f>P83-T83</f>
        <v>-1067.5100000000002</v>
      </c>
      <c r="Y83" s="16"/>
      <c r="Z83" s="31">
        <f>IF(T83=0,0,X83/T83)</f>
        <v>0.28241005291005294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5" t="s">
        <v>5</v>
      </c>
      <c r="C86" s="25"/>
      <c r="D86" s="33">
        <f>SUM(D83:D85)</f>
        <v>-85.78</v>
      </c>
      <c r="E86" s="13"/>
      <c r="F86" s="32">
        <f>IF(D$12=0,0,D86/D$12)</f>
        <v>0</v>
      </c>
      <c r="G86" s="13"/>
      <c r="H86" s="33">
        <f>SUM(H83:H85)</f>
        <v>-630</v>
      </c>
      <c r="I86" s="13"/>
      <c r="J86" s="32">
        <f>IF(H$12=0,0,H86/H$12)</f>
        <v>0</v>
      </c>
      <c r="K86" s="16"/>
      <c r="L86" s="33">
        <f>+D86-H86</f>
        <v>544.22</v>
      </c>
      <c r="M86" s="16"/>
      <c r="N86" s="32">
        <f>IF(H86=0,0,L86/H86)</f>
        <v>-0.86384126984126985</v>
      </c>
      <c r="O86" s="26"/>
      <c r="P86" s="33">
        <f>SUM(P83:P85)</f>
        <v>-4847.51</v>
      </c>
      <c r="Q86" s="13"/>
      <c r="R86" s="32">
        <f>IF(P$12=0,0,P86/P$12)</f>
        <v>0</v>
      </c>
      <c r="S86" s="13"/>
      <c r="T86" s="33">
        <f>SUM(T83:T85)</f>
        <v>-3780</v>
      </c>
      <c r="U86" s="13"/>
      <c r="V86" s="32">
        <f>IF(T$12=0,0,T86/T$12)</f>
        <v>0</v>
      </c>
      <c r="W86" s="16"/>
      <c r="X86" s="33">
        <f>+P86-T86</f>
        <v>-1067.5100000000002</v>
      </c>
      <c r="Y86" s="16"/>
      <c r="Z86" s="32">
        <f>IF(T86=0,0,X86/T86)</f>
        <v>0.28241005291005294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63">
        <v>44209.51876446759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60" t="s">
        <v>314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58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","414", " - ", "Starbucks UDP")</f>
        <v>Department 414 - Starbucks UDP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0</v>
      </c>
      <c r="M12" s="4"/>
      <c r="N12" s="12">
        <f t="shared" ref="N12:N15" si="1">IF(H12=0,0,L12/H12)</f>
        <v>0</v>
      </c>
      <c r="O12" s="10"/>
      <c r="P12" s="4">
        <f>SUM(OSRRefP13x_0)</f>
        <v>974.91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5" si="2">+P12-T12</f>
        <v>974.91</v>
      </c>
      <c r="Y12" s="4"/>
      <c r="Z12" s="12">
        <f t="shared" ref="Z12:Z15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"4058", " - ", "TAXABLE SALES-FOOD")</f>
        <v xml:space="preserve">          4058 - TAXABLE SALES-FOOD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--974.91</f>
        <v>974.91</v>
      </c>
      <c r="Q14" s="2"/>
      <c r="R14" s="22"/>
      <c r="S14" s="2"/>
      <c r="T14" s="2"/>
      <c r="U14" s="2"/>
      <c r="V14" s="22"/>
      <c r="W14" s="2"/>
      <c r="X14" s="2">
        <f t="shared" si="2"/>
        <v>974.91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22"/>
      <c r="G15" s="2"/>
      <c r="H15" s="2">
        <v>0</v>
      </c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0</f>
        <v>0</v>
      </c>
      <c r="Q15" s="2"/>
      <c r="R15" s="22"/>
      <c r="S15" s="2"/>
      <c r="T15" s="2">
        <v>0</v>
      </c>
      <c r="U15" s="2"/>
      <c r="V15" s="22"/>
      <c r="W15" s="2"/>
      <c r="X15" s="2">
        <f t="shared" si="2"/>
        <v>0</v>
      </c>
      <c r="Y15" s="2"/>
      <c r="Z15" s="22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0</v>
      </c>
      <c r="E17" s="4"/>
      <c r="F17" s="12">
        <f t="shared" ref="F17:F18" si="5">IF(D$12=0,0,D17/D$12)</f>
        <v>0</v>
      </c>
      <c r="G17" s="4"/>
      <c r="H17" s="4">
        <f>SUM(OSRRefH16x_0)</f>
        <v>0</v>
      </c>
      <c r="I17" s="4"/>
      <c r="J17" s="12">
        <f t="shared" ref="J17:J18" si="6">IF(H$12=0,0,H17/H$12)</f>
        <v>0</v>
      </c>
      <c r="K17" s="4"/>
      <c r="L17" s="4">
        <f t="shared" ref="L17:L18" si="7">+D17-H17</f>
        <v>0</v>
      </c>
      <c r="M17" s="4"/>
      <c r="N17" s="12">
        <f t="shared" ref="N17:N18" si="8">IF(H17=0,0,L17/H17)</f>
        <v>0</v>
      </c>
      <c r="O17" s="10"/>
      <c r="P17" s="4">
        <f>SUM(OSRRefP16x_0)</f>
        <v>0</v>
      </c>
      <c r="Q17" s="4"/>
      <c r="R17" s="12">
        <f t="shared" ref="R17:R18" si="9">IF(P$12=0,0,P17/P$12)</f>
        <v>0</v>
      </c>
      <c r="S17" s="4"/>
      <c r="T17" s="4">
        <f>SUM(OSRRefT16x_0)</f>
        <v>0</v>
      </c>
      <c r="U17" s="4"/>
      <c r="V17" s="12">
        <f t="shared" ref="V17:V18" si="10">IF(T$12=0,0,T17/T$12)</f>
        <v>0</v>
      </c>
      <c r="W17" s="4"/>
      <c r="X17" s="4">
        <f t="shared" ref="X17:X18" si="11">+P17-T17</f>
        <v>0</v>
      </c>
      <c r="Y17" s="4"/>
      <c r="Z17" s="12">
        <f t="shared" ref="Z17:Z18" si="12">IF(T17=0,0,X17/T17)</f>
        <v>0</v>
      </c>
    </row>
    <row r="18" spans="1:26" s="24" customFormat="1" hidden="1" outlineLevel="1" x14ac:dyDescent="0.25">
      <c r="A18" s="51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2">
        <f t="shared" si="5"/>
        <v>0</v>
      </c>
      <c r="G18" s="2"/>
      <c r="H18" s="2">
        <v>0</v>
      </c>
      <c r="I18" s="2"/>
      <c r="J18" s="22">
        <f t="shared" si="6"/>
        <v>0</v>
      </c>
      <c r="K18" s="2"/>
      <c r="L18" s="2">
        <f t="shared" si="7"/>
        <v>0</v>
      </c>
      <c r="M18" s="2"/>
      <c r="N18" s="22">
        <f t="shared" si="8"/>
        <v>0</v>
      </c>
      <c r="O18" s="11"/>
      <c r="P18" s="2"/>
      <c r="Q18" s="2"/>
      <c r="R18" s="22">
        <f t="shared" si="9"/>
        <v>0</v>
      </c>
      <c r="S18" s="2"/>
      <c r="T18" s="2">
        <v>0</v>
      </c>
      <c r="U18" s="2"/>
      <c r="V18" s="22">
        <f t="shared" si="10"/>
        <v>0</v>
      </c>
      <c r="W18" s="2"/>
      <c r="X18" s="2">
        <f t="shared" si="11"/>
        <v>0</v>
      </c>
      <c r="Y18" s="2"/>
      <c r="Z18" s="22">
        <f t="shared" si="12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1">
        <f>D12-D17</f>
        <v>0</v>
      </c>
      <c r="E20" s="13"/>
      <c r="F20" s="19">
        <f>IF(D$12=0,0,D20/D$12)</f>
        <v>0</v>
      </c>
      <c r="G20" s="13"/>
      <c r="H20" s="21">
        <f>H12-H17</f>
        <v>0</v>
      </c>
      <c r="I20" s="13"/>
      <c r="J20" s="19">
        <f>IF(H$12=0,0,H20/H$12)</f>
        <v>0</v>
      </c>
      <c r="K20" s="16"/>
      <c r="L20" s="21">
        <f>+D20-H20</f>
        <v>0</v>
      </c>
      <c r="M20" s="16"/>
      <c r="N20" s="19">
        <f>IF(H20=0,0,L20/H20)</f>
        <v>0</v>
      </c>
      <c r="O20" s="26"/>
      <c r="P20" s="21">
        <f>P12-P17</f>
        <v>974.91</v>
      </c>
      <c r="Q20" s="13"/>
      <c r="R20" s="19">
        <f>IF(P$12=0,0,P20/P$12)</f>
        <v>1</v>
      </c>
      <c r="S20" s="13"/>
      <c r="T20" s="21">
        <f>T12-T17</f>
        <v>0</v>
      </c>
      <c r="U20" s="13"/>
      <c r="V20" s="19">
        <f>IF(T$12=0,0,T20/T$12)</f>
        <v>0</v>
      </c>
      <c r="W20" s="16"/>
      <c r="X20" s="21">
        <f>+P20-T20</f>
        <v>974.91</v>
      </c>
      <c r="Y20" s="16"/>
      <c r="Z20" s="19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0">
        <f>SUM(OSRRefD22x_0)</f>
        <v>1954.84</v>
      </c>
      <c r="E22" s="20"/>
      <c r="F22" s="30">
        <f t="shared" ref="F22:F32" si="13">IF(D$12=0,0,D22/D$12)</f>
        <v>0</v>
      </c>
      <c r="G22" s="20"/>
      <c r="H22" s="20">
        <f>SUM(OSRRefH22x_0)</f>
        <v>1972</v>
      </c>
      <c r="I22" s="20"/>
      <c r="J22" s="30">
        <f t="shared" ref="J22:J32" si="14">IF(H$12=0,0,H22/H$12)</f>
        <v>0</v>
      </c>
      <c r="K22" s="4"/>
      <c r="L22" s="20">
        <f t="shared" ref="L22:L32" si="15">+D22-H22</f>
        <v>-17.160000000000082</v>
      </c>
      <c r="M22" s="4"/>
      <c r="N22" s="30">
        <f t="shared" ref="N22:N32" si="16">IF(H22=0,0,L22/H22)</f>
        <v>-8.7018255578093714E-3</v>
      </c>
      <c r="O22" s="10"/>
      <c r="P22" s="20">
        <f>SUM(OSRRefP22x_0)</f>
        <v>12402.9</v>
      </c>
      <c r="Q22" s="20"/>
      <c r="R22" s="30">
        <f t="shared" ref="R22:R32" si="17">IF(P$12=0,0,P22/P$12)</f>
        <v>12.722097424377635</v>
      </c>
      <c r="S22" s="20"/>
      <c r="T22" s="20">
        <f>SUM(OSRRefT22x_0)</f>
        <v>11832</v>
      </c>
      <c r="U22" s="20"/>
      <c r="V22" s="30">
        <f t="shared" ref="V22:V32" si="18">IF(T$12=0,0,T22/T$12)</f>
        <v>0</v>
      </c>
      <c r="W22" s="4"/>
      <c r="X22" s="20">
        <f t="shared" ref="X22:X32" si="19">+P22-T22</f>
        <v>570.89999999999964</v>
      </c>
      <c r="Y22" s="4"/>
      <c r="Z22" s="30">
        <f t="shared" ref="Z22:Z32" si="20">IF(T22=0,0,X22/T22)</f>
        <v>4.8250507099391451E-2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0</v>
      </c>
      <c r="I23" s="1"/>
      <c r="J23" s="5">
        <f t="shared" si="14"/>
        <v>0</v>
      </c>
      <c r="K23" s="1"/>
      <c r="L23" s="1">
        <f t="shared" si="15"/>
        <v>0</v>
      </c>
      <c r="M23" s="1"/>
      <c r="N23" s="5">
        <f t="shared" si="16"/>
        <v>0</v>
      </c>
      <c r="O23" s="14"/>
      <c r="P23" s="1">
        <f>SUM(OSRRefP22_0x_0)</f>
        <v>702.51</v>
      </c>
      <c r="Q23" s="1"/>
      <c r="R23" s="5">
        <f t="shared" si="17"/>
        <v>0.72058959288549718</v>
      </c>
      <c r="S23" s="1"/>
      <c r="T23" s="1">
        <f>SUM(OSRRefT22_0x_0)</f>
        <v>0</v>
      </c>
      <c r="U23" s="1"/>
      <c r="V23" s="5">
        <f t="shared" si="18"/>
        <v>0</v>
      </c>
      <c r="W23" s="1"/>
      <c r="X23" s="1">
        <f t="shared" si="19"/>
        <v>702.51</v>
      </c>
      <c r="Y23" s="1"/>
      <c r="Z23" s="5">
        <f t="shared" si="20"/>
        <v>0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3"/>
        <v>0</v>
      </c>
      <c r="G24" s="2"/>
      <c r="H24" s="7">
        <v>0</v>
      </c>
      <c r="I24" s="2"/>
      <c r="J24" s="6">
        <f t="shared" si="14"/>
        <v>0</v>
      </c>
      <c r="K24" s="2"/>
      <c r="L24" s="7">
        <f t="shared" si="15"/>
        <v>0</v>
      </c>
      <c r="M24" s="2"/>
      <c r="N24" s="6">
        <f t="shared" si="16"/>
        <v>0</v>
      </c>
      <c r="O24" s="11"/>
      <c r="P24" s="7"/>
      <c r="Q24" s="2"/>
      <c r="R24" s="6">
        <f t="shared" si="17"/>
        <v>0</v>
      </c>
      <c r="S24" s="2"/>
      <c r="T24" s="7">
        <v>0</v>
      </c>
      <c r="U24" s="2"/>
      <c r="V24" s="6">
        <f t="shared" si="18"/>
        <v>0</v>
      </c>
      <c r="W24" s="2"/>
      <c r="X24" s="7">
        <f t="shared" si="19"/>
        <v>0</v>
      </c>
      <c r="Y24" s="2"/>
      <c r="Z24" s="6">
        <f t="shared" si="20"/>
        <v>0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3"/>
        <v>0</v>
      </c>
      <c r="G25" s="2"/>
      <c r="H25" s="7">
        <v>0</v>
      </c>
      <c r="I25" s="2"/>
      <c r="J25" s="6">
        <f t="shared" si="14"/>
        <v>0</v>
      </c>
      <c r="K25" s="2"/>
      <c r="L25" s="7">
        <f t="shared" si="15"/>
        <v>0</v>
      </c>
      <c r="M25" s="2"/>
      <c r="N25" s="6">
        <f t="shared" si="16"/>
        <v>0</v>
      </c>
      <c r="O25" s="11"/>
      <c r="P25" s="7"/>
      <c r="Q25" s="2"/>
      <c r="R25" s="6">
        <f t="shared" si="17"/>
        <v>0</v>
      </c>
      <c r="S25" s="2"/>
      <c r="T25" s="7">
        <v>0</v>
      </c>
      <c r="U25" s="2"/>
      <c r="V25" s="6">
        <f t="shared" si="18"/>
        <v>0</v>
      </c>
      <c r="W25" s="2"/>
      <c r="X25" s="7">
        <f t="shared" si="19"/>
        <v>0</v>
      </c>
      <c r="Y25" s="2"/>
      <c r="Z25" s="6">
        <f t="shared" si="20"/>
        <v>0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3"/>
        <v>0</v>
      </c>
      <c r="G26" s="2"/>
      <c r="H26" s="7">
        <v>0</v>
      </c>
      <c r="I26" s="2"/>
      <c r="J26" s="6">
        <f t="shared" si="14"/>
        <v>0</v>
      </c>
      <c r="K26" s="2"/>
      <c r="L26" s="7">
        <f t="shared" si="15"/>
        <v>0</v>
      </c>
      <c r="M26" s="2"/>
      <c r="N26" s="6">
        <f t="shared" si="16"/>
        <v>0</v>
      </c>
      <c r="O26" s="11"/>
      <c r="P26" s="7">
        <v>702.51</v>
      </c>
      <c r="Q26" s="2"/>
      <c r="R26" s="6">
        <f t="shared" si="17"/>
        <v>0.72058959288549718</v>
      </c>
      <c r="S26" s="2"/>
      <c r="T26" s="7">
        <v>0</v>
      </c>
      <c r="U26" s="2"/>
      <c r="V26" s="6">
        <f t="shared" si="18"/>
        <v>0</v>
      </c>
      <c r="W26" s="2"/>
      <c r="X26" s="7">
        <f t="shared" si="19"/>
        <v>702.51</v>
      </c>
      <c r="Y26" s="2"/>
      <c r="Z26" s="6">
        <f t="shared" si="20"/>
        <v>0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3"/>
        <v>0</v>
      </c>
      <c r="G27" s="2"/>
      <c r="H27" s="7">
        <v>0</v>
      </c>
      <c r="I27" s="2"/>
      <c r="J27" s="6">
        <f t="shared" si="14"/>
        <v>0</v>
      </c>
      <c r="K27" s="2"/>
      <c r="L27" s="7">
        <f t="shared" si="15"/>
        <v>0</v>
      </c>
      <c r="M27" s="2"/>
      <c r="N27" s="6">
        <f t="shared" si="16"/>
        <v>0</v>
      </c>
      <c r="O27" s="11"/>
      <c r="P27" s="7"/>
      <c r="Q27" s="2"/>
      <c r="R27" s="6">
        <f t="shared" si="17"/>
        <v>0</v>
      </c>
      <c r="S27" s="2"/>
      <c r="T27" s="7">
        <v>0</v>
      </c>
      <c r="U27" s="2"/>
      <c r="V27" s="6">
        <f t="shared" si="18"/>
        <v>0</v>
      </c>
      <c r="W27" s="2"/>
      <c r="X27" s="7">
        <f t="shared" si="19"/>
        <v>0</v>
      </c>
      <c r="Y27" s="2"/>
      <c r="Z27" s="6">
        <f t="shared" si="20"/>
        <v>0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3"/>
        <v>0</v>
      </c>
      <c r="G28" s="2"/>
      <c r="H28" s="7">
        <v>0</v>
      </c>
      <c r="I28" s="2"/>
      <c r="J28" s="6">
        <f t="shared" si="14"/>
        <v>0</v>
      </c>
      <c r="K28" s="2"/>
      <c r="L28" s="7">
        <f t="shared" si="15"/>
        <v>0</v>
      </c>
      <c r="M28" s="2"/>
      <c r="N28" s="6">
        <f t="shared" si="16"/>
        <v>0</v>
      </c>
      <c r="O28" s="11"/>
      <c r="P28" s="7"/>
      <c r="Q28" s="2"/>
      <c r="R28" s="6">
        <f t="shared" si="17"/>
        <v>0</v>
      </c>
      <c r="S28" s="2"/>
      <c r="T28" s="7">
        <v>0</v>
      </c>
      <c r="U28" s="2"/>
      <c r="V28" s="6">
        <f t="shared" si="18"/>
        <v>0</v>
      </c>
      <c r="W28" s="2"/>
      <c r="X28" s="7">
        <f t="shared" si="19"/>
        <v>0</v>
      </c>
      <c r="Y28" s="2"/>
      <c r="Z28" s="6">
        <f t="shared" si="20"/>
        <v>0</v>
      </c>
    </row>
    <row r="29" spans="1:26" s="24" customFormat="1" hidden="1" outlineLevel="2" x14ac:dyDescent="0.25">
      <c r="A29" s="29"/>
      <c r="B29" s="11" t="str">
        <f>CONCATENATE("          ", "6116", " - ", "EDUCATIONAL BENEFITS")</f>
        <v xml:space="preserve">          6116 - EDUCATIONAL BENEFITS</v>
      </c>
      <c r="C29" s="11"/>
      <c r="D29" s="7"/>
      <c r="E29" s="2"/>
      <c r="F29" s="6">
        <f t="shared" si="13"/>
        <v>0</v>
      </c>
      <c r="G29" s="2"/>
      <c r="H29" s="7">
        <v>0</v>
      </c>
      <c r="I29" s="2"/>
      <c r="J29" s="6">
        <f t="shared" si="14"/>
        <v>0</v>
      </c>
      <c r="K29" s="2"/>
      <c r="L29" s="7">
        <f t="shared" si="15"/>
        <v>0</v>
      </c>
      <c r="M29" s="2"/>
      <c r="N29" s="6">
        <f t="shared" si="16"/>
        <v>0</v>
      </c>
      <c r="O29" s="11"/>
      <c r="P29" s="7"/>
      <c r="Q29" s="2"/>
      <c r="R29" s="6">
        <f t="shared" si="17"/>
        <v>0</v>
      </c>
      <c r="S29" s="2"/>
      <c r="T29" s="7">
        <v>0</v>
      </c>
      <c r="U29" s="2"/>
      <c r="V29" s="6">
        <f t="shared" si="18"/>
        <v>0</v>
      </c>
      <c r="W29" s="2"/>
      <c r="X29" s="7">
        <f t="shared" si="19"/>
        <v>0</v>
      </c>
      <c r="Y29" s="2"/>
      <c r="Z29" s="6">
        <f t="shared" si="20"/>
        <v>0</v>
      </c>
    </row>
    <row r="30" spans="1:26" s="24" customFormat="1" hidden="1" outlineLevel="2" x14ac:dyDescent="0.25">
      <c r="A30" s="29"/>
      <c r="B30" s="11" t="str">
        <f>CONCATENATE("          ", "6118", " - ", "VACATION")</f>
        <v xml:space="preserve">          6118 - VACATION</v>
      </c>
      <c r="C30" s="11"/>
      <c r="D30" s="7"/>
      <c r="E30" s="2"/>
      <c r="F30" s="6">
        <f t="shared" si="13"/>
        <v>0</v>
      </c>
      <c r="G30" s="2"/>
      <c r="H30" s="7">
        <v>0</v>
      </c>
      <c r="I30" s="2"/>
      <c r="J30" s="6">
        <f t="shared" si="14"/>
        <v>0</v>
      </c>
      <c r="K30" s="2"/>
      <c r="L30" s="7">
        <f t="shared" si="15"/>
        <v>0</v>
      </c>
      <c r="M30" s="2"/>
      <c r="N30" s="6">
        <f t="shared" si="16"/>
        <v>0</v>
      </c>
      <c r="O30" s="11"/>
      <c r="P30" s="7"/>
      <c r="Q30" s="2"/>
      <c r="R30" s="6">
        <f t="shared" si="17"/>
        <v>0</v>
      </c>
      <c r="S30" s="2"/>
      <c r="T30" s="7">
        <v>0</v>
      </c>
      <c r="U30" s="2"/>
      <c r="V30" s="6">
        <f t="shared" si="18"/>
        <v>0</v>
      </c>
      <c r="W30" s="2"/>
      <c r="X30" s="7">
        <f t="shared" si="19"/>
        <v>0</v>
      </c>
      <c r="Y30" s="2"/>
      <c r="Z30" s="6">
        <f t="shared" si="20"/>
        <v>0</v>
      </c>
    </row>
    <row r="31" spans="1:26" s="24" customFormat="1" hidden="1" outlineLevel="2" x14ac:dyDescent="0.25">
      <c r="A31" s="29"/>
      <c r="B31" s="11" t="str">
        <f>CONCATENATE("          ", "6119", " - ", "SICK LEAVE")</f>
        <v xml:space="preserve">          6119 - SICK LEAVE</v>
      </c>
      <c r="C31" s="11"/>
      <c r="D31" s="7"/>
      <c r="E31" s="2"/>
      <c r="F31" s="6">
        <f t="shared" si="13"/>
        <v>0</v>
      </c>
      <c r="G31" s="2"/>
      <c r="H31" s="7">
        <v>0</v>
      </c>
      <c r="I31" s="2"/>
      <c r="J31" s="6">
        <f t="shared" si="14"/>
        <v>0</v>
      </c>
      <c r="K31" s="2"/>
      <c r="L31" s="7">
        <f t="shared" si="15"/>
        <v>0</v>
      </c>
      <c r="M31" s="2"/>
      <c r="N31" s="6">
        <f t="shared" si="16"/>
        <v>0</v>
      </c>
      <c r="O31" s="11"/>
      <c r="P31" s="7"/>
      <c r="Q31" s="2"/>
      <c r="R31" s="6">
        <f t="shared" si="17"/>
        <v>0</v>
      </c>
      <c r="S31" s="2"/>
      <c r="T31" s="7">
        <v>0</v>
      </c>
      <c r="U31" s="2"/>
      <c r="V31" s="6">
        <f t="shared" si="18"/>
        <v>0</v>
      </c>
      <c r="W31" s="2"/>
      <c r="X31" s="7">
        <f t="shared" si="19"/>
        <v>0</v>
      </c>
      <c r="Y31" s="2"/>
      <c r="Z31" s="6">
        <f t="shared" si="20"/>
        <v>0</v>
      </c>
    </row>
    <row r="32" spans="1:26" s="24" customFormat="1" hidden="1" outlineLevel="2" x14ac:dyDescent="0.25">
      <c r="A32" s="29"/>
      <c r="B32" s="11" t="str">
        <f>CONCATENATE("          ", "6156", " - ", "EMPLOYEE MEALS")</f>
        <v xml:space="preserve">          6156 - EMPLOYEE MEALS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8" customFormat="1" outlineLevel="1" collapsed="1" x14ac:dyDescent="0.25">
      <c r="A33" s="27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0</v>
      </c>
      <c r="E33" s="1"/>
      <c r="F33" s="5">
        <f t="shared" ref="F33:F43" si="21">IF(D$12=0,0,D33/D$12)</f>
        <v>0</v>
      </c>
      <c r="G33" s="1"/>
      <c r="H33" s="1">
        <f>SUM(OSRRefH22_1x_0)</f>
        <v>0</v>
      </c>
      <c r="I33" s="1"/>
      <c r="J33" s="5">
        <f t="shared" ref="J33:J43" si="22">IF(H$12=0,0,H33/H$12)</f>
        <v>0</v>
      </c>
      <c r="K33" s="1"/>
      <c r="L33" s="1">
        <f t="shared" ref="L33:L43" si="23">+D33-H33</f>
        <v>0</v>
      </c>
      <c r="M33" s="1"/>
      <c r="N33" s="5">
        <f t="shared" ref="N33:N43" si="24">IF(H33=0,0,L33/H33)</f>
        <v>0</v>
      </c>
      <c r="O33" s="14"/>
      <c r="P33" s="1">
        <f>SUM(OSRRefP22_1x_0)</f>
        <v>0</v>
      </c>
      <c r="Q33" s="1"/>
      <c r="R33" s="5">
        <f t="shared" ref="R33:R43" si="25">IF(P$12=0,0,P33/P$12)</f>
        <v>0</v>
      </c>
      <c r="S33" s="1"/>
      <c r="T33" s="1">
        <f>SUM(OSRRefT22_1x_0)</f>
        <v>0</v>
      </c>
      <c r="U33" s="1"/>
      <c r="V33" s="5">
        <f t="shared" ref="V33:V43" si="26">IF(T$12=0,0,T33/T$12)</f>
        <v>0</v>
      </c>
      <c r="W33" s="1"/>
      <c r="X33" s="1">
        <f t="shared" ref="X33:X43" si="27">+P33-T33</f>
        <v>0</v>
      </c>
      <c r="Y33" s="1"/>
      <c r="Z33" s="5">
        <f t="shared" ref="Z33:Z43" si="28">IF(T33=0,0,X33/T33)</f>
        <v>0</v>
      </c>
    </row>
    <row r="34" spans="1:26" s="24" customFormat="1" hidden="1" outlineLevel="2" x14ac:dyDescent="0.25">
      <c r="A34" s="29"/>
      <c r="B34" s="11" t="str">
        <f>CONCATENATE("          ", "6001", " - ", "ADMINISTRATIVE SALARIES")</f>
        <v xml:space="preserve">          6001 - ADMINISTRATIVE SALARIES</v>
      </c>
      <c r="C34" s="11"/>
      <c r="D34" s="7"/>
      <c r="E34" s="2"/>
      <c r="F34" s="6">
        <f t="shared" si="21"/>
        <v>0</v>
      </c>
      <c r="G34" s="2"/>
      <c r="H34" s="7">
        <v>0</v>
      </c>
      <c r="I34" s="2"/>
      <c r="J34" s="6">
        <f t="shared" si="22"/>
        <v>0</v>
      </c>
      <c r="K34" s="2"/>
      <c r="L34" s="7">
        <f t="shared" si="23"/>
        <v>0</v>
      </c>
      <c r="M34" s="2"/>
      <c r="N34" s="6">
        <f t="shared" si="24"/>
        <v>0</v>
      </c>
      <c r="O34" s="11"/>
      <c r="P34" s="7"/>
      <c r="Q34" s="2"/>
      <c r="R34" s="6">
        <f t="shared" si="25"/>
        <v>0</v>
      </c>
      <c r="S34" s="2"/>
      <c r="T34" s="7">
        <v>0</v>
      </c>
      <c r="U34" s="2"/>
      <c r="V34" s="6">
        <f t="shared" si="26"/>
        <v>0</v>
      </c>
      <c r="W34" s="2"/>
      <c r="X34" s="7">
        <f t="shared" si="27"/>
        <v>0</v>
      </c>
      <c r="Y34" s="2"/>
      <c r="Z34" s="6">
        <f t="shared" si="28"/>
        <v>0</v>
      </c>
    </row>
    <row r="35" spans="1:26" s="24" customFormat="1" hidden="1" outlineLevel="2" x14ac:dyDescent="0.25">
      <c r="A35" s="29"/>
      <c r="B35" s="11" t="str">
        <f>CONCATENATE("          ", "6002", " - ", "STAFF SALARIES")</f>
        <v xml:space="preserve">          6002 - STAFF SALARIES</v>
      </c>
      <c r="C35" s="11"/>
      <c r="D35" s="7"/>
      <c r="E35" s="2"/>
      <c r="F35" s="6">
        <f t="shared" si="21"/>
        <v>0</v>
      </c>
      <c r="G35" s="2"/>
      <c r="H35" s="7">
        <v>0</v>
      </c>
      <c r="I35" s="2"/>
      <c r="J35" s="6">
        <f t="shared" si="22"/>
        <v>0</v>
      </c>
      <c r="K35" s="2"/>
      <c r="L35" s="7">
        <f t="shared" si="23"/>
        <v>0</v>
      </c>
      <c r="M35" s="2"/>
      <c r="N35" s="6">
        <f t="shared" si="24"/>
        <v>0</v>
      </c>
      <c r="O35" s="11"/>
      <c r="P35" s="7"/>
      <c r="Q35" s="2"/>
      <c r="R35" s="6">
        <f t="shared" si="25"/>
        <v>0</v>
      </c>
      <c r="S35" s="2"/>
      <c r="T35" s="7">
        <v>0</v>
      </c>
      <c r="U35" s="2"/>
      <c r="V35" s="6">
        <f t="shared" si="26"/>
        <v>0</v>
      </c>
      <c r="W35" s="2"/>
      <c r="X35" s="7">
        <f t="shared" si="27"/>
        <v>0</v>
      </c>
      <c r="Y35" s="2"/>
      <c r="Z35" s="6">
        <f t="shared" si="28"/>
        <v>0</v>
      </c>
    </row>
    <row r="36" spans="1:26" s="24" customFormat="1" hidden="1" outlineLevel="2" x14ac:dyDescent="0.25">
      <c r="A36" s="29"/>
      <c r="B36" s="11" t="str">
        <f>CONCATENATE("          ", "6003", " - ", "STAFF HOURLY-9 MONTH")</f>
        <v xml:space="preserve">          6003 - STAFF HOURLY-9 MONTH</v>
      </c>
      <c r="C36" s="11"/>
      <c r="D36" s="7"/>
      <c r="E36" s="2"/>
      <c r="F36" s="6">
        <f t="shared" si="21"/>
        <v>0</v>
      </c>
      <c r="G36" s="2"/>
      <c r="H36" s="7">
        <v>0</v>
      </c>
      <c r="I36" s="2"/>
      <c r="J36" s="6">
        <f t="shared" si="22"/>
        <v>0</v>
      </c>
      <c r="K36" s="2"/>
      <c r="L36" s="7">
        <f t="shared" si="23"/>
        <v>0</v>
      </c>
      <c r="M36" s="2"/>
      <c r="N36" s="6">
        <f t="shared" si="24"/>
        <v>0</v>
      </c>
      <c r="O36" s="11"/>
      <c r="P36" s="7"/>
      <c r="Q36" s="2"/>
      <c r="R36" s="6">
        <f t="shared" si="25"/>
        <v>0</v>
      </c>
      <c r="S36" s="2"/>
      <c r="T36" s="7">
        <v>0</v>
      </c>
      <c r="U36" s="2"/>
      <c r="V36" s="6">
        <f t="shared" si="26"/>
        <v>0</v>
      </c>
      <c r="W36" s="2"/>
      <c r="X36" s="7">
        <f t="shared" si="27"/>
        <v>0</v>
      </c>
      <c r="Y36" s="2"/>
      <c r="Z36" s="6">
        <f t="shared" si="28"/>
        <v>0</v>
      </c>
    </row>
    <row r="37" spans="1:26" s="24" customFormat="1" hidden="1" outlineLevel="2" x14ac:dyDescent="0.25">
      <c r="A37" s="29"/>
      <c r="B37" s="11" t="str">
        <f>CONCATENATE("          ", "6004", " - ", "STAFF HOURLY")</f>
        <v xml:space="preserve">          6004 - STAFF HOURLY</v>
      </c>
      <c r="C37" s="11"/>
      <c r="D37" s="7"/>
      <c r="E37" s="2"/>
      <c r="F37" s="6">
        <f t="shared" si="21"/>
        <v>0</v>
      </c>
      <c r="G37" s="2"/>
      <c r="H37" s="7">
        <v>0</v>
      </c>
      <c r="I37" s="2"/>
      <c r="J37" s="6">
        <f t="shared" si="22"/>
        <v>0</v>
      </c>
      <c r="K37" s="2"/>
      <c r="L37" s="7">
        <f t="shared" si="23"/>
        <v>0</v>
      </c>
      <c r="M37" s="2"/>
      <c r="N37" s="6">
        <f t="shared" si="24"/>
        <v>0</v>
      </c>
      <c r="O37" s="11"/>
      <c r="P37" s="7"/>
      <c r="Q37" s="2"/>
      <c r="R37" s="6">
        <f t="shared" si="25"/>
        <v>0</v>
      </c>
      <c r="S37" s="2"/>
      <c r="T37" s="7">
        <v>0</v>
      </c>
      <c r="U37" s="2"/>
      <c r="V37" s="6">
        <f t="shared" si="26"/>
        <v>0</v>
      </c>
      <c r="W37" s="2"/>
      <c r="X37" s="7">
        <f t="shared" si="27"/>
        <v>0</v>
      </c>
      <c r="Y37" s="2"/>
      <c r="Z37" s="6">
        <f t="shared" si="28"/>
        <v>0</v>
      </c>
    </row>
    <row r="38" spans="1:26" s="24" customFormat="1" hidden="1" outlineLevel="2" x14ac:dyDescent="0.25">
      <c r="A38" s="29"/>
      <c r="B38" s="11" t="str">
        <f>CONCATENATE("          ", "6005", " - ", "TEMPORARY WAGES-HOURLY")</f>
        <v xml:space="preserve">          6005 - TEMPORARY WAGES-HOURLY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9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1"/>
        <v>0</v>
      </c>
      <c r="G39" s="2"/>
      <c r="H39" s="7">
        <v>0</v>
      </c>
      <c r="I39" s="2"/>
      <c r="J39" s="6">
        <f t="shared" si="22"/>
        <v>0</v>
      </c>
      <c r="K39" s="2"/>
      <c r="L39" s="7">
        <f t="shared" si="23"/>
        <v>0</v>
      </c>
      <c r="M39" s="2"/>
      <c r="N39" s="6">
        <f t="shared" si="24"/>
        <v>0</v>
      </c>
      <c r="O39" s="11"/>
      <c r="P39" s="7"/>
      <c r="Q39" s="2"/>
      <c r="R39" s="6">
        <f t="shared" si="25"/>
        <v>0</v>
      </c>
      <c r="S39" s="2"/>
      <c r="T39" s="7">
        <v>0</v>
      </c>
      <c r="U39" s="2"/>
      <c r="V39" s="6">
        <f t="shared" si="26"/>
        <v>0</v>
      </c>
      <c r="W39" s="2"/>
      <c r="X39" s="7">
        <f t="shared" si="27"/>
        <v>0</v>
      </c>
      <c r="Y39" s="2"/>
      <c r="Z39" s="6">
        <f t="shared" si="28"/>
        <v>0</v>
      </c>
    </row>
    <row r="40" spans="1:26" s="24" customFormat="1" hidden="1" outlineLevel="2" x14ac:dyDescent="0.25">
      <c r="A40" s="29"/>
      <c r="B40" s="11" t="str">
        <f>CONCATENATE("          ", "6007", " - ", "STUDENT HOURLY")</f>
        <v xml:space="preserve">          6007 - STUDENT HOURLY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9"/>
      <c r="B41" s="11" t="str">
        <f>CONCATENATE("          ", "6008", " - ", "STUDENT HOURLY-FICA EXEMPT")</f>
        <v xml:space="preserve">          6008 - STUDENT HOURLY-FICA EXEMPT</v>
      </c>
      <c r="C41" s="11"/>
      <c r="D41" s="7"/>
      <c r="E41" s="2"/>
      <c r="F41" s="6">
        <f t="shared" si="21"/>
        <v>0</v>
      </c>
      <c r="G41" s="2"/>
      <c r="H41" s="7">
        <v>0</v>
      </c>
      <c r="I41" s="2"/>
      <c r="J41" s="6">
        <f t="shared" si="22"/>
        <v>0</v>
      </c>
      <c r="K41" s="2"/>
      <c r="L41" s="7">
        <f t="shared" si="23"/>
        <v>0</v>
      </c>
      <c r="M41" s="2"/>
      <c r="N41" s="6">
        <f t="shared" si="24"/>
        <v>0</v>
      </c>
      <c r="O41" s="11"/>
      <c r="P41" s="7"/>
      <c r="Q41" s="2"/>
      <c r="R41" s="6">
        <f t="shared" si="25"/>
        <v>0</v>
      </c>
      <c r="S41" s="2"/>
      <c r="T41" s="7">
        <v>0</v>
      </c>
      <c r="U41" s="2"/>
      <c r="V41" s="6">
        <f t="shared" si="26"/>
        <v>0</v>
      </c>
      <c r="W41" s="2"/>
      <c r="X41" s="7">
        <f t="shared" si="27"/>
        <v>0</v>
      </c>
      <c r="Y41" s="2"/>
      <c r="Z41" s="6">
        <f t="shared" si="28"/>
        <v>0</v>
      </c>
    </row>
    <row r="42" spans="1:26" s="24" customFormat="1" hidden="1" outlineLevel="2" x14ac:dyDescent="0.25">
      <c r="A42" s="29"/>
      <c r="B42" s="11" t="str">
        <f>CONCATENATE("          ", "6009", " - ", "TEMPORARY-SEASONAL")</f>
        <v xml:space="preserve">          6009 - TEMPORARY-SEASONAL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/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9"/>
      <c r="B43" s="11" t="str">
        <f>CONCATENATE("          ", "6010", " - ", "GRATUITY")</f>
        <v xml:space="preserve">          6010 - GRATUITY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8" customFormat="1" outlineLevel="1" collapsed="1" x14ac:dyDescent="0.25">
      <c r="A44" s="27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8" si="29">IF(D$12=0,0,D44/D$12)</f>
        <v>0</v>
      </c>
      <c r="G44" s="1"/>
      <c r="H44" s="1">
        <f>SUM(OSRRefH22_2x_0)</f>
        <v>0</v>
      </c>
      <c r="I44" s="1"/>
      <c r="J44" s="5">
        <f t="shared" ref="J44:J58" si="30">IF(H$12=0,0,H44/H$12)</f>
        <v>0</v>
      </c>
      <c r="K44" s="1"/>
      <c r="L44" s="1">
        <f t="shared" ref="L44:L58" si="31">+D44-H44</f>
        <v>0</v>
      </c>
      <c r="M44" s="1"/>
      <c r="N44" s="5">
        <f t="shared" ref="N44:N58" si="32">IF(H44=0,0,L44/H44)</f>
        <v>0</v>
      </c>
      <c r="O44" s="14"/>
      <c r="P44" s="1">
        <f>SUM(OSRRefP22_2x_0)</f>
        <v>0</v>
      </c>
      <c r="Q44" s="1"/>
      <c r="R44" s="5">
        <f t="shared" ref="R44:R58" si="33">IF(P$12=0,0,P44/P$12)</f>
        <v>0</v>
      </c>
      <c r="S44" s="1"/>
      <c r="T44" s="1">
        <f>SUM(OSRRefT22_2x_0)</f>
        <v>0</v>
      </c>
      <c r="U44" s="1"/>
      <c r="V44" s="5">
        <f t="shared" ref="V44:V58" si="34">IF(T$12=0,0,T44/T$12)</f>
        <v>0</v>
      </c>
      <c r="W44" s="1"/>
      <c r="X44" s="1">
        <f t="shared" ref="X44:X58" si="35">+P44-T44</f>
        <v>0</v>
      </c>
      <c r="Y44" s="1"/>
      <c r="Z44" s="5">
        <f t="shared" ref="Z44:Z58" si="36">IF(T44=0,0,X44/T44)</f>
        <v>0</v>
      </c>
    </row>
    <row r="45" spans="1:26" s="24" customFormat="1" hidden="1" outlineLevel="2" x14ac:dyDescent="0.25">
      <c r="A45" s="29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29"/>
        <v>0</v>
      </c>
      <c r="G45" s="2"/>
      <c r="H45" s="7">
        <v>0</v>
      </c>
      <c r="I45" s="2"/>
      <c r="J45" s="6">
        <f t="shared" si="30"/>
        <v>0</v>
      </c>
      <c r="K45" s="2"/>
      <c r="L45" s="7">
        <f t="shared" si="31"/>
        <v>0</v>
      </c>
      <c r="M45" s="2"/>
      <c r="N45" s="6">
        <f t="shared" si="32"/>
        <v>0</v>
      </c>
      <c r="O45" s="11"/>
      <c r="P45" s="7"/>
      <c r="Q45" s="2"/>
      <c r="R45" s="6">
        <f t="shared" si="33"/>
        <v>0</v>
      </c>
      <c r="S45" s="2"/>
      <c r="T45" s="7">
        <v>0</v>
      </c>
      <c r="U45" s="2"/>
      <c r="V45" s="6">
        <f t="shared" si="34"/>
        <v>0</v>
      </c>
      <c r="W45" s="2"/>
      <c r="X45" s="7">
        <f t="shared" si="35"/>
        <v>0</v>
      </c>
      <c r="Y45" s="2"/>
      <c r="Z45" s="6">
        <f t="shared" si="36"/>
        <v>0</v>
      </c>
    </row>
    <row r="46" spans="1:26" s="28" customFormat="1" outlineLevel="1" collapsed="1" x14ac:dyDescent="0.25">
      <c r="A46" s="27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SUM(OSRRefD22_3x_0)</f>
        <v>0</v>
      </c>
      <c r="E46" s="1"/>
      <c r="F46" s="5">
        <f t="shared" si="29"/>
        <v>0</v>
      </c>
      <c r="G46" s="1"/>
      <c r="H46" s="1">
        <f>SUM(OSRRefH22_3x_0)</f>
        <v>0</v>
      </c>
      <c r="I46" s="1"/>
      <c r="J46" s="5">
        <f t="shared" si="30"/>
        <v>0</v>
      </c>
      <c r="K46" s="1"/>
      <c r="L46" s="1">
        <f t="shared" si="31"/>
        <v>0</v>
      </c>
      <c r="M46" s="1"/>
      <c r="N46" s="5">
        <f t="shared" si="32"/>
        <v>0</v>
      </c>
      <c r="O46" s="14"/>
      <c r="P46" s="1">
        <f>SUM(OSRRefP22_3x_0)</f>
        <v>0</v>
      </c>
      <c r="Q46" s="1"/>
      <c r="R46" s="5">
        <f t="shared" si="33"/>
        <v>0</v>
      </c>
      <c r="S46" s="1"/>
      <c r="T46" s="1">
        <f>SUM(OSRRefT22_3x_0)</f>
        <v>0</v>
      </c>
      <c r="U46" s="1"/>
      <c r="V46" s="5">
        <f t="shared" si="34"/>
        <v>0</v>
      </c>
      <c r="W46" s="1"/>
      <c r="X46" s="1">
        <f t="shared" si="35"/>
        <v>0</v>
      </c>
      <c r="Y46" s="1"/>
      <c r="Z46" s="5">
        <f t="shared" si="36"/>
        <v>0</v>
      </c>
    </row>
    <row r="47" spans="1:26" s="24" customFormat="1" hidden="1" outlineLevel="2" x14ac:dyDescent="0.25">
      <c r="A47" s="29"/>
      <c r="B47" s="11" t="str">
        <f>CONCATENATE("          ", "6381", " - ", "BANK/CREDIT CARD FEES")</f>
        <v xml:space="preserve">          6381 - BANK/CREDIT CARD FEES</v>
      </c>
      <c r="C47" s="11"/>
      <c r="D47" s="7"/>
      <c r="E47" s="2"/>
      <c r="F47" s="6">
        <f t="shared" si="29"/>
        <v>0</v>
      </c>
      <c r="G47" s="2"/>
      <c r="H47" s="7">
        <v>0</v>
      </c>
      <c r="I47" s="2"/>
      <c r="J47" s="6">
        <f t="shared" si="30"/>
        <v>0</v>
      </c>
      <c r="K47" s="2"/>
      <c r="L47" s="7">
        <f t="shared" si="31"/>
        <v>0</v>
      </c>
      <c r="M47" s="2"/>
      <c r="N47" s="6">
        <f t="shared" si="32"/>
        <v>0</v>
      </c>
      <c r="O47" s="11"/>
      <c r="P47" s="7"/>
      <c r="Q47" s="2"/>
      <c r="R47" s="6">
        <f t="shared" si="33"/>
        <v>0</v>
      </c>
      <c r="S47" s="2"/>
      <c r="T47" s="7">
        <v>0</v>
      </c>
      <c r="U47" s="2"/>
      <c r="V47" s="6">
        <f t="shared" si="34"/>
        <v>0</v>
      </c>
      <c r="W47" s="2"/>
      <c r="X47" s="7">
        <f t="shared" si="35"/>
        <v>0</v>
      </c>
      <c r="Y47" s="2"/>
      <c r="Z47" s="6">
        <f t="shared" si="36"/>
        <v>0</v>
      </c>
    </row>
    <row r="48" spans="1:26" s="28" customFormat="1" outlineLevel="1" collapsed="1" x14ac:dyDescent="0.25">
      <c r="A48" s="27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SUM(OSRRefD22_4x_0)</f>
        <v>1825.26</v>
      </c>
      <c r="E48" s="1"/>
      <c r="F48" s="5">
        <f t="shared" si="29"/>
        <v>0</v>
      </c>
      <c r="G48" s="1"/>
      <c r="H48" s="1">
        <f>SUM(OSRRefH22_4x_0)</f>
        <v>1972</v>
      </c>
      <c r="I48" s="1"/>
      <c r="J48" s="5">
        <f t="shared" si="30"/>
        <v>0</v>
      </c>
      <c r="K48" s="1"/>
      <c r="L48" s="1">
        <f t="shared" si="31"/>
        <v>-146.74</v>
      </c>
      <c r="M48" s="1"/>
      <c r="N48" s="5">
        <f t="shared" si="32"/>
        <v>-7.4411764705882358E-2</v>
      </c>
      <c r="O48" s="14"/>
      <c r="P48" s="1">
        <f>SUM(OSRRefP22_4x_0)</f>
        <v>11098.35</v>
      </c>
      <c r="Q48" s="1"/>
      <c r="R48" s="5">
        <f t="shared" si="33"/>
        <v>11.383973905283565</v>
      </c>
      <c r="S48" s="1"/>
      <c r="T48" s="1">
        <f>SUM(OSRRefT22_4x_0)</f>
        <v>11832</v>
      </c>
      <c r="U48" s="1"/>
      <c r="V48" s="5">
        <f t="shared" si="34"/>
        <v>0</v>
      </c>
      <c r="W48" s="1"/>
      <c r="X48" s="1">
        <f t="shared" si="35"/>
        <v>-733.64999999999964</v>
      </c>
      <c r="Y48" s="1"/>
      <c r="Z48" s="5">
        <f t="shared" si="36"/>
        <v>-6.2005578093306257E-2</v>
      </c>
    </row>
    <row r="49" spans="1:26" s="24" customFormat="1" hidden="1" outlineLevel="2" x14ac:dyDescent="0.25">
      <c r="A49" s="29"/>
      <c r="B49" s="11" t="str">
        <f>CONCATENATE("          ", "6322", " - ", "EQUIPMENT DEPRECIATION EXPENSE")</f>
        <v xml:space="preserve">          6322 - EQUIPMENT DEPRECIATION EXPENSE</v>
      </c>
      <c r="C49" s="11"/>
      <c r="D49" s="7">
        <v>1825.26</v>
      </c>
      <c r="E49" s="2"/>
      <c r="F49" s="6">
        <f t="shared" si="29"/>
        <v>0</v>
      </c>
      <c r="G49" s="2"/>
      <c r="H49" s="7">
        <v>1972</v>
      </c>
      <c r="I49" s="2"/>
      <c r="J49" s="6">
        <f t="shared" si="30"/>
        <v>0</v>
      </c>
      <c r="K49" s="2"/>
      <c r="L49" s="7">
        <f t="shared" si="31"/>
        <v>-146.74</v>
      </c>
      <c r="M49" s="2"/>
      <c r="N49" s="6">
        <f t="shared" si="32"/>
        <v>-7.4411764705882358E-2</v>
      </c>
      <c r="O49" s="11"/>
      <c r="P49" s="7">
        <v>11098.35</v>
      </c>
      <c r="Q49" s="2"/>
      <c r="R49" s="6">
        <f t="shared" si="33"/>
        <v>11.383973905283565</v>
      </c>
      <c r="S49" s="2"/>
      <c r="T49" s="7">
        <v>11832</v>
      </c>
      <c r="U49" s="2"/>
      <c r="V49" s="6">
        <f t="shared" si="34"/>
        <v>0</v>
      </c>
      <c r="W49" s="2"/>
      <c r="X49" s="7">
        <f t="shared" si="35"/>
        <v>-733.64999999999964</v>
      </c>
      <c r="Y49" s="2"/>
      <c r="Z49" s="6">
        <f t="shared" si="36"/>
        <v>-6.2005578093306257E-2</v>
      </c>
    </row>
    <row r="50" spans="1:26" s="28" customFormat="1" outlineLevel="1" collapsed="1" x14ac:dyDescent="0.25">
      <c r="A50" s="27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SUM(OSRRefD22_5x_0)</f>
        <v>0</v>
      </c>
      <c r="E50" s="1"/>
      <c r="F50" s="5">
        <f t="shared" si="29"/>
        <v>0</v>
      </c>
      <c r="G50" s="1"/>
      <c r="H50" s="1">
        <f>SUM(OSRRefH22_5x_0)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4"/>
      <c r="P50" s="1">
        <f>SUM(OSRRefP22_5x_0)</f>
        <v>0</v>
      </c>
      <c r="Q50" s="1"/>
      <c r="R50" s="5">
        <f t="shared" si="33"/>
        <v>0</v>
      </c>
      <c r="S50" s="1"/>
      <c r="T50" s="1">
        <f>SUM(OSRRefT22_5x_0)</f>
        <v>0</v>
      </c>
      <c r="U50" s="1"/>
      <c r="V50" s="5">
        <f t="shared" si="34"/>
        <v>0</v>
      </c>
      <c r="W50" s="1"/>
      <c r="X50" s="1">
        <f t="shared" si="35"/>
        <v>0</v>
      </c>
      <c r="Y50" s="1"/>
      <c r="Z50" s="5">
        <f t="shared" si="36"/>
        <v>0</v>
      </c>
    </row>
    <row r="51" spans="1:26" s="24" customFormat="1" hidden="1" outlineLevel="2" x14ac:dyDescent="0.25">
      <c r="A51" s="29"/>
      <c r="B51" s="11" t="str">
        <f>CONCATENATE("          ", "6277", " - ", "EMPLOYEE APPRECIATION")</f>
        <v xml:space="preserve">          6277 - EMPLOYEE APPRECIATION</v>
      </c>
      <c r="C51" s="11"/>
      <c r="D51" s="7"/>
      <c r="E51" s="2"/>
      <c r="F51" s="6">
        <f t="shared" si="29"/>
        <v>0</v>
      </c>
      <c r="G51" s="2"/>
      <c r="H51" s="7">
        <v>0</v>
      </c>
      <c r="I51" s="2"/>
      <c r="J51" s="6">
        <f t="shared" si="30"/>
        <v>0</v>
      </c>
      <c r="K51" s="2"/>
      <c r="L51" s="7">
        <f t="shared" si="31"/>
        <v>0</v>
      </c>
      <c r="M51" s="2"/>
      <c r="N51" s="6">
        <f t="shared" si="32"/>
        <v>0</v>
      </c>
      <c r="O51" s="11"/>
      <c r="P51" s="7"/>
      <c r="Q51" s="2"/>
      <c r="R51" s="6">
        <f t="shared" si="33"/>
        <v>0</v>
      </c>
      <c r="S51" s="2"/>
      <c r="T51" s="7">
        <v>0</v>
      </c>
      <c r="U51" s="2"/>
      <c r="V51" s="6">
        <f t="shared" si="34"/>
        <v>0</v>
      </c>
      <c r="W51" s="2"/>
      <c r="X51" s="7">
        <f t="shared" si="35"/>
        <v>0</v>
      </c>
      <c r="Y51" s="2"/>
      <c r="Z51" s="6">
        <f t="shared" si="36"/>
        <v>0</v>
      </c>
    </row>
    <row r="52" spans="1:26" s="28" customFormat="1" outlineLevel="1" collapsed="1" x14ac:dyDescent="0.25">
      <c r="A52" s="27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SUM(OSRRefD22_6x_0)</f>
        <v>0</v>
      </c>
      <c r="E52" s="1"/>
      <c r="F52" s="5">
        <f t="shared" si="29"/>
        <v>0</v>
      </c>
      <c r="G52" s="1"/>
      <c r="H52" s="1">
        <f>SUM(OSRRefH22_6x_0)</f>
        <v>0</v>
      </c>
      <c r="I52" s="1"/>
      <c r="J52" s="5">
        <f t="shared" si="30"/>
        <v>0</v>
      </c>
      <c r="K52" s="1"/>
      <c r="L52" s="1">
        <f t="shared" si="31"/>
        <v>0</v>
      </c>
      <c r="M52" s="1"/>
      <c r="N52" s="5">
        <f t="shared" si="32"/>
        <v>0</v>
      </c>
      <c r="O52" s="14"/>
      <c r="P52" s="1">
        <f>SUM(OSRRefP22_6x_0)</f>
        <v>96.3</v>
      </c>
      <c r="Q52" s="1"/>
      <c r="R52" s="5">
        <f t="shared" si="33"/>
        <v>9.8778348770655749E-2</v>
      </c>
      <c r="S52" s="1"/>
      <c r="T52" s="1">
        <f>SUM(OSRRefT22_6x_0)</f>
        <v>0</v>
      </c>
      <c r="U52" s="1"/>
      <c r="V52" s="5">
        <f t="shared" si="34"/>
        <v>0</v>
      </c>
      <c r="W52" s="1"/>
      <c r="X52" s="1">
        <f t="shared" si="35"/>
        <v>96.3</v>
      </c>
      <c r="Y52" s="1"/>
      <c r="Z52" s="5">
        <f t="shared" si="36"/>
        <v>0</v>
      </c>
    </row>
    <row r="53" spans="1:26" s="24" customFormat="1" hidden="1" outlineLevel="2" x14ac:dyDescent="0.25">
      <c r="A53" s="29"/>
      <c r="B53" s="11" t="str">
        <f>CONCATENATE("          ", "6351", " - ", "EQUIPMENT RENTAL")</f>
        <v xml:space="preserve">          6351 - EQUIPMENT RENTAL</v>
      </c>
      <c r="C53" s="11"/>
      <c r="D53" s="7"/>
      <c r="E53" s="2"/>
      <c r="F53" s="6">
        <f t="shared" si="29"/>
        <v>0</v>
      </c>
      <c r="G53" s="2"/>
      <c r="H53" s="7"/>
      <c r="I53" s="2"/>
      <c r="J53" s="6">
        <f t="shared" si="30"/>
        <v>0</v>
      </c>
      <c r="K53" s="2"/>
      <c r="L53" s="7">
        <f t="shared" si="31"/>
        <v>0</v>
      </c>
      <c r="M53" s="2"/>
      <c r="N53" s="6">
        <f t="shared" si="32"/>
        <v>0</v>
      </c>
      <c r="O53" s="11"/>
      <c r="P53" s="7">
        <v>96.3</v>
      </c>
      <c r="Q53" s="2"/>
      <c r="R53" s="6">
        <f t="shared" si="33"/>
        <v>9.8778348770655749E-2</v>
      </c>
      <c r="S53" s="2"/>
      <c r="T53" s="7"/>
      <c r="U53" s="2"/>
      <c r="V53" s="6">
        <f t="shared" si="34"/>
        <v>0</v>
      </c>
      <c r="W53" s="2"/>
      <c r="X53" s="7">
        <f t="shared" si="35"/>
        <v>96.3</v>
      </c>
      <c r="Y53" s="2"/>
      <c r="Z53" s="6">
        <f t="shared" si="36"/>
        <v>0</v>
      </c>
    </row>
    <row r="54" spans="1:26" s="28" customFormat="1" outlineLevel="1" collapsed="1" x14ac:dyDescent="0.25">
      <c r="A54" s="27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SUM(OSRRefD22_7x_0)</f>
        <v>0</v>
      </c>
      <c r="E54" s="1"/>
      <c r="F54" s="5">
        <f t="shared" si="29"/>
        <v>0</v>
      </c>
      <c r="G54" s="1"/>
      <c r="H54" s="1">
        <f>SUM(OSRRefH22_7x_0)</f>
        <v>0</v>
      </c>
      <c r="I54" s="1"/>
      <c r="J54" s="5">
        <f t="shared" si="30"/>
        <v>0</v>
      </c>
      <c r="K54" s="1"/>
      <c r="L54" s="1">
        <f t="shared" si="31"/>
        <v>0</v>
      </c>
      <c r="M54" s="1"/>
      <c r="N54" s="5">
        <f t="shared" si="32"/>
        <v>0</v>
      </c>
      <c r="O54" s="14"/>
      <c r="P54" s="1">
        <f>SUM(OSRRefP22_7x_0)</f>
        <v>7.28</v>
      </c>
      <c r="Q54" s="1"/>
      <c r="R54" s="5">
        <f t="shared" si="33"/>
        <v>7.467355961063073E-3</v>
      </c>
      <c r="S54" s="1"/>
      <c r="T54" s="1">
        <f>SUM(OSRRefT22_7x_0)</f>
        <v>0</v>
      </c>
      <c r="U54" s="1"/>
      <c r="V54" s="5">
        <f t="shared" si="34"/>
        <v>0</v>
      </c>
      <c r="W54" s="1"/>
      <c r="X54" s="1">
        <f t="shared" si="35"/>
        <v>7.28</v>
      </c>
      <c r="Y54" s="1"/>
      <c r="Z54" s="5">
        <f t="shared" si="36"/>
        <v>0</v>
      </c>
    </row>
    <row r="55" spans="1:26" s="24" customFormat="1" hidden="1" outlineLevel="2" x14ac:dyDescent="0.25">
      <c r="A55" s="29"/>
      <c r="B55" s="11" t="str">
        <f>CONCATENATE("          ", "6279", " - ", "GENERAL EXPENSE")</f>
        <v xml:space="preserve">          6279 - GENERAL EXPENSE</v>
      </c>
      <c r="C55" s="11"/>
      <c r="D55" s="7"/>
      <c r="E55" s="2"/>
      <c r="F55" s="6">
        <f t="shared" si="29"/>
        <v>0</v>
      </c>
      <c r="G55" s="2"/>
      <c r="H55" s="7"/>
      <c r="I55" s="2"/>
      <c r="J55" s="6">
        <f t="shared" si="30"/>
        <v>0</v>
      </c>
      <c r="K55" s="2"/>
      <c r="L55" s="7">
        <f t="shared" si="31"/>
        <v>0</v>
      </c>
      <c r="M55" s="2"/>
      <c r="N55" s="6">
        <f t="shared" si="32"/>
        <v>0</v>
      </c>
      <c r="O55" s="11"/>
      <c r="P55" s="7">
        <v>7.28</v>
      </c>
      <c r="Q55" s="2"/>
      <c r="R55" s="6">
        <f t="shared" si="33"/>
        <v>7.467355961063073E-3</v>
      </c>
      <c r="S55" s="2"/>
      <c r="T55" s="7">
        <v>0</v>
      </c>
      <c r="U55" s="2"/>
      <c r="V55" s="6">
        <f t="shared" si="34"/>
        <v>0</v>
      </c>
      <c r="W55" s="2"/>
      <c r="X55" s="7">
        <f t="shared" si="35"/>
        <v>7.28</v>
      </c>
      <c r="Y55" s="2"/>
      <c r="Z55" s="6">
        <f t="shared" si="36"/>
        <v>0</v>
      </c>
    </row>
    <row r="56" spans="1:26" s="28" customFormat="1" outlineLevel="1" collapsed="1" x14ac:dyDescent="0.25">
      <c r="A56" s="27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SUM(OSRRefD22_8x_0)</f>
        <v>129.58000000000001</v>
      </c>
      <c r="E56" s="1"/>
      <c r="F56" s="5">
        <f t="shared" si="29"/>
        <v>0</v>
      </c>
      <c r="G56" s="1"/>
      <c r="H56" s="1">
        <f>SUM(OSRRefH22_8x_0)</f>
        <v>0</v>
      </c>
      <c r="I56" s="1"/>
      <c r="J56" s="5">
        <f t="shared" si="30"/>
        <v>0</v>
      </c>
      <c r="K56" s="1"/>
      <c r="L56" s="1">
        <f t="shared" si="31"/>
        <v>129.58000000000001</v>
      </c>
      <c r="M56" s="1"/>
      <c r="N56" s="5">
        <f t="shared" si="32"/>
        <v>0</v>
      </c>
      <c r="O56" s="14"/>
      <c r="P56" s="1">
        <f>SUM(OSRRefP22_8x_0)</f>
        <v>498.46</v>
      </c>
      <c r="Q56" s="1"/>
      <c r="R56" s="5">
        <f t="shared" si="33"/>
        <v>0.51128822147685427</v>
      </c>
      <c r="S56" s="1"/>
      <c r="T56" s="1">
        <f>SUM(OSRRefT22_8x_0)</f>
        <v>0</v>
      </c>
      <c r="U56" s="1"/>
      <c r="V56" s="5">
        <f t="shared" si="34"/>
        <v>0</v>
      </c>
      <c r="W56" s="1"/>
      <c r="X56" s="1">
        <f t="shared" si="35"/>
        <v>498.46</v>
      </c>
      <c r="Y56" s="1"/>
      <c r="Z56" s="5">
        <f t="shared" si="36"/>
        <v>0</v>
      </c>
    </row>
    <row r="57" spans="1:26" s="24" customFormat="1" hidden="1" outlineLevel="2" x14ac:dyDescent="0.25">
      <c r="A57" s="29"/>
      <c r="B57" s="11" t="str">
        <f>CONCATENATE("          ", "6373", " - ", "MAINTENANCE CONTRACTS")</f>
        <v xml:space="preserve">          6373 - MAINTENANCE CONTRACTS</v>
      </c>
      <c r="C57" s="11"/>
      <c r="D57" s="7">
        <v>129.58000000000001</v>
      </c>
      <c r="E57" s="2"/>
      <c r="F57" s="6">
        <f t="shared" si="29"/>
        <v>0</v>
      </c>
      <c r="G57" s="2"/>
      <c r="H57" s="7"/>
      <c r="I57" s="2"/>
      <c r="J57" s="6">
        <f t="shared" si="30"/>
        <v>0</v>
      </c>
      <c r="K57" s="2"/>
      <c r="L57" s="7">
        <f t="shared" si="31"/>
        <v>129.58000000000001</v>
      </c>
      <c r="M57" s="2"/>
      <c r="N57" s="6">
        <f t="shared" si="32"/>
        <v>0</v>
      </c>
      <c r="O57" s="11"/>
      <c r="P57" s="7">
        <v>298.45999999999998</v>
      </c>
      <c r="Q57" s="2"/>
      <c r="R57" s="6">
        <f t="shared" si="33"/>
        <v>0.30614107968940724</v>
      </c>
      <c r="S57" s="2"/>
      <c r="T57" s="7"/>
      <c r="U57" s="2"/>
      <c r="V57" s="6">
        <f t="shared" si="34"/>
        <v>0</v>
      </c>
      <c r="W57" s="2"/>
      <c r="X57" s="7">
        <f t="shared" si="35"/>
        <v>298.45999999999998</v>
      </c>
      <c r="Y57" s="2"/>
      <c r="Z57" s="6">
        <f t="shared" si="36"/>
        <v>0</v>
      </c>
    </row>
    <row r="58" spans="1:26" s="24" customFormat="1" hidden="1" outlineLevel="2" x14ac:dyDescent="0.25">
      <c r="A58" s="29"/>
      <c r="B58" s="11" t="str">
        <f>CONCATENATE("          ", "6375", " - ", "OUTSIDE REPAIRS &amp; MAINTENANCE")</f>
        <v xml:space="preserve">          6375 - OUTSIDE REPAIRS &amp; MAINTENANCE</v>
      </c>
      <c r="C58" s="11"/>
      <c r="D58" s="7"/>
      <c r="E58" s="2"/>
      <c r="F58" s="6">
        <f t="shared" si="29"/>
        <v>0</v>
      </c>
      <c r="G58" s="2"/>
      <c r="H58" s="7"/>
      <c r="I58" s="2"/>
      <c r="J58" s="6">
        <f t="shared" si="30"/>
        <v>0</v>
      </c>
      <c r="K58" s="2"/>
      <c r="L58" s="7">
        <f t="shared" si="31"/>
        <v>0</v>
      </c>
      <c r="M58" s="2"/>
      <c r="N58" s="6">
        <f t="shared" si="32"/>
        <v>0</v>
      </c>
      <c r="O58" s="11"/>
      <c r="P58" s="7">
        <v>200</v>
      </c>
      <c r="Q58" s="2"/>
      <c r="R58" s="6">
        <f t="shared" si="33"/>
        <v>0.20514714178744706</v>
      </c>
      <c r="S58" s="2"/>
      <c r="T58" s="7"/>
      <c r="U58" s="2"/>
      <c r="V58" s="6">
        <f t="shared" si="34"/>
        <v>0</v>
      </c>
      <c r="W58" s="2"/>
      <c r="X58" s="7">
        <f t="shared" si="35"/>
        <v>200</v>
      </c>
      <c r="Y58" s="2"/>
      <c r="Z58" s="6">
        <f t="shared" si="36"/>
        <v>0</v>
      </c>
    </row>
    <row r="59" spans="1:26" s="28" customFormat="1" outlineLevel="1" collapsed="1" x14ac:dyDescent="0.25">
      <c r="A59" s="27"/>
      <c r="B59" s="14" t="str">
        <f>CONCATENATE("     ","Royalty &amp; Commissions                             ")</f>
        <v xml:space="preserve">     Royalty &amp; Commissions                             </v>
      </c>
      <c r="C59" s="14"/>
      <c r="D59" s="1">
        <f>SUM(OSRRefD22_9x_0)</f>
        <v>0</v>
      </c>
      <c r="E59" s="1"/>
      <c r="F59" s="5">
        <f t="shared" ref="F59:F68" si="37">IF(D$12=0,0,D59/D$12)</f>
        <v>0</v>
      </c>
      <c r="G59" s="1"/>
      <c r="H59" s="1">
        <f>SUM(OSRRefH22_9x_0)</f>
        <v>0</v>
      </c>
      <c r="I59" s="1"/>
      <c r="J59" s="5">
        <f t="shared" ref="J59:J68" si="38">IF(H$12=0,0,H59/H$12)</f>
        <v>0</v>
      </c>
      <c r="K59" s="1"/>
      <c r="L59" s="1">
        <f t="shared" ref="L59:L68" si="39">+D59-H59</f>
        <v>0</v>
      </c>
      <c r="M59" s="1"/>
      <c r="N59" s="5">
        <f t="shared" ref="N59:N68" si="40">IF(H59=0,0,L59/H59)</f>
        <v>0</v>
      </c>
      <c r="O59" s="14"/>
      <c r="P59" s="1">
        <f>SUM(OSRRefP22_9x_0)</f>
        <v>0</v>
      </c>
      <c r="Q59" s="1"/>
      <c r="R59" s="5">
        <f t="shared" ref="R59:R68" si="41">IF(P$12=0,0,P59/P$12)</f>
        <v>0</v>
      </c>
      <c r="S59" s="1"/>
      <c r="T59" s="1">
        <f>SUM(OSRRefT22_9x_0)</f>
        <v>0</v>
      </c>
      <c r="U59" s="1"/>
      <c r="V59" s="5">
        <f t="shared" ref="V59:V68" si="42">IF(T$12=0,0,T59/T$12)</f>
        <v>0</v>
      </c>
      <c r="W59" s="1"/>
      <c r="X59" s="1">
        <f t="shared" ref="X59:X68" si="43">+P59-T59</f>
        <v>0</v>
      </c>
      <c r="Y59" s="1"/>
      <c r="Z59" s="5">
        <f t="shared" ref="Z59:Z68" si="44">IF(T59=0,0,X59/T59)</f>
        <v>0</v>
      </c>
    </row>
    <row r="60" spans="1:26" s="24" customFormat="1" hidden="1" outlineLevel="2" x14ac:dyDescent="0.25">
      <c r="A60" s="29"/>
      <c r="B60" s="11" t="str">
        <f>CONCATENATE("          ", "6259", " - ", "ROYALTY &amp; COMMISSIONS")</f>
        <v xml:space="preserve">          6259 - ROYALTY &amp; COMMISSIONS</v>
      </c>
      <c r="C60" s="11"/>
      <c r="D60" s="7"/>
      <c r="E60" s="2"/>
      <c r="F60" s="6">
        <f t="shared" si="37"/>
        <v>0</v>
      </c>
      <c r="G60" s="2"/>
      <c r="H60" s="7">
        <v>0</v>
      </c>
      <c r="I60" s="2"/>
      <c r="J60" s="6">
        <f t="shared" si="38"/>
        <v>0</v>
      </c>
      <c r="K60" s="2"/>
      <c r="L60" s="7">
        <f t="shared" si="39"/>
        <v>0</v>
      </c>
      <c r="M60" s="2"/>
      <c r="N60" s="6">
        <f t="shared" si="40"/>
        <v>0</v>
      </c>
      <c r="O60" s="11"/>
      <c r="P60" s="7"/>
      <c r="Q60" s="2"/>
      <c r="R60" s="6">
        <f t="shared" si="41"/>
        <v>0</v>
      </c>
      <c r="S60" s="2"/>
      <c r="T60" s="7">
        <v>0</v>
      </c>
      <c r="U60" s="2"/>
      <c r="V60" s="6">
        <f t="shared" si="42"/>
        <v>0</v>
      </c>
      <c r="W60" s="2"/>
      <c r="X60" s="7">
        <f t="shared" si="43"/>
        <v>0</v>
      </c>
      <c r="Y60" s="2"/>
      <c r="Z60" s="6">
        <f t="shared" si="44"/>
        <v>0</v>
      </c>
    </row>
    <row r="61" spans="1:26" s="28" customFormat="1" outlineLevel="1" collapsed="1" x14ac:dyDescent="0.25">
      <c r="A61" s="27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SUM(OSRRefD22_10x_0)</f>
        <v>0</v>
      </c>
      <c r="E61" s="1"/>
      <c r="F61" s="5">
        <f t="shared" si="37"/>
        <v>0</v>
      </c>
      <c r="G61" s="1"/>
      <c r="H61" s="1">
        <f>SUM(OSRRefH22_10x_0)</f>
        <v>0</v>
      </c>
      <c r="I61" s="1"/>
      <c r="J61" s="5">
        <f t="shared" si="38"/>
        <v>0</v>
      </c>
      <c r="K61" s="1"/>
      <c r="L61" s="1">
        <f t="shared" si="39"/>
        <v>0</v>
      </c>
      <c r="M61" s="1"/>
      <c r="N61" s="5">
        <f t="shared" si="40"/>
        <v>0</v>
      </c>
      <c r="O61" s="14"/>
      <c r="P61" s="1">
        <f>SUM(OSRRefP22_10x_0)</f>
        <v>0</v>
      </c>
      <c r="Q61" s="1"/>
      <c r="R61" s="5">
        <f t="shared" si="41"/>
        <v>0</v>
      </c>
      <c r="S61" s="1"/>
      <c r="T61" s="1">
        <f>SUM(OSRRefT22_10x_0)</f>
        <v>0</v>
      </c>
      <c r="U61" s="1"/>
      <c r="V61" s="5">
        <f t="shared" si="42"/>
        <v>0</v>
      </c>
      <c r="W61" s="1"/>
      <c r="X61" s="1">
        <f t="shared" si="43"/>
        <v>0</v>
      </c>
      <c r="Y61" s="1"/>
      <c r="Z61" s="5">
        <f t="shared" si="44"/>
        <v>0</v>
      </c>
    </row>
    <row r="62" spans="1:26" s="24" customFormat="1" hidden="1" outlineLevel="2" x14ac:dyDescent="0.25">
      <c r="A62" s="29"/>
      <c r="B62" s="11" t="str">
        <f>CONCATENATE("          ", "6286", " - ", "LAUNDRY EXPENSE")</f>
        <v xml:space="preserve">          6286 - LAUNDRY EXPENSE</v>
      </c>
      <c r="C62" s="11"/>
      <c r="D62" s="7"/>
      <c r="E62" s="2"/>
      <c r="F62" s="6">
        <f t="shared" si="37"/>
        <v>0</v>
      </c>
      <c r="G62" s="2"/>
      <c r="H62" s="7">
        <v>0</v>
      </c>
      <c r="I62" s="2"/>
      <c r="J62" s="6">
        <f t="shared" si="38"/>
        <v>0</v>
      </c>
      <c r="K62" s="2"/>
      <c r="L62" s="7">
        <f t="shared" si="39"/>
        <v>0</v>
      </c>
      <c r="M62" s="2"/>
      <c r="N62" s="6">
        <f t="shared" si="40"/>
        <v>0</v>
      </c>
      <c r="O62" s="11"/>
      <c r="P62" s="7"/>
      <c r="Q62" s="2"/>
      <c r="R62" s="6">
        <f t="shared" si="41"/>
        <v>0</v>
      </c>
      <c r="S62" s="2"/>
      <c r="T62" s="7">
        <v>0</v>
      </c>
      <c r="U62" s="2"/>
      <c r="V62" s="6">
        <f t="shared" si="42"/>
        <v>0</v>
      </c>
      <c r="W62" s="2"/>
      <c r="X62" s="7">
        <f t="shared" si="43"/>
        <v>0</v>
      </c>
      <c r="Y62" s="2"/>
      <c r="Z62" s="6">
        <f t="shared" si="44"/>
        <v>0</v>
      </c>
    </row>
    <row r="63" spans="1:26" s="28" customFormat="1" outlineLevel="1" collapsed="1" x14ac:dyDescent="0.25">
      <c r="A63" s="27"/>
      <c r="B63" s="14" t="str">
        <f>CONCATENATE("     ","Subscriptions &amp; Dues                              ")</f>
        <v xml:space="preserve">     Subscriptions &amp; Dues                              </v>
      </c>
      <c r="C63" s="14"/>
      <c r="D63" s="1">
        <f>SUM(OSRRefD22_11x_0)</f>
        <v>0</v>
      </c>
      <c r="E63" s="1"/>
      <c r="F63" s="5">
        <f t="shared" si="37"/>
        <v>0</v>
      </c>
      <c r="G63" s="1"/>
      <c r="H63" s="1">
        <f>SUM(OSRRefH22_11x_0)</f>
        <v>0</v>
      </c>
      <c r="I63" s="1"/>
      <c r="J63" s="5">
        <f t="shared" si="38"/>
        <v>0</v>
      </c>
      <c r="K63" s="1"/>
      <c r="L63" s="1">
        <f t="shared" si="39"/>
        <v>0</v>
      </c>
      <c r="M63" s="1"/>
      <c r="N63" s="5">
        <f t="shared" si="40"/>
        <v>0</v>
      </c>
      <c r="O63" s="14"/>
      <c r="P63" s="1">
        <f>SUM(OSRRefP22_11x_0)</f>
        <v>0</v>
      </c>
      <c r="Q63" s="1"/>
      <c r="R63" s="5">
        <f t="shared" si="41"/>
        <v>0</v>
      </c>
      <c r="S63" s="1"/>
      <c r="T63" s="1">
        <f>SUM(OSRRefT22_11x_0)</f>
        <v>0</v>
      </c>
      <c r="U63" s="1"/>
      <c r="V63" s="5">
        <f t="shared" si="42"/>
        <v>0</v>
      </c>
      <c r="W63" s="1"/>
      <c r="X63" s="1">
        <f t="shared" si="43"/>
        <v>0</v>
      </c>
      <c r="Y63" s="1"/>
      <c r="Z63" s="5">
        <f t="shared" si="44"/>
        <v>0</v>
      </c>
    </row>
    <row r="64" spans="1:26" s="24" customFormat="1" hidden="1" outlineLevel="2" x14ac:dyDescent="0.25">
      <c r="A64" s="29"/>
      <c r="B64" s="11" t="str">
        <f>CONCATENATE("          ", "6275", " - ", "SUBSCRIPTIONS")</f>
        <v xml:space="preserve">          6275 - SUBSCRIPTIONS</v>
      </c>
      <c r="C64" s="11"/>
      <c r="D64" s="7"/>
      <c r="E64" s="2"/>
      <c r="F64" s="6">
        <f t="shared" si="37"/>
        <v>0</v>
      </c>
      <c r="G64" s="2"/>
      <c r="H64" s="7">
        <v>0</v>
      </c>
      <c r="I64" s="2"/>
      <c r="J64" s="6">
        <f t="shared" si="38"/>
        <v>0</v>
      </c>
      <c r="K64" s="2"/>
      <c r="L64" s="7">
        <f t="shared" si="39"/>
        <v>0</v>
      </c>
      <c r="M64" s="2"/>
      <c r="N64" s="6">
        <f t="shared" si="40"/>
        <v>0</v>
      </c>
      <c r="O64" s="11"/>
      <c r="P64" s="7"/>
      <c r="Q64" s="2"/>
      <c r="R64" s="6">
        <f t="shared" si="41"/>
        <v>0</v>
      </c>
      <c r="S64" s="2"/>
      <c r="T64" s="7">
        <v>0</v>
      </c>
      <c r="U64" s="2"/>
      <c r="V64" s="6">
        <f t="shared" si="42"/>
        <v>0</v>
      </c>
      <c r="W64" s="2"/>
      <c r="X64" s="7">
        <f t="shared" si="43"/>
        <v>0</v>
      </c>
      <c r="Y64" s="2"/>
      <c r="Z64" s="6">
        <f t="shared" si="44"/>
        <v>0</v>
      </c>
    </row>
    <row r="65" spans="1:26" s="28" customFormat="1" outlineLevel="1" collapsed="1" x14ac:dyDescent="0.25">
      <c r="A65" s="27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SUM(OSRRefD22_12x_0)</f>
        <v>0</v>
      </c>
      <c r="E65" s="1"/>
      <c r="F65" s="5">
        <f t="shared" si="37"/>
        <v>0</v>
      </c>
      <c r="G65" s="1"/>
      <c r="H65" s="1">
        <f>SUM(OSRRefH22_12x_0)</f>
        <v>0</v>
      </c>
      <c r="I65" s="1"/>
      <c r="J65" s="5">
        <f t="shared" si="38"/>
        <v>0</v>
      </c>
      <c r="K65" s="1"/>
      <c r="L65" s="1">
        <f t="shared" si="39"/>
        <v>0</v>
      </c>
      <c r="M65" s="1"/>
      <c r="N65" s="5">
        <f t="shared" si="40"/>
        <v>0</v>
      </c>
      <c r="O65" s="14"/>
      <c r="P65" s="1">
        <f>SUM(OSRRefP22_12x_0)</f>
        <v>0</v>
      </c>
      <c r="Q65" s="1"/>
      <c r="R65" s="5">
        <f t="shared" si="41"/>
        <v>0</v>
      </c>
      <c r="S65" s="1"/>
      <c r="T65" s="1">
        <f>SUM(OSRRefT22_12x_0)</f>
        <v>0</v>
      </c>
      <c r="U65" s="1"/>
      <c r="V65" s="5">
        <f t="shared" si="42"/>
        <v>0</v>
      </c>
      <c r="W65" s="1"/>
      <c r="X65" s="1">
        <f t="shared" si="43"/>
        <v>0</v>
      </c>
      <c r="Y65" s="1"/>
      <c r="Z65" s="5">
        <f t="shared" si="44"/>
        <v>0</v>
      </c>
    </row>
    <row r="66" spans="1:26" s="24" customFormat="1" hidden="1" outlineLevel="2" x14ac:dyDescent="0.25">
      <c r="A66" s="29"/>
      <c r="B66" s="11" t="str">
        <f>CONCATENATE("          ", "6235", " - ", "COVID-19 EXPENSES")</f>
        <v xml:space="preserve">          6235 - COVID-19 EXPENSES</v>
      </c>
      <c r="C66" s="11"/>
      <c r="D66" s="7"/>
      <c r="E66" s="2"/>
      <c r="F66" s="6">
        <f t="shared" si="37"/>
        <v>0</v>
      </c>
      <c r="G66" s="2"/>
      <c r="H66" s="7">
        <v>0</v>
      </c>
      <c r="I66" s="2"/>
      <c r="J66" s="6">
        <f t="shared" si="38"/>
        <v>0</v>
      </c>
      <c r="K66" s="2"/>
      <c r="L66" s="7">
        <f t="shared" si="39"/>
        <v>0</v>
      </c>
      <c r="M66" s="2"/>
      <c r="N66" s="6">
        <f t="shared" si="40"/>
        <v>0</v>
      </c>
      <c r="O66" s="11"/>
      <c r="P66" s="7"/>
      <c r="Q66" s="2"/>
      <c r="R66" s="6">
        <f t="shared" si="41"/>
        <v>0</v>
      </c>
      <c r="S66" s="2"/>
      <c r="T66" s="7">
        <v>0</v>
      </c>
      <c r="U66" s="2"/>
      <c r="V66" s="6">
        <f t="shared" si="42"/>
        <v>0</v>
      </c>
      <c r="W66" s="2"/>
      <c r="X66" s="7">
        <f t="shared" si="43"/>
        <v>0</v>
      </c>
      <c r="Y66" s="2"/>
      <c r="Z66" s="6">
        <f t="shared" si="44"/>
        <v>0</v>
      </c>
    </row>
    <row r="67" spans="1:26" s="24" customFormat="1" hidden="1" outlineLevel="2" x14ac:dyDescent="0.25">
      <c r="A67" s="29"/>
      <c r="B67" s="11" t="str">
        <f>CONCATENATE("          ", "6241", " - ", "OFFICE EXPENSE")</f>
        <v xml:space="preserve">          6241 - OFFICE EXPENSE</v>
      </c>
      <c r="C67" s="11"/>
      <c r="D67" s="7"/>
      <c r="E67" s="2"/>
      <c r="F67" s="6">
        <f t="shared" si="37"/>
        <v>0</v>
      </c>
      <c r="G67" s="2"/>
      <c r="H67" s="7">
        <v>0</v>
      </c>
      <c r="I67" s="2"/>
      <c r="J67" s="6">
        <f t="shared" si="38"/>
        <v>0</v>
      </c>
      <c r="K67" s="2"/>
      <c r="L67" s="7">
        <f t="shared" si="39"/>
        <v>0</v>
      </c>
      <c r="M67" s="2"/>
      <c r="N67" s="6">
        <f t="shared" si="40"/>
        <v>0</v>
      </c>
      <c r="O67" s="11"/>
      <c r="P67" s="7"/>
      <c r="Q67" s="2"/>
      <c r="R67" s="6">
        <f t="shared" si="41"/>
        <v>0</v>
      </c>
      <c r="S67" s="2"/>
      <c r="T67" s="7">
        <v>0</v>
      </c>
      <c r="U67" s="2"/>
      <c r="V67" s="6">
        <f t="shared" si="42"/>
        <v>0</v>
      </c>
      <c r="W67" s="2"/>
      <c r="X67" s="7">
        <f t="shared" si="43"/>
        <v>0</v>
      </c>
      <c r="Y67" s="2"/>
      <c r="Z67" s="6">
        <f t="shared" si="44"/>
        <v>0</v>
      </c>
    </row>
    <row r="68" spans="1:26" s="24" customFormat="1" hidden="1" outlineLevel="2" x14ac:dyDescent="0.25">
      <c r="A68" s="29"/>
      <c r="B68" s="11" t="str">
        <f>CONCATENATE("          ", "6247", " - ", "STORE SUPPLIES")</f>
        <v xml:space="preserve">          6247 - STORE SUPPLIES</v>
      </c>
      <c r="C68" s="11"/>
      <c r="D68" s="7"/>
      <c r="E68" s="2"/>
      <c r="F68" s="6">
        <f t="shared" si="37"/>
        <v>0</v>
      </c>
      <c r="G68" s="2"/>
      <c r="H68" s="7">
        <v>0</v>
      </c>
      <c r="I68" s="2"/>
      <c r="J68" s="6">
        <f t="shared" si="38"/>
        <v>0</v>
      </c>
      <c r="K68" s="2"/>
      <c r="L68" s="7">
        <f t="shared" si="39"/>
        <v>0</v>
      </c>
      <c r="M68" s="2"/>
      <c r="N68" s="6">
        <f t="shared" si="40"/>
        <v>0</v>
      </c>
      <c r="O68" s="11"/>
      <c r="P68" s="7"/>
      <c r="Q68" s="2"/>
      <c r="R68" s="6">
        <f t="shared" si="41"/>
        <v>0</v>
      </c>
      <c r="S68" s="2"/>
      <c r="T68" s="7">
        <v>0</v>
      </c>
      <c r="U68" s="2"/>
      <c r="V68" s="6">
        <f t="shared" si="42"/>
        <v>0</v>
      </c>
      <c r="W68" s="2"/>
      <c r="X68" s="7">
        <f t="shared" si="43"/>
        <v>0</v>
      </c>
      <c r="Y68" s="2"/>
      <c r="Z68" s="6">
        <f t="shared" si="44"/>
        <v>0</v>
      </c>
    </row>
    <row r="69" spans="1:26" s="28" customFormat="1" outlineLevel="1" collapsed="1" x14ac:dyDescent="0.25">
      <c r="A69" s="27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SUM(OSRRefD22_13x_0)</f>
        <v>0</v>
      </c>
      <c r="E69" s="1"/>
      <c r="F69" s="5">
        <f t="shared" ref="F69:F74" si="45">IF(D$12=0,0,D69/D$12)</f>
        <v>0</v>
      </c>
      <c r="G69" s="1"/>
      <c r="H69" s="1">
        <f>SUM(OSRRefH22_13x_0)</f>
        <v>0</v>
      </c>
      <c r="I69" s="1"/>
      <c r="J69" s="5">
        <f t="shared" ref="J69:J74" si="46">IF(H$12=0,0,H69/H$12)</f>
        <v>0</v>
      </c>
      <c r="K69" s="1"/>
      <c r="L69" s="1">
        <f t="shared" ref="L69:L74" si="47">+D69-H69</f>
        <v>0</v>
      </c>
      <c r="M69" s="1"/>
      <c r="N69" s="5">
        <f t="shared" ref="N69:N74" si="48">IF(H69=0,0,L69/H69)</f>
        <v>0</v>
      </c>
      <c r="O69" s="14"/>
      <c r="P69" s="1">
        <f>SUM(OSRRefP22_13x_0)</f>
        <v>0</v>
      </c>
      <c r="Q69" s="1"/>
      <c r="R69" s="5">
        <f t="shared" ref="R69:R74" si="49">IF(P$12=0,0,P69/P$12)</f>
        <v>0</v>
      </c>
      <c r="S69" s="1"/>
      <c r="T69" s="1">
        <f>SUM(OSRRefT22_13x_0)</f>
        <v>0</v>
      </c>
      <c r="U69" s="1"/>
      <c r="V69" s="5">
        <f t="shared" ref="V69:V74" si="50">IF(T$12=0,0,T69/T$12)</f>
        <v>0</v>
      </c>
      <c r="W69" s="1"/>
      <c r="X69" s="1">
        <f t="shared" ref="X69:X74" si="51">+P69-T69</f>
        <v>0</v>
      </c>
      <c r="Y69" s="1"/>
      <c r="Z69" s="5">
        <f t="shared" ref="Z69:Z74" si="52">IF(T69=0,0,X69/T69)</f>
        <v>0</v>
      </c>
    </row>
    <row r="70" spans="1:26" s="24" customFormat="1" hidden="1" outlineLevel="2" x14ac:dyDescent="0.25">
      <c r="A70" s="29"/>
      <c r="B70" s="11" t="str">
        <f>CONCATENATE("          ", "6309", " - ", "TELEPHONE")</f>
        <v xml:space="preserve">          6309 - TELEPHONE</v>
      </c>
      <c r="C70" s="11"/>
      <c r="D70" s="7"/>
      <c r="E70" s="2"/>
      <c r="F70" s="6">
        <f t="shared" si="45"/>
        <v>0</v>
      </c>
      <c r="G70" s="2"/>
      <c r="H70" s="7">
        <v>0</v>
      </c>
      <c r="I70" s="2"/>
      <c r="J70" s="6">
        <f t="shared" si="46"/>
        <v>0</v>
      </c>
      <c r="K70" s="2"/>
      <c r="L70" s="7">
        <f t="shared" si="47"/>
        <v>0</v>
      </c>
      <c r="M70" s="2"/>
      <c r="N70" s="6">
        <f t="shared" si="48"/>
        <v>0</v>
      </c>
      <c r="O70" s="11"/>
      <c r="P70" s="7"/>
      <c r="Q70" s="2"/>
      <c r="R70" s="6">
        <f t="shared" si="49"/>
        <v>0</v>
      </c>
      <c r="S70" s="2"/>
      <c r="T70" s="7">
        <v>0</v>
      </c>
      <c r="U70" s="2"/>
      <c r="V70" s="6">
        <f t="shared" si="50"/>
        <v>0</v>
      </c>
      <c r="W70" s="2"/>
      <c r="X70" s="7">
        <f t="shared" si="51"/>
        <v>0</v>
      </c>
      <c r="Y70" s="2"/>
      <c r="Z70" s="6">
        <f t="shared" si="52"/>
        <v>0</v>
      </c>
    </row>
    <row r="71" spans="1:26" s="28" customFormat="1" outlineLevel="1" collapsed="1" x14ac:dyDescent="0.25">
      <c r="A71" s="27"/>
      <c r="B71" s="14" t="str">
        <f>CONCATENATE("     ","Training                                          ")</f>
        <v xml:space="preserve">     Training                                          </v>
      </c>
      <c r="C71" s="14"/>
      <c r="D71" s="1">
        <f>SUM(OSRRefD22_14x_0)</f>
        <v>0</v>
      </c>
      <c r="E71" s="1"/>
      <c r="F71" s="5">
        <f t="shared" si="45"/>
        <v>0</v>
      </c>
      <c r="G71" s="1"/>
      <c r="H71" s="1">
        <f>SUM(OSRRefH22_14x_0)</f>
        <v>0</v>
      </c>
      <c r="I71" s="1"/>
      <c r="J71" s="5">
        <f t="shared" si="46"/>
        <v>0</v>
      </c>
      <c r="K71" s="1"/>
      <c r="L71" s="1">
        <f t="shared" si="47"/>
        <v>0</v>
      </c>
      <c r="M71" s="1"/>
      <c r="N71" s="5">
        <f t="shared" si="48"/>
        <v>0</v>
      </c>
      <c r="O71" s="14"/>
      <c r="P71" s="1">
        <f>SUM(OSRRefP22_14x_0)</f>
        <v>0</v>
      </c>
      <c r="Q71" s="1"/>
      <c r="R71" s="5">
        <f t="shared" si="49"/>
        <v>0</v>
      </c>
      <c r="S71" s="1"/>
      <c r="T71" s="1">
        <f>SUM(OSRRefT22_14x_0)</f>
        <v>0</v>
      </c>
      <c r="U71" s="1"/>
      <c r="V71" s="5">
        <f t="shared" si="50"/>
        <v>0</v>
      </c>
      <c r="W71" s="1"/>
      <c r="X71" s="1">
        <f t="shared" si="51"/>
        <v>0</v>
      </c>
      <c r="Y71" s="1"/>
      <c r="Z71" s="5">
        <f t="shared" si="52"/>
        <v>0</v>
      </c>
    </row>
    <row r="72" spans="1:26" s="24" customFormat="1" hidden="1" outlineLevel="2" x14ac:dyDescent="0.25">
      <c r="A72" s="29"/>
      <c r="B72" s="11" t="str">
        <f>CONCATENATE("          ", "6376", " - ", "TRAINING")</f>
        <v xml:space="preserve">          6376 - TRAINING</v>
      </c>
      <c r="C72" s="11"/>
      <c r="D72" s="7"/>
      <c r="E72" s="2"/>
      <c r="F72" s="6">
        <f t="shared" si="45"/>
        <v>0</v>
      </c>
      <c r="G72" s="2"/>
      <c r="H72" s="7"/>
      <c r="I72" s="2"/>
      <c r="J72" s="6">
        <f t="shared" si="46"/>
        <v>0</v>
      </c>
      <c r="K72" s="2"/>
      <c r="L72" s="7">
        <f t="shared" si="47"/>
        <v>0</v>
      </c>
      <c r="M72" s="2"/>
      <c r="N72" s="6">
        <f t="shared" si="48"/>
        <v>0</v>
      </c>
      <c r="O72" s="11"/>
      <c r="P72" s="7"/>
      <c r="Q72" s="2"/>
      <c r="R72" s="6">
        <f t="shared" si="49"/>
        <v>0</v>
      </c>
      <c r="S72" s="2"/>
      <c r="T72" s="7">
        <v>0</v>
      </c>
      <c r="U72" s="2"/>
      <c r="V72" s="6">
        <f t="shared" si="50"/>
        <v>0</v>
      </c>
      <c r="W72" s="2"/>
      <c r="X72" s="7">
        <f t="shared" si="51"/>
        <v>0</v>
      </c>
      <c r="Y72" s="2"/>
      <c r="Z72" s="6">
        <f t="shared" si="52"/>
        <v>0</v>
      </c>
    </row>
    <row r="73" spans="1:26" s="28" customFormat="1" outlineLevel="1" collapsed="1" x14ac:dyDescent="0.25">
      <c r="A73" s="27"/>
      <c r="B73" s="14" t="str">
        <f>CONCATENATE("     ","Travel                                            ")</f>
        <v xml:space="preserve">     Travel                                            </v>
      </c>
      <c r="C73" s="14"/>
      <c r="D73" s="1">
        <f>SUM(OSRRefD22_15x_0)</f>
        <v>0</v>
      </c>
      <c r="E73" s="1"/>
      <c r="F73" s="5">
        <f t="shared" si="45"/>
        <v>0</v>
      </c>
      <c r="G73" s="1"/>
      <c r="H73" s="1">
        <f>SUM(OSRRefH22_15x_0)</f>
        <v>0</v>
      </c>
      <c r="I73" s="1"/>
      <c r="J73" s="5">
        <f t="shared" si="46"/>
        <v>0</v>
      </c>
      <c r="K73" s="1"/>
      <c r="L73" s="1">
        <f t="shared" si="47"/>
        <v>0</v>
      </c>
      <c r="M73" s="1"/>
      <c r="N73" s="5">
        <f t="shared" si="48"/>
        <v>0</v>
      </c>
      <c r="O73" s="14"/>
      <c r="P73" s="1">
        <f>SUM(OSRRefP22_15x_0)</f>
        <v>0</v>
      </c>
      <c r="Q73" s="1"/>
      <c r="R73" s="5">
        <f t="shared" si="49"/>
        <v>0</v>
      </c>
      <c r="S73" s="1"/>
      <c r="T73" s="1">
        <f>SUM(OSRRefT22_15x_0)</f>
        <v>0</v>
      </c>
      <c r="U73" s="1"/>
      <c r="V73" s="5">
        <f t="shared" si="50"/>
        <v>0</v>
      </c>
      <c r="W73" s="1"/>
      <c r="X73" s="1">
        <f t="shared" si="51"/>
        <v>0</v>
      </c>
      <c r="Y73" s="1"/>
      <c r="Z73" s="5">
        <f t="shared" si="52"/>
        <v>0</v>
      </c>
    </row>
    <row r="74" spans="1:26" s="24" customFormat="1" hidden="1" outlineLevel="2" x14ac:dyDescent="0.25">
      <c r="A74" s="29"/>
      <c r="B74" s="11" t="str">
        <f>CONCATENATE("          ", "6292", " - ", "TRAVEL/CONFERENCE")</f>
        <v xml:space="preserve">          6292 - TRAVEL/CONFERENCE</v>
      </c>
      <c r="C74" s="11"/>
      <c r="D74" s="7"/>
      <c r="E74" s="2"/>
      <c r="F74" s="6">
        <f t="shared" si="45"/>
        <v>0</v>
      </c>
      <c r="G74" s="2"/>
      <c r="H74" s="7"/>
      <c r="I74" s="2"/>
      <c r="J74" s="6">
        <f t="shared" si="46"/>
        <v>0</v>
      </c>
      <c r="K74" s="2"/>
      <c r="L74" s="7">
        <f t="shared" si="47"/>
        <v>0</v>
      </c>
      <c r="M74" s="2"/>
      <c r="N74" s="6">
        <f t="shared" si="48"/>
        <v>0</v>
      </c>
      <c r="O74" s="11"/>
      <c r="P74" s="7"/>
      <c r="Q74" s="2"/>
      <c r="R74" s="6">
        <f t="shared" si="49"/>
        <v>0</v>
      </c>
      <c r="S74" s="2"/>
      <c r="T74" s="7">
        <v>0</v>
      </c>
      <c r="U74" s="2"/>
      <c r="V74" s="6">
        <f t="shared" si="50"/>
        <v>0</v>
      </c>
      <c r="W74" s="2"/>
      <c r="X74" s="7">
        <f t="shared" si="51"/>
        <v>0</v>
      </c>
      <c r="Y74" s="2"/>
      <c r="Z74" s="6">
        <f t="shared" si="52"/>
        <v>0</v>
      </c>
    </row>
    <row r="75" spans="1:26" s="53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6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5" t="s">
        <v>3</v>
      </c>
      <c r="C78" s="25"/>
      <c r="D78" s="21">
        <f>+D20-D22+D76</f>
        <v>-1954.84</v>
      </c>
      <c r="E78" s="13"/>
      <c r="F78" s="19">
        <f>IF(D$12=0,0,D78/D$12)</f>
        <v>0</v>
      </c>
      <c r="G78" s="13"/>
      <c r="H78" s="21">
        <f>+H20-H22+H76</f>
        <v>-1972</v>
      </c>
      <c r="I78" s="13"/>
      <c r="J78" s="19">
        <f>IF(H$12=0,0,H78/H$12)</f>
        <v>0</v>
      </c>
      <c r="K78" s="16"/>
      <c r="L78" s="21">
        <f>+D78-H78</f>
        <v>17.160000000000082</v>
      </c>
      <c r="M78" s="16"/>
      <c r="N78" s="19">
        <f>IF(H78=0,0,L78/H78)</f>
        <v>-8.7018255578093714E-3</v>
      </c>
      <c r="O78" s="26"/>
      <c r="P78" s="21">
        <f>+P20-P22+P76</f>
        <v>-11427.99</v>
      </c>
      <c r="Q78" s="13"/>
      <c r="R78" s="19">
        <f>IF(P$12=0,0,P78/P$12)</f>
        <v>-11.722097424377635</v>
      </c>
      <c r="S78" s="13"/>
      <c r="T78" s="21">
        <f>+T20-T22+T76</f>
        <v>-11832</v>
      </c>
      <c r="U78" s="13"/>
      <c r="V78" s="19">
        <f>IF(T$12=0,0,T78/T$12)</f>
        <v>0</v>
      </c>
      <c r="W78" s="16"/>
      <c r="X78" s="21">
        <f>+P78-T78</f>
        <v>404.01000000000022</v>
      </c>
      <c r="Y78" s="16"/>
      <c r="Z78" s="19">
        <f>IF(T78=0,0,X78/T78)</f>
        <v>-3.4145537525354985E-2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>
        <v>25.47</v>
      </c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25.47</v>
      </c>
      <c r="M80" s="4"/>
      <c r="N80" s="12">
        <f>IF(H80=0,0,L80/H80)</f>
        <v>0</v>
      </c>
      <c r="O80" s="10"/>
      <c r="P80" s="4">
        <v>180.38</v>
      </c>
      <c r="Q80" s="4"/>
      <c r="R80" s="12">
        <f>IF(P$12=0,0,P80/P$12)</f>
        <v>0.1850222071780985</v>
      </c>
      <c r="S80" s="4"/>
      <c r="T80" s="4"/>
      <c r="U80" s="4"/>
      <c r="V80" s="12">
        <f>IF(T$12=0,0,T80/T$12)</f>
        <v>0</v>
      </c>
      <c r="W80" s="4"/>
      <c r="X80" s="4">
        <f>+P80-T80</f>
        <v>180.38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5" t="s">
        <v>4</v>
      </c>
      <c r="C82" s="25"/>
      <c r="D82" s="34">
        <f>+D78-D80</f>
        <v>-1980.31</v>
      </c>
      <c r="E82" s="13"/>
      <c r="F82" s="31">
        <f>IF(D$12=0,0,D82/D$12)</f>
        <v>0</v>
      </c>
      <c r="G82" s="13"/>
      <c r="H82" s="34">
        <f>+H78-H80</f>
        <v>-1972</v>
      </c>
      <c r="I82" s="13"/>
      <c r="J82" s="31">
        <f>IF(H$12=0,0,H82/H$12)</f>
        <v>0</v>
      </c>
      <c r="K82" s="16"/>
      <c r="L82" s="34">
        <f>D82-H82</f>
        <v>-8.3099999999999454</v>
      </c>
      <c r="M82" s="16"/>
      <c r="N82" s="31">
        <f>IF(H82=0,0,L82/H82)</f>
        <v>4.2139959432048405E-3</v>
      </c>
      <c r="O82" s="26"/>
      <c r="P82" s="34">
        <f>+P78-P80</f>
        <v>-11608.369999999999</v>
      </c>
      <c r="Q82" s="13"/>
      <c r="R82" s="31">
        <f>IF(P$12=0,0,P82/P$12)</f>
        <v>-11.907119631555732</v>
      </c>
      <c r="S82" s="13"/>
      <c r="T82" s="34">
        <f>+T78-T80</f>
        <v>-11832</v>
      </c>
      <c r="U82" s="13"/>
      <c r="V82" s="31">
        <f>IF(T$12=0,0,T82/T$12)</f>
        <v>0</v>
      </c>
      <c r="W82" s="16"/>
      <c r="X82" s="34">
        <f>P82-T82</f>
        <v>223.63000000000102</v>
      </c>
      <c r="Y82" s="16"/>
      <c r="Z82" s="31">
        <f>IF(T82=0,0,X82/T82)</f>
        <v>-1.890043948613937E-2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5" t="s">
        <v>5</v>
      </c>
      <c r="C85" s="25"/>
      <c r="D85" s="33">
        <f>SUM(D82:D84)</f>
        <v>-1980.31</v>
      </c>
      <c r="E85" s="13"/>
      <c r="F85" s="32">
        <f>IF(D$12=0,0,D85/D$12)</f>
        <v>0</v>
      </c>
      <c r="G85" s="13"/>
      <c r="H85" s="33">
        <f>SUM(H82:H84)</f>
        <v>-1972</v>
      </c>
      <c r="I85" s="13"/>
      <c r="J85" s="32">
        <f>IF(H$12=0,0,H85/H$12)</f>
        <v>0</v>
      </c>
      <c r="K85" s="16"/>
      <c r="L85" s="33">
        <f>+D85-H85</f>
        <v>-8.3099999999999454</v>
      </c>
      <c r="M85" s="16"/>
      <c r="N85" s="32">
        <f>IF(H85=0,0,L85/H85)</f>
        <v>4.2139959432048405E-3</v>
      </c>
      <c r="O85" s="26"/>
      <c r="P85" s="33">
        <f>SUM(P82:P84)</f>
        <v>-11608.369999999999</v>
      </c>
      <c r="Q85" s="13"/>
      <c r="R85" s="32">
        <f>IF(P$12=0,0,P85/P$12)</f>
        <v>-11.907119631555732</v>
      </c>
      <c r="S85" s="13"/>
      <c r="T85" s="33">
        <f>SUM(T82:T84)</f>
        <v>-11832</v>
      </c>
      <c r="U85" s="13"/>
      <c r="V85" s="32">
        <f>IF(T$12=0,0,T85/T$12)</f>
        <v>0</v>
      </c>
      <c r="W85" s="16"/>
      <c r="X85" s="33">
        <f>+P85-T85</f>
        <v>223.63000000000102</v>
      </c>
      <c r="Y85" s="16"/>
      <c r="Z85" s="32">
        <f>IF(T85=0,0,X85/T85)</f>
        <v>-1.890043948613937E-2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63">
        <v>44209.518776354169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60" t="s">
        <v>314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8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299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","415", " - ", "Outpost")</f>
        <v>Department 415 - Outpost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9791.7800000000007</v>
      </c>
      <c r="E12" s="4"/>
      <c r="F12" s="12"/>
      <c r="G12" s="4"/>
      <c r="H12" s="4">
        <f>SUM(OSRRefH13x_0)</f>
        <v>11948</v>
      </c>
      <c r="I12" s="4"/>
      <c r="J12" s="12"/>
      <c r="K12" s="4"/>
      <c r="L12" s="4">
        <f t="shared" ref="L12:L16" si="0">+D12-H12</f>
        <v>-2156.2199999999993</v>
      </c>
      <c r="M12" s="4"/>
      <c r="N12" s="12">
        <f t="shared" ref="N12:N16" si="1">IF(H12=0,0,L12/H12)</f>
        <v>-0.1804670237696685</v>
      </c>
      <c r="O12" s="10"/>
      <c r="P12" s="4">
        <f>SUM(OSRRefP13x_0)</f>
        <v>45135.7</v>
      </c>
      <c r="Q12" s="4"/>
      <c r="R12" s="12"/>
      <c r="S12" s="4"/>
      <c r="T12" s="4">
        <f>SUM(OSRRefT13x_0)</f>
        <v>89138</v>
      </c>
      <c r="U12" s="4"/>
      <c r="V12" s="12"/>
      <c r="W12" s="4"/>
      <c r="X12" s="4">
        <f t="shared" ref="X12:X16" si="2">+P12-T12</f>
        <v>-44002.3</v>
      </c>
      <c r="Y12" s="4"/>
      <c r="Z12" s="12">
        <f t="shared" ref="Z12:Z16" si="3">IF(T12=0,0,X12/T12)</f>
        <v>-0.49364244205613772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3716</v>
      </c>
      <c r="I13" s="2"/>
      <c r="J13" s="22"/>
      <c r="K13" s="2"/>
      <c r="L13" s="2">
        <f t="shared" si="0"/>
        <v>-3716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27724</v>
      </c>
      <c r="U13" s="2"/>
      <c r="V13" s="22"/>
      <c r="W13" s="2"/>
      <c r="X13" s="2">
        <f t="shared" si="2"/>
        <v>-27724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>--5713.27</f>
        <v>5713.27</v>
      </c>
      <c r="E14" s="2"/>
      <c r="F14" s="22"/>
      <c r="G14" s="2"/>
      <c r="H14" s="2"/>
      <c r="I14" s="2"/>
      <c r="J14" s="22"/>
      <c r="K14" s="2"/>
      <c r="L14" s="2">
        <f t="shared" si="0"/>
        <v>5713.27</v>
      </c>
      <c r="M14" s="2"/>
      <c r="N14" s="22">
        <f t="shared" si="1"/>
        <v>0</v>
      </c>
      <c r="O14" s="11"/>
      <c r="P14" s="2">
        <f>--22964.48</f>
        <v>22964.48</v>
      </c>
      <c r="Q14" s="2"/>
      <c r="R14" s="22"/>
      <c r="S14" s="2"/>
      <c r="T14" s="2"/>
      <c r="U14" s="2"/>
      <c r="V14" s="22"/>
      <c r="W14" s="2"/>
      <c r="X14" s="2">
        <f t="shared" si="2"/>
        <v>22964.48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22"/>
      <c r="G15" s="2"/>
      <c r="H15" s="2">
        <v>8232</v>
      </c>
      <c r="I15" s="2"/>
      <c r="J15" s="22"/>
      <c r="K15" s="2"/>
      <c r="L15" s="2">
        <f t="shared" si="0"/>
        <v>-8232</v>
      </c>
      <c r="M15" s="2"/>
      <c r="N15" s="22">
        <f t="shared" si="1"/>
        <v>-1</v>
      </c>
      <c r="O15" s="11"/>
      <c r="P15" s="2">
        <f>0</f>
        <v>0</v>
      </c>
      <c r="Q15" s="2"/>
      <c r="R15" s="22"/>
      <c r="S15" s="2"/>
      <c r="T15" s="2">
        <v>61414</v>
      </c>
      <c r="U15" s="2"/>
      <c r="V15" s="22"/>
      <c r="W15" s="2"/>
      <c r="X15" s="2">
        <f t="shared" si="2"/>
        <v>-61414</v>
      </c>
      <c r="Y15" s="2"/>
      <c r="Z15" s="22">
        <f t="shared" si="3"/>
        <v>-1</v>
      </c>
    </row>
    <row r="16" spans="1:26" s="24" customFormat="1" hidden="1" outlineLevel="1" x14ac:dyDescent="0.25">
      <c r="A16" s="51"/>
      <c r="B16" s="11" t="str">
        <f>CONCATENATE("          ", "4151", " - ", "NON-TAXABLE SALES-FOOD")</f>
        <v xml:space="preserve">          4151 - NON-TAXABLE SALES-FOOD</v>
      </c>
      <c r="C16" s="11"/>
      <c r="D16" s="2">
        <f>--4078.51</f>
        <v>4078.51</v>
      </c>
      <c r="E16" s="2"/>
      <c r="F16" s="22"/>
      <c r="G16" s="2"/>
      <c r="H16" s="2"/>
      <c r="I16" s="2"/>
      <c r="J16" s="22"/>
      <c r="K16" s="2"/>
      <c r="L16" s="2">
        <f t="shared" si="0"/>
        <v>4078.51</v>
      </c>
      <c r="M16" s="2"/>
      <c r="N16" s="22">
        <f t="shared" si="1"/>
        <v>0</v>
      </c>
      <c r="O16" s="11"/>
      <c r="P16" s="2">
        <f>--22171.22</f>
        <v>22171.22</v>
      </c>
      <c r="Q16" s="2"/>
      <c r="R16" s="22"/>
      <c r="S16" s="2"/>
      <c r="T16" s="2"/>
      <c r="U16" s="2"/>
      <c r="V16" s="22"/>
      <c r="W16" s="2"/>
      <c r="X16" s="2">
        <f t="shared" si="2"/>
        <v>22171.22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8</v>
      </c>
      <c r="C18" s="10"/>
      <c r="D18" s="4">
        <f>SUM(OSRRefD16x_0)</f>
        <v>4197.08</v>
      </c>
      <c r="E18" s="4"/>
      <c r="F18" s="12">
        <f t="shared" ref="F18:F21" si="4">IF(D$12=0,0,D18/D$12)</f>
        <v>0.42863299624787315</v>
      </c>
      <c r="G18" s="4"/>
      <c r="H18" s="4">
        <f>SUM(OSRRefH16x_0)</f>
        <v>3823</v>
      </c>
      <c r="I18" s="4"/>
      <c r="J18" s="12">
        <f t="shared" ref="J18:J21" si="5">IF(H$12=0,0,H18/H$12)</f>
        <v>0.3199698694342149</v>
      </c>
      <c r="K18" s="4"/>
      <c r="L18" s="4">
        <f t="shared" ref="L18:L21" si="6">+D18-H18</f>
        <v>374.07999999999993</v>
      </c>
      <c r="M18" s="4"/>
      <c r="N18" s="12">
        <f t="shared" ref="N18:N21" si="7">IF(H18=0,0,L18/H18)</f>
        <v>9.7849856133926216E-2</v>
      </c>
      <c r="O18" s="10"/>
      <c r="P18" s="4">
        <f>SUM(OSRRefP16x_0)</f>
        <v>18853.48</v>
      </c>
      <c r="Q18" s="4"/>
      <c r="R18" s="12">
        <f t="shared" ref="R18:R21" si="8">IF(P$12=0,0,P18/P$12)</f>
        <v>0.41770660474967708</v>
      </c>
      <c r="S18" s="4"/>
      <c r="T18" s="4">
        <f>SUM(OSRRefT16x_0)</f>
        <v>28303</v>
      </c>
      <c r="U18" s="4"/>
      <c r="V18" s="12">
        <f t="shared" ref="V18:V21" si="9">IF(T$12=0,0,T18/T$12)</f>
        <v>0.31751890327357579</v>
      </c>
      <c r="W18" s="4"/>
      <c r="X18" s="4">
        <f t="shared" ref="X18:X21" si="10">+P18-T18</f>
        <v>-9449.52</v>
      </c>
      <c r="Y18" s="4"/>
      <c r="Z18" s="12">
        <f t="shared" ref="Z18:Z21" si="11">IF(T18=0,0,X18/T18)</f>
        <v>-0.33386990778362718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3823</v>
      </c>
      <c r="I19" s="2"/>
      <c r="J19" s="22">
        <f t="shared" si="5"/>
        <v>0.3199698694342149</v>
      </c>
      <c r="K19" s="2"/>
      <c r="L19" s="2">
        <f t="shared" si="6"/>
        <v>-3823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28303</v>
      </c>
      <c r="U19" s="2"/>
      <c r="V19" s="22">
        <f t="shared" si="9"/>
        <v>0.31751890327357579</v>
      </c>
      <c r="W19" s="2"/>
      <c r="X19" s="2">
        <f t="shared" si="10"/>
        <v>-28303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1832.08</v>
      </c>
      <c r="E20" s="2"/>
      <c r="F20" s="22">
        <f t="shared" si="4"/>
        <v>0.18710387692533939</v>
      </c>
      <c r="G20" s="2"/>
      <c r="H20" s="2"/>
      <c r="I20" s="2"/>
      <c r="J20" s="22">
        <f t="shared" si="5"/>
        <v>0</v>
      </c>
      <c r="K20" s="2"/>
      <c r="L20" s="2">
        <f t="shared" si="6"/>
        <v>1832.08</v>
      </c>
      <c r="M20" s="2"/>
      <c r="N20" s="22">
        <f t="shared" si="7"/>
        <v>0</v>
      </c>
      <c r="O20" s="11"/>
      <c r="P20" s="2">
        <v>13309.42</v>
      </c>
      <c r="Q20" s="2"/>
      <c r="R20" s="22">
        <f t="shared" si="8"/>
        <v>0.29487567490921823</v>
      </c>
      <c r="S20" s="2"/>
      <c r="T20" s="2"/>
      <c r="U20" s="2"/>
      <c r="V20" s="22">
        <f t="shared" si="9"/>
        <v>0</v>
      </c>
      <c r="W20" s="2"/>
      <c r="X20" s="2">
        <f t="shared" si="10"/>
        <v>13309.42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2365</v>
      </c>
      <c r="E21" s="2"/>
      <c r="F21" s="22">
        <f t="shared" si="4"/>
        <v>0.24152911932253379</v>
      </c>
      <c r="G21" s="2"/>
      <c r="H21" s="2"/>
      <c r="I21" s="2"/>
      <c r="J21" s="22">
        <f t="shared" si="5"/>
        <v>0</v>
      </c>
      <c r="K21" s="2"/>
      <c r="L21" s="2">
        <f t="shared" si="6"/>
        <v>2365</v>
      </c>
      <c r="M21" s="2"/>
      <c r="N21" s="22">
        <f t="shared" si="7"/>
        <v>0</v>
      </c>
      <c r="O21" s="11"/>
      <c r="P21" s="2">
        <v>5544.06</v>
      </c>
      <c r="Q21" s="2"/>
      <c r="R21" s="22">
        <f t="shared" si="8"/>
        <v>0.1228309298404589</v>
      </c>
      <c r="S21" s="2"/>
      <c r="T21" s="2"/>
      <c r="U21" s="2"/>
      <c r="V21" s="22">
        <f t="shared" si="9"/>
        <v>0</v>
      </c>
      <c r="W21" s="2"/>
      <c r="X21" s="2">
        <f t="shared" si="10"/>
        <v>5544.06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6</v>
      </c>
      <c r="C23" s="25"/>
      <c r="D23" s="21">
        <f>D12-D18</f>
        <v>5594.7000000000007</v>
      </c>
      <c r="E23" s="13"/>
      <c r="F23" s="19">
        <f>IF(D$12=0,0,D23/D$12)</f>
        <v>0.57136700375212679</v>
      </c>
      <c r="G23" s="13"/>
      <c r="H23" s="21">
        <f>H12-H18</f>
        <v>8125</v>
      </c>
      <c r="I23" s="13"/>
      <c r="J23" s="19">
        <f>IF(H$12=0,0,H23/H$12)</f>
        <v>0.6800301305657851</v>
      </c>
      <c r="K23" s="16"/>
      <c r="L23" s="21">
        <f>+D23-H23</f>
        <v>-2530.2999999999993</v>
      </c>
      <c r="M23" s="16"/>
      <c r="N23" s="19">
        <f>IF(H23=0,0,L23/H23)</f>
        <v>-0.31142153846153836</v>
      </c>
      <c r="O23" s="26"/>
      <c r="P23" s="21">
        <f>P12-P18</f>
        <v>26282.219999999998</v>
      </c>
      <c r="Q23" s="13"/>
      <c r="R23" s="19">
        <f>IF(P$12=0,0,P23/P$12)</f>
        <v>0.58229339525032286</v>
      </c>
      <c r="S23" s="13"/>
      <c r="T23" s="21">
        <f>T12-T18</f>
        <v>60835</v>
      </c>
      <c r="U23" s="13"/>
      <c r="V23" s="19">
        <f>IF(T$12=0,0,T23/T$12)</f>
        <v>0.68248109672642421</v>
      </c>
      <c r="W23" s="16"/>
      <c r="X23" s="21">
        <f>+P23-T23</f>
        <v>-34552.78</v>
      </c>
      <c r="Y23" s="16"/>
      <c r="Z23" s="19">
        <f>IF(T23=0,0,X23/T23)</f>
        <v>-0.56797534314128373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9</v>
      </c>
      <c r="C25" s="10"/>
      <c r="D25" s="20">
        <f>SUM(OSRRefD22x_0)</f>
        <v>59571.05999999999</v>
      </c>
      <c r="E25" s="20"/>
      <c r="F25" s="30">
        <f t="shared" ref="F25:F35" si="12">IF(D$12=0,0,D25/D$12)</f>
        <v>6.0837825196236013</v>
      </c>
      <c r="G25" s="20"/>
      <c r="H25" s="20">
        <f>SUM(OSRRefH22x_0)</f>
        <v>55584.209810015382</v>
      </c>
      <c r="I25" s="20"/>
      <c r="J25" s="30">
        <f t="shared" ref="J25:J35" si="13">IF(H$12=0,0,H25/H$12)</f>
        <v>4.6521769174770151</v>
      </c>
      <c r="K25" s="4"/>
      <c r="L25" s="20">
        <f t="shared" ref="L25:L35" si="14">+D25-H25</f>
        <v>3986.8501899846087</v>
      </c>
      <c r="M25" s="4"/>
      <c r="N25" s="30">
        <f t="shared" ref="N25:N35" si="15">IF(H25=0,0,L25/H25)</f>
        <v>7.172630866952151E-2</v>
      </c>
      <c r="O25" s="10"/>
      <c r="P25" s="20">
        <f>SUM(OSRRefP22x_0)</f>
        <v>383374.56</v>
      </c>
      <c r="Q25" s="20"/>
      <c r="R25" s="30">
        <f t="shared" ref="R25:R35" si="16">IF(P$12=0,0,P25/P$12)</f>
        <v>8.4938210773290326</v>
      </c>
      <c r="S25" s="20"/>
      <c r="T25" s="20">
        <f>SUM(OSRRefT22x_0)</f>
        <v>334121.88373956154</v>
      </c>
      <c r="U25" s="20"/>
      <c r="V25" s="30">
        <f t="shared" ref="V25:V35" si="17">IF(T$12=0,0,T25/T$12)</f>
        <v>3.7483663952473867</v>
      </c>
      <c r="W25" s="4"/>
      <c r="X25" s="20">
        <f t="shared" ref="X25:X35" si="18">+P25-T25</f>
        <v>49252.676260438457</v>
      </c>
      <c r="Y25" s="4"/>
      <c r="Z25" s="30">
        <f t="shared" ref="Z25:Z35" si="19">IF(T25=0,0,X25/T25)</f>
        <v>0.14740930976801719</v>
      </c>
    </row>
    <row r="26" spans="1:26" s="28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13322.75</v>
      </c>
      <c r="E26" s="1"/>
      <c r="F26" s="5">
        <f t="shared" si="12"/>
        <v>1.3606055283104808</v>
      </c>
      <c r="G26" s="1"/>
      <c r="H26" s="1">
        <f>SUM(OSRRefH22_0x_0)</f>
        <v>4740.0358100153808</v>
      </c>
      <c r="I26" s="1"/>
      <c r="J26" s="5">
        <f t="shared" si="13"/>
        <v>0.39672211332569307</v>
      </c>
      <c r="K26" s="1"/>
      <c r="L26" s="1">
        <f t="shared" si="14"/>
        <v>8582.7141899846192</v>
      </c>
      <c r="M26" s="1"/>
      <c r="N26" s="5">
        <f t="shared" si="15"/>
        <v>1.8106855167317333</v>
      </c>
      <c r="O26" s="14"/>
      <c r="P26" s="1">
        <f>SUM(OSRRefP22_0x_0)</f>
        <v>82118.58</v>
      </c>
      <c r="Q26" s="1"/>
      <c r="R26" s="5">
        <f t="shared" si="16"/>
        <v>1.8193709192501724</v>
      </c>
      <c r="S26" s="1"/>
      <c r="T26" s="1">
        <f>SUM(OSRRefT22_0x_0)</f>
        <v>35589.124739561528</v>
      </c>
      <c r="U26" s="1"/>
      <c r="V26" s="5">
        <f t="shared" si="17"/>
        <v>0.39925873072720419</v>
      </c>
      <c r="W26" s="1"/>
      <c r="X26" s="1">
        <f t="shared" si="18"/>
        <v>46529.455260438473</v>
      </c>
      <c r="Y26" s="1"/>
      <c r="Z26" s="5">
        <f t="shared" si="19"/>
        <v>1.307406563126726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1415.38</v>
      </c>
      <c r="E27" s="2"/>
      <c r="F27" s="6">
        <f t="shared" si="12"/>
        <v>0.14454777374491665</v>
      </c>
      <c r="G27" s="2"/>
      <c r="H27" s="7">
        <v>537.71355540000002</v>
      </c>
      <c r="I27" s="2"/>
      <c r="J27" s="6">
        <f t="shared" si="13"/>
        <v>4.5004482373619016E-2</v>
      </c>
      <c r="K27" s="2"/>
      <c r="L27" s="7">
        <f t="shared" si="14"/>
        <v>877.66644460000009</v>
      </c>
      <c r="M27" s="2"/>
      <c r="N27" s="6">
        <f t="shared" si="15"/>
        <v>1.6322193029839323</v>
      </c>
      <c r="O27" s="11"/>
      <c r="P27" s="7">
        <v>9699.44</v>
      </c>
      <c r="Q27" s="2"/>
      <c r="R27" s="6">
        <f t="shared" si="16"/>
        <v>0.21489508304955945</v>
      </c>
      <c r="S27" s="2"/>
      <c r="T27" s="7">
        <v>4211.5507461000007</v>
      </c>
      <c r="U27" s="2"/>
      <c r="V27" s="6">
        <f t="shared" si="17"/>
        <v>4.7247534677690779E-2</v>
      </c>
      <c r="W27" s="2"/>
      <c r="X27" s="7">
        <f t="shared" si="18"/>
        <v>5487.8892538999999</v>
      </c>
      <c r="Y27" s="2"/>
      <c r="Z27" s="6">
        <f t="shared" si="19"/>
        <v>1.3030566612504717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1051.44</v>
      </c>
      <c r="E28" s="2"/>
      <c r="F28" s="6">
        <f t="shared" si="12"/>
        <v>0.10737986351817545</v>
      </c>
      <c r="G28" s="2"/>
      <c r="H28" s="7">
        <v>451.55596200000002</v>
      </c>
      <c r="I28" s="2"/>
      <c r="J28" s="6">
        <f t="shared" si="13"/>
        <v>3.7793435051891533E-2</v>
      </c>
      <c r="K28" s="2"/>
      <c r="L28" s="7">
        <f t="shared" si="14"/>
        <v>599.88403800000003</v>
      </c>
      <c r="M28" s="2"/>
      <c r="N28" s="6">
        <f t="shared" si="15"/>
        <v>1.3284821561053821</v>
      </c>
      <c r="O28" s="11"/>
      <c r="P28" s="7">
        <v>4531.63</v>
      </c>
      <c r="Q28" s="2"/>
      <c r="R28" s="6">
        <f t="shared" si="16"/>
        <v>0.10040012672895292</v>
      </c>
      <c r="S28" s="2"/>
      <c r="T28" s="7">
        <v>3209.999793</v>
      </c>
      <c r="U28" s="2"/>
      <c r="V28" s="6">
        <f t="shared" si="17"/>
        <v>3.6011575231663262E-2</v>
      </c>
      <c r="W28" s="2"/>
      <c r="X28" s="7">
        <f t="shared" si="18"/>
        <v>1321.6302070000002</v>
      </c>
      <c r="Y28" s="2"/>
      <c r="Z28" s="6">
        <f t="shared" si="19"/>
        <v>0.41172283246935404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>
        <v>6712.24</v>
      </c>
      <c r="E29" s="2"/>
      <c r="F29" s="6">
        <f t="shared" si="12"/>
        <v>0.6854974274340313</v>
      </c>
      <c r="G29" s="2"/>
      <c r="H29" s="7">
        <v>2481.6153846153798</v>
      </c>
      <c r="I29" s="2"/>
      <c r="J29" s="6">
        <f t="shared" si="13"/>
        <v>0.20770132110942247</v>
      </c>
      <c r="K29" s="2"/>
      <c r="L29" s="7">
        <f t="shared" si="14"/>
        <v>4230.6246153846205</v>
      </c>
      <c r="M29" s="2"/>
      <c r="N29" s="6">
        <f t="shared" si="15"/>
        <v>1.7047865844208232</v>
      </c>
      <c r="O29" s="11"/>
      <c r="P29" s="7">
        <v>40931.39</v>
      </c>
      <c r="Q29" s="2"/>
      <c r="R29" s="6">
        <f t="shared" si="16"/>
        <v>0.90685178251362009</v>
      </c>
      <c r="S29" s="2"/>
      <c r="T29" s="7">
        <v>19230.461538461528</v>
      </c>
      <c r="U29" s="2"/>
      <c r="V29" s="6">
        <f t="shared" si="17"/>
        <v>0.21573808632077821</v>
      </c>
      <c r="W29" s="2"/>
      <c r="X29" s="7">
        <f t="shared" si="18"/>
        <v>21700.928461538471</v>
      </c>
      <c r="Y29" s="2"/>
      <c r="Z29" s="6">
        <f t="shared" si="19"/>
        <v>1.1284663354613684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/>
      <c r="E30" s="2"/>
      <c r="F30" s="6">
        <f t="shared" si="12"/>
        <v>0</v>
      </c>
      <c r="G30" s="2"/>
      <c r="H30" s="7">
        <v>27.367028000000001</v>
      </c>
      <c r="I30" s="2"/>
      <c r="J30" s="6">
        <f t="shared" si="13"/>
        <v>2.2905112152661533E-3</v>
      </c>
      <c r="K30" s="2"/>
      <c r="L30" s="7">
        <f t="shared" si="14"/>
        <v>-27.367028000000001</v>
      </c>
      <c r="M30" s="2"/>
      <c r="N30" s="6">
        <f t="shared" si="15"/>
        <v>-1</v>
      </c>
      <c r="O30" s="11"/>
      <c r="P30" s="7">
        <v>313</v>
      </c>
      <c r="Q30" s="2"/>
      <c r="R30" s="6">
        <f t="shared" si="16"/>
        <v>6.9346437520632232E-3</v>
      </c>
      <c r="S30" s="2"/>
      <c r="T30" s="7">
        <v>194.54544200000001</v>
      </c>
      <c r="U30" s="2"/>
      <c r="V30" s="6">
        <f t="shared" si="17"/>
        <v>2.182519711009895E-3</v>
      </c>
      <c r="W30" s="2"/>
      <c r="X30" s="7">
        <f t="shared" si="18"/>
        <v>118.45455799999999</v>
      </c>
      <c r="Y30" s="2"/>
      <c r="Z30" s="6">
        <f t="shared" si="19"/>
        <v>0.608878608423013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>
        <v>1527.3</v>
      </c>
      <c r="E31" s="2"/>
      <c r="F31" s="6">
        <f t="shared" si="12"/>
        <v>0.15597776910837455</v>
      </c>
      <c r="G31" s="2"/>
      <c r="H31" s="7">
        <v>434.17788000000002</v>
      </c>
      <c r="I31" s="2"/>
      <c r="J31" s="6">
        <f t="shared" si="13"/>
        <v>3.6338958821560095E-2</v>
      </c>
      <c r="K31" s="2"/>
      <c r="L31" s="7">
        <f t="shared" si="14"/>
        <v>1093.12212</v>
      </c>
      <c r="M31" s="2"/>
      <c r="N31" s="6">
        <f t="shared" si="15"/>
        <v>2.5176826603879499</v>
      </c>
      <c r="O31" s="11"/>
      <c r="P31" s="7">
        <v>9256.14</v>
      </c>
      <c r="Q31" s="2"/>
      <c r="R31" s="6">
        <f t="shared" si="16"/>
        <v>0.20507358919879387</v>
      </c>
      <c r="S31" s="2"/>
      <c r="T31" s="7">
        <v>2822.1562199999998</v>
      </c>
      <c r="U31" s="2"/>
      <c r="V31" s="6">
        <f t="shared" si="17"/>
        <v>3.1660528842917722E-2</v>
      </c>
      <c r="W31" s="2"/>
      <c r="X31" s="7">
        <f t="shared" si="18"/>
        <v>6433.9837799999996</v>
      </c>
      <c r="Y31" s="2"/>
      <c r="Z31" s="6">
        <f t="shared" si="19"/>
        <v>2.2798113493518795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9"/>
      <c r="B33" s="11" t="str">
        <f>CONCATENATE("          ", "6118", " - ", "VACATION")</f>
        <v xml:space="preserve">          6118 - VACATION</v>
      </c>
      <c r="C33" s="11"/>
      <c r="D33" s="7">
        <v>1377.86</v>
      </c>
      <c r="E33" s="2"/>
      <c r="F33" s="6">
        <f t="shared" si="12"/>
        <v>0.14071598830856083</v>
      </c>
      <c r="G33" s="2"/>
      <c r="H33" s="7">
        <v>351.30900000000003</v>
      </c>
      <c r="I33" s="2"/>
      <c r="J33" s="6">
        <f t="shared" si="13"/>
        <v>2.9403163709407435E-2</v>
      </c>
      <c r="K33" s="2"/>
      <c r="L33" s="7">
        <f t="shared" si="14"/>
        <v>1026.5509999999999</v>
      </c>
      <c r="M33" s="2"/>
      <c r="N33" s="6">
        <f t="shared" si="15"/>
        <v>2.9220742992636106</v>
      </c>
      <c r="O33" s="11"/>
      <c r="P33" s="7">
        <v>8816.2199999999993</v>
      </c>
      <c r="Q33" s="2"/>
      <c r="R33" s="6">
        <f t="shared" si="16"/>
        <v>0.19532698063838602</v>
      </c>
      <c r="S33" s="2"/>
      <c r="T33" s="7">
        <v>2625.4684999999999</v>
      </c>
      <c r="U33" s="2"/>
      <c r="V33" s="6">
        <f t="shared" si="17"/>
        <v>2.9453975857658909E-2</v>
      </c>
      <c r="W33" s="2"/>
      <c r="X33" s="7">
        <f t="shared" si="18"/>
        <v>6190.7514999999994</v>
      </c>
      <c r="Y33" s="2"/>
      <c r="Z33" s="6">
        <f t="shared" si="19"/>
        <v>2.3579606839693561</v>
      </c>
    </row>
    <row r="34" spans="1:26" s="24" customFormat="1" hidden="1" outlineLevel="2" x14ac:dyDescent="0.25">
      <c r="A34" s="29"/>
      <c r="B34" s="11" t="str">
        <f>CONCATENATE("          ", "6119", " - ", "SICK LEAVE")</f>
        <v xml:space="preserve">          6119 - SICK LEAVE</v>
      </c>
      <c r="C34" s="11"/>
      <c r="D34" s="7">
        <v>857.52</v>
      </c>
      <c r="E34" s="2"/>
      <c r="F34" s="6">
        <f t="shared" si="12"/>
        <v>8.7575496998502825E-2</v>
      </c>
      <c r="G34" s="2"/>
      <c r="H34" s="7">
        <v>456.29700000000003</v>
      </c>
      <c r="I34" s="2"/>
      <c r="J34" s="6">
        <f t="shared" si="13"/>
        <v>3.8190241044526285E-2</v>
      </c>
      <c r="K34" s="2"/>
      <c r="L34" s="7">
        <f t="shared" si="14"/>
        <v>401.22299999999996</v>
      </c>
      <c r="M34" s="2"/>
      <c r="N34" s="6">
        <f t="shared" si="15"/>
        <v>0.87930229653054903</v>
      </c>
      <c r="O34" s="11"/>
      <c r="P34" s="7">
        <v>5584.6</v>
      </c>
      <c r="Q34" s="2"/>
      <c r="R34" s="6">
        <f t="shared" si="16"/>
        <v>0.12372911021652486</v>
      </c>
      <c r="S34" s="2"/>
      <c r="T34" s="7">
        <v>3294.9425000000001</v>
      </c>
      <c r="U34" s="2"/>
      <c r="V34" s="6">
        <f t="shared" si="17"/>
        <v>3.696451008548543E-2</v>
      </c>
      <c r="W34" s="2"/>
      <c r="X34" s="7">
        <f t="shared" si="18"/>
        <v>2289.6575000000003</v>
      </c>
      <c r="Y34" s="2"/>
      <c r="Z34" s="6">
        <f t="shared" si="19"/>
        <v>0.69490059386468817</v>
      </c>
    </row>
    <row r="35" spans="1:26" s="24" customFormat="1" hidden="1" outlineLevel="2" x14ac:dyDescent="0.25">
      <c r="A35" s="29"/>
      <c r="B35" s="11" t="str">
        <f>CONCATENATE("          ", "6156", " - ", "EMPLOYEE MEALS")</f>
        <v xml:space="preserve">          6156 - EMPLOYEE MEALS</v>
      </c>
      <c r="C35" s="11"/>
      <c r="D35" s="7">
        <v>381.01</v>
      </c>
      <c r="E35" s="2"/>
      <c r="F35" s="6">
        <f t="shared" si="12"/>
        <v>3.8911209197919065E-2</v>
      </c>
      <c r="G35" s="2"/>
      <c r="H35" s="7"/>
      <c r="I35" s="2"/>
      <c r="J35" s="6">
        <f t="shared" si="13"/>
        <v>0</v>
      </c>
      <c r="K35" s="2"/>
      <c r="L35" s="7">
        <f t="shared" si="14"/>
        <v>381.01</v>
      </c>
      <c r="M35" s="2"/>
      <c r="N35" s="6">
        <f t="shared" si="15"/>
        <v>0</v>
      </c>
      <c r="O35" s="11"/>
      <c r="P35" s="7">
        <v>2986.16</v>
      </c>
      <c r="Q35" s="2"/>
      <c r="R35" s="6">
        <f t="shared" si="16"/>
        <v>6.6159603152271929E-2</v>
      </c>
      <c r="S35" s="2"/>
      <c r="T35" s="7"/>
      <c r="U35" s="2"/>
      <c r="V35" s="6">
        <f t="shared" si="17"/>
        <v>0</v>
      </c>
      <c r="W35" s="2"/>
      <c r="X35" s="7">
        <f t="shared" si="18"/>
        <v>2986.16</v>
      </c>
      <c r="Y35" s="2"/>
      <c r="Z35" s="6">
        <f t="shared" si="19"/>
        <v>0</v>
      </c>
    </row>
    <row r="36" spans="1:26" s="28" customFormat="1" outlineLevel="1" collapsed="1" x14ac:dyDescent="0.25">
      <c r="A36" s="27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15603.07</v>
      </c>
      <c r="E36" s="1"/>
      <c r="F36" s="5">
        <f t="shared" ref="F36:F46" si="20">IF(D$12=0,0,D36/D$12)</f>
        <v>1.5934865775170601</v>
      </c>
      <c r="G36" s="1"/>
      <c r="H36" s="1">
        <f>SUM(OSRRefH22_1x_0)</f>
        <v>9718.1740000000009</v>
      </c>
      <c r="I36" s="1"/>
      <c r="J36" s="5">
        <f t="shared" ref="J36:J46" si="21">IF(H$12=0,0,H36/H$12)</f>
        <v>0.81337244727150992</v>
      </c>
      <c r="K36" s="1"/>
      <c r="L36" s="1">
        <f t="shared" ref="L36:L46" si="22">+D36-H36</f>
        <v>5884.8959999999988</v>
      </c>
      <c r="M36" s="1"/>
      <c r="N36" s="5">
        <f t="shared" ref="N36:N46" si="23">IF(H36=0,0,L36/H36)</f>
        <v>0.60555573505886995</v>
      </c>
      <c r="O36" s="14"/>
      <c r="P36" s="1">
        <f>SUM(OSRRefP22_1x_0)</f>
        <v>108077.08000000002</v>
      </c>
      <c r="Q36" s="1"/>
      <c r="R36" s="5">
        <f t="shared" ref="R36:R46" si="24">IF(P$12=0,0,P36/P$12)</f>
        <v>2.3944921647387774</v>
      </c>
      <c r="S36" s="1"/>
      <c r="T36" s="1">
        <f>SUM(OSRRefT22_1x_0)</f>
        <v>68904.758999999991</v>
      </c>
      <c r="U36" s="1"/>
      <c r="V36" s="5">
        <f t="shared" ref="V36:V46" si="25">IF(T$12=0,0,T36/T$12)</f>
        <v>0.77301217213758433</v>
      </c>
      <c r="W36" s="1"/>
      <c r="X36" s="1">
        <f t="shared" ref="X36:X46" si="26">+P36-T36</f>
        <v>39172.321000000025</v>
      </c>
      <c r="Y36" s="1"/>
      <c r="Z36" s="5">
        <f t="shared" ref="Z36:Z46" si="27">IF(T36=0,0,X36/T36)</f>
        <v>0.56849949943225297</v>
      </c>
    </row>
    <row r="37" spans="1:26" s="24" customFormat="1" hidden="1" outlineLevel="2" x14ac:dyDescent="0.25">
      <c r="A37" s="29"/>
      <c r="B37" s="11" t="str">
        <f>CONCATENATE("          ", "6001", " - ", "ADMINISTRATIVE SALARIES")</f>
        <v xml:space="preserve">          6001 - ADMINISTRATIVE SALARIES</v>
      </c>
      <c r="C37" s="11"/>
      <c r="D37" s="7"/>
      <c r="E37" s="2"/>
      <c r="F37" s="6">
        <f t="shared" si="20"/>
        <v>0</v>
      </c>
      <c r="G37" s="2"/>
      <c r="H37" s="7">
        <v>0</v>
      </c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0</v>
      </c>
      <c r="U37" s="2"/>
      <c r="V37" s="6">
        <f t="shared" si="25"/>
        <v>0</v>
      </c>
      <c r="W37" s="2"/>
      <c r="X37" s="7">
        <f t="shared" si="26"/>
        <v>0</v>
      </c>
      <c r="Y37" s="2"/>
      <c r="Z37" s="6">
        <f t="shared" si="27"/>
        <v>0</v>
      </c>
    </row>
    <row r="38" spans="1:26" s="24" customFormat="1" hidden="1" outlineLevel="2" x14ac:dyDescent="0.25">
      <c r="A38" s="29"/>
      <c r="B38" s="11" t="str">
        <f>CONCATENATE("          ", "6002", " - ", "STAFF SALARIES")</f>
        <v xml:space="preserve">          6002 - STAFF SALARIES</v>
      </c>
      <c r="C38" s="11"/>
      <c r="D38" s="7">
        <v>12942.91</v>
      </c>
      <c r="E38" s="2"/>
      <c r="F38" s="6">
        <f t="shared" si="20"/>
        <v>1.321813807091254</v>
      </c>
      <c r="G38" s="2"/>
      <c r="H38" s="7">
        <v>4543.7219999999998</v>
      </c>
      <c r="I38" s="2"/>
      <c r="J38" s="6">
        <f t="shared" si="21"/>
        <v>0.38029142952795447</v>
      </c>
      <c r="K38" s="2"/>
      <c r="L38" s="7">
        <f t="shared" si="22"/>
        <v>8399.1880000000001</v>
      </c>
      <c r="M38" s="2"/>
      <c r="N38" s="6">
        <f t="shared" si="23"/>
        <v>1.8485259441488719</v>
      </c>
      <c r="O38" s="11"/>
      <c r="P38" s="7">
        <v>85051.03</v>
      </c>
      <c r="Q38" s="2"/>
      <c r="R38" s="6">
        <f t="shared" si="24"/>
        <v>1.8843405552589194</v>
      </c>
      <c r="S38" s="2"/>
      <c r="T38" s="7">
        <v>29534.193000000003</v>
      </c>
      <c r="U38" s="2"/>
      <c r="V38" s="6">
        <f t="shared" si="25"/>
        <v>0.33133111579797619</v>
      </c>
      <c r="W38" s="2"/>
      <c r="X38" s="7">
        <f t="shared" si="26"/>
        <v>55516.837</v>
      </c>
      <c r="Y38" s="2"/>
      <c r="Z38" s="6">
        <f t="shared" si="27"/>
        <v>1.8797478908599261</v>
      </c>
    </row>
    <row r="39" spans="1:26" s="24" customFormat="1" hidden="1" outlineLevel="2" x14ac:dyDescent="0.25">
      <c r="A39" s="29"/>
      <c r="B39" s="11" t="str">
        <f>CONCATENATE("          ", "6003", " - ", "STAFF HOURLY-9 MONTH")</f>
        <v xml:space="preserve">          6003 - STAFF HOURLY-9 MONTH</v>
      </c>
      <c r="C39" s="11"/>
      <c r="D39" s="7"/>
      <c r="E39" s="2"/>
      <c r="F39" s="6">
        <f t="shared" si="20"/>
        <v>0</v>
      </c>
      <c r="G39" s="2"/>
      <c r="H39" s="7">
        <v>0</v>
      </c>
      <c r="I39" s="2"/>
      <c r="J39" s="6">
        <f t="shared" si="21"/>
        <v>0</v>
      </c>
      <c r="K39" s="2"/>
      <c r="L39" s="7">
        <f t="shared" si="22"/>
        <v>0</v>
      </c>
      <c r="M39" s="2"/>
      <c r="N39" s="6">
        <f t="shared" si="23"/>
        <v>0</v>
      </c>
      <c r="O39" s="11"/>
      <c r="P39" s="7"/>
      <c r="Q39" s="2"/>
      <c r="R39" s="6">
        <f t="shared" si="24"/>
        <v>0</v>
      </c>
      <c r="S39" s="2"/>
      <c r="T39" s="7">
        <v>0</v>
      </c>
      <c r="U39" s="2"/>
      <c r="V39" s="6">
        <f t="shared" si="25"/>
        <v>0</v>
      </c>
      <c r="W39" s="2"/>
      <c r="X39" s="7">
        <f t="shared" si="26"/>
        <v>0</v>
      </c>
      <c r="Y39" s="2"/>
      <c r="Z39" s="6">
        <f t="shared" si="27"/>
        <v>0</v>
      </c>
    </row>
    <row r="40" spans="1:26" s="24" customFormat="1" hidden="1" outlineLevel="2" x14ac:dyDescent="0.25">
      <c r="A40" s="29"/>
      <c r="B40" s="11" t="str">
        <f>CONCATENATE("          ", "6004", " - ", "STAFF HOURLY")</f>
        <v xml:space="preserve">          6004 - STAFF HOURLY</v>
      </c>
      <c r="C40" s="11"/>
      <c r="D40" s="7">
        <v>2426.3000000000002</v>
      </c>
      <c r="E40" s="2"/>
      <c r="F40" s="6">
        <f t="shared" si="20"/>
        <v>0.24778947239419186</v>
      </c>
      <c r="G40" s="2"/>
      <c r="H40" s="7">
        <v>1779.84</v>
      </c>
      <c r="I40" s="2"/>
      <c r="J40" s="6">
        <f t="shared" si="21"/>
        <v>0.1489655172413793</v>
      </c>
      <c r="K40" s="2"/>
      <c r="L40" s="7">
        <f t="shared" si="22"/>
        <v>646.46000000000026</v>
      </c>
      <c r="M40" s="2"/>
      <c r="N40" s="6">
        <f t="shared" si="23"/>
        <v>0.36321242358863737</v>
      </c>
      <c r="O40" s="11"/>
      <c r="P40" s="7">
        <v>20524.63</v>
      </c>
      <c r="Q40" s="2"/>
      <c r="R40" s="6">
        <f t="shared" si="24"/>
        <v>0.45473162042463067</v>
      </c>
      <c r="S40" s="2"/>
      <c r="T40" s="7">
        <v>17724.240000000002</v>
      </c>
      <c r="U40" s="2"/>
      <c r="V40" s="6">
        <f t="shared" si="25"/>
        <v>0.19884044963988423</v>
      </c>
      <c r="W40" s="2"/>
      <c r="X40" s="7">
        <f t="shared" si="26"/>
        <v>2800.3899999999994</v>
      </c>
      <c r="Y40" s="2"/>
      <c r="Z40" s="6">
        <f t="shared" si="27"/>
        <v>0.15799774771725045</v>
      </c>
    </row>
    <row r="41" spans="1:26" s="24" customFormat="1" hidden="1" outlineLevel="2" x14ac:dyDescent="0.25">
      <c r="A41" s="29"/>
      <c r="B41" s="11" t="str">
        <f>CONCATENATE("          ", "6005", " - ", "TEMPORARY WAGES-HOURLY")</f>
        <v xml:space="preserve">          6005 - TEMPORARY WAGES-HOURLY</v>
      </c>
      <c r="C41" s="11"/>
      <c r="D41" s="7">
        <v>233.86</v>
      </c>
      <c r="E41" s="2"/>
      <c r="F41" s="6">
        <f t="shared" si="20"/>
        <v>2.3883298031614271E-2</v>
      </c>
      <c r="G41" s="2"/>
      <c r="H41" s="7">
        <v>1452.672</v>
      </c>
      <c r="I41" s="2"/>
      <c r="J41" s="6">
        <f t="shared" si="21"/>
        <v>0.12158285905590895</v>
      </c>
      <c r="K41" s="2"/>
      <c r="L41" s="7">
        <f t="shared" si="22"/>
        <v>-1218.8119999999999</v>
      </c>
      <c r="M41" s="2"/>
      <c r="N41" s="6">
        <f t="shared" si="23"/>
        <v>-0.83901389990307507</v>
      </c>
      <c r="O41" s="11"/>
      <c r="P41" s="7">
        <v>2431.71</v>
      </c>
      <c r="Q41" s="2"/>
      <c r="R41" s="6">
        <f t="shared" si="24"/>
        <v>5.3875535330126713E-2</v>
      </c>
      <c r="S41" s="2"/>
      <c r="T41" s="7">
        <v>9881.1959999999999</v>
      </c>
      <c r="U41" s="2"/>
      <c r="V41" s="6">
        <f t="shared" si="25"/>
        <v>0.11085279005586843</v>
      </c>
      <c r="W41" s="2"/>
      <c r="X41" s="7">
        <f t="shared" si="26"/>
        <v>-7449.4859999999999</v>
      </c>
      <c r="Y41" s="2"/>
      <c r="Z41" s="6">
        <f t="shared" si="27"/>
        <v>-0.75390529648435267</v>
      </c>
    </row>
    <row r="42" spans="1:26" s="24" customFormat="1" hidden="1" outlineLevel="2" x14ac:dyDescent="0.25">
      <c r="A42" s="29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0"/>
        <v>0</v>
      </c>
      <c r="G42" s="2"/>
      <c r="H42" s="7">
        <v>0</v>
      </c>
      <c r="I42" s="2"/>
      <c r="J42" s="6">
        <f t="shared" si="21"/>
        <v>0</v>
      </c>
      <c r="K42" s="2"/>
      <c r="L42" s="7">
        <f t="shared" si="22"/>
        <v>0</v>
      </c>
      <c r="M42" s="2"/>
      <c r="N42" s="6">
        <f t="shared" si="23"/>
        <v>0</v>
      </c>
      <c r="O42" s="11"/>
      <c r="P42" s="7"/>
      <c r="Q42" s="2"/>
      <c r="R42" s="6">
        <f t="shared" si="24"/>
        <v>0</v>
      </c>
      <c r="S42" s="2"/>
      <c r="T42" s="7">
        <v>0</v>
      </c>
      <c r="U42" s="2"/>
      <c r="V42" s="6">
        <f t="shared" si="25"/>
        <v>0</v>
      </c>
      <c r="W42" s="2"/>
      <c r="X42" s="7">
        <f t="shared" si="26"/>
        <v>0</v>
      </c>
      <c r="Y42" s="2"/>
      <c r="Z42" s="6">
        <f t="shared" si="27"/>
        <v>0</v>
      </c>
    </row>
    <row r="43" spans="1:26" s="24" customFormat="1" hidden="1" outlineLevel="2" x14ac:dyDescent="0.25">
      <c r="A43" s="29"/>
      <c r="B43" s="11" t="str">
        <f>CONCATENATE("          ", "6007", " - ", "STUDENT HOURLY")</f>
        <v xml:space="preserve">          6007 - STUDENT HOURLY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>
        <v>69.709999999999994</v>
      </c>
      <c r="Q43" s="2"/>
      <c r="R43" s="6">
        <f t="shared" si="24"/>
        <v>1.5444537251000871E-3</v>
      </c>
      <c r="S43" s="2"/>
      <c r="T43" s="7">
        <v>2446.34</v>
      </c>
      <c r="U43" s="2"/>
      <c r="V43" s="6">
        <f t="shared" si="25"/>
        <v>2.7444412035271155E-2</v>
      </c>
      <c r="W43" s="2"/>
      <c r="X43" s="7">
        <f t="shared" si="26"/>
        <v>-2376.63</v>
      </c>
      <c r="Y43" s="2"/>
      <c r="Z43" s="6">
        <f t="shared" si="27"/>
        <v>-0.97150436979324217</v>
      </c>
    </row>
    <row r="44" spans="1:26" s="24" customFormat="1" hidden="1" outlineLevel="2" x14ac:dyDescent="0.25">
      <c r="A44" s="29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0"/>
        <v>0</v>
      </c>
      <c r="G44" s="2"/>
      <c r="H44" s="7">
        <v>1941.94</v>
      </c>
      <c r="I44" s="2"/>
      <c r="J44" s="6">
        <f t="shared" si="21"/>
        <v>0.16253264144626717</v>
      </c>
      <c r="K44" s="2"/>
      <c r="L44" s="7">
        <f t="shared" si="22"/>
        <v>-1941.94</v>
      </c>
      <c r="M44" s="2"/>
      <c r="N44" s="6">
        <f t="shared" si="23"/>
        <v>-1</v>
      </c>
      <c r="O44" s="11"/>
      <c r="P44" s="7"/>
      <c r="Q44" s="2"/>
      <c r="R44" s="6">
        <f t="shared" si="24"/>
        <v>0</v>
      </c>
      <c r="S44" s="2"/>
      <c r="T44" s="7">
        <v>9318.7900000000009</v>
      </c>
      <c r="U44" s="2"/>
      <c r="V44" s="6">
        <f t="shared" si="25"/>
        <v>0.10454340460858445</v>
      </c>
      <c r="W44" s="2"/>
      <c r="X44" s="7">
        <f t="shared" si="26"/>
        <v>-9318.7900000000009</v>
      </c>
      <c r="Y44" s="2"/>
      <c r="Z44" s="6">
        <f t="shared" si="27"/>
        <v>-1</v>
      </c>
    </row>
    <row r="45" spans="1:26" s="24" customFormat="1" hidden="1" outlineLevel="2" x14ac:dyDescent="0.25">
      <c r="A45" s="29"/>
      <c r="B45" s="11" t="str">
        <f>CONCATENATE("          ", "6009", " - ", "TEMPORARY-SEASONAL")</f>
        <v xml:space="preserve">          6009 - TEMPORARY-SEASONAL</v>
      </c>
      <c r="C45" s="11"/>
      <c r="D45" s="7"/>
      <c r="E45" s="2"/>
      <c r="F45" s="6">
        <f t="shared" si="20"/>
        <v>0</v>
      </c>
      <c r="G45" s="2"/>
      <c r="H45" s="7">
        <v>0</v>
      </c>
      <c r="I45" s="2"/>
      <c r="J45" s="6">
        <f t="shared" si="21"/>
        <v>0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/>
      <c r="Q45" s="2"/>
      <c r="R45" s="6">
        <f t="shared" si="24"/>
        <v>0</v>
      </c>
      <c r="S45" s="2"/>
      <c r="T45" s="7">
        <v>0</v>
      </c>
      <c r="U45" s="2"/>
      <c r="V45" s="6">
        <f t="shared" si="25"/>
        <v>0</v>
      </c>
      <c r="W45" s="2"/>
      <c r="X45" s="7">
        <f t="shared" si="26"/>
        <v>0</v>
      </c>
      <c r="Y45" s="2"/>
      <c r="Z45" s="6">
        <f t="shared" si="27"/>
        <v>0</v>
      </c>
    </row>
    <row r="46" spans="1:26" s="24" customFormat="1" hidden="1" outlineLevel="2" x14ac:dyDescent="0.25">
      <c r="A46" s="29"/>
      <c r="B46" s="11" t="str">
        <f>CONCATENATE("          ", "6010", " - ", "GRATUITY")</f>
        <v xml:space="preserve">          6010 - GRATUITY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8" customFormat="1" outlineLevel="1" collapsed="1" x14ac:dyDescent="0.25">
      <c r="A47" s="27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7.42</v>
      </c>
      <c r="E47" s="1"/>
      <c r="F47" s="5">
        <f t="shared" ref="F47:F55" si="28">IF(D$12=0,0,D47/D$12)</f>
        <v>7.5777846315991566E-4</v>
      </c>
      <c r="G47" s="1"/>
      <c r="H47" s="1">
        <f>SUM(OSRRefH22_2x_0)</f>
        <v>553</v>
      </c>
      <c r="I47" s="1"/>
      <c r="J47" s="5">
        <f t="shared" ref="J47:J55" si="29">IF(H$12=0,0,H47/H$12)</f>
        <v>4.6283896886508205E-2</v>
      </c>
      <c r="K47" s="1"/>
      <c r="L47" s="1">
        <f t="shared" ref="L47:L55" si="30">+D47-H47</f>
        <v>-545.58000000000004</v>
      </c>
      <c r="M47" s="1"/>
      <c r="N47" s="5">
        <f t="shared" ref="N47:N55" si="31">IF(H47=0,0,L47/H47)</f>
        <v>-0.98658227848101276</v>
      </c>
      <c r="O47" s="14"/>
      <c r="P47" s="1">
        <f>SUM(OSRRefP22_2x_0)</f>
        <v>133.94999999999999</v>
      </c>
      <c r="Q47" s="1"/>
      <c r="R47" s="5">
        <f t="shared" ref="R47:R55" si="32">IF(P$12=0,0,P47/P$12)</f>
        <v>2.9677173501241809E-3</v>
      </c>
      <c r="S47" s="1"/>
      <c r="T47" s="1">
        <f>SUM(OSRRefT22_2x_0)</f>
        <v>3694</v>
      </c>
      <c r="U47" s="1"/>
      <c r="V47" s="5">
        <f t="shared" ref="V47:V55" si="33">IF(T$12=0,0,T47/T$12)</f>
        <v>4.1441360586955057E-2</v>
      </c>
      <c r="W47" s="1"/>
      <c r="X47" s="1">
        <f t="shared" ref="X47:X55" si="34">+P47-T47</f>
        <v>-3560.05</v>
      </c>
      <c r="Y47" s="1"/>
      <c r="Z47" s="5">
        <f t="shared" ref="Z47:Z55" si="35">IF(T47=0,0,X47/T47)</f>
        <v>-0.96373849485652419</v>
      </c>
    </row>
    <row r="48" spans="1:26" s="24" customFormat="1" hidden="1" outlineLevel="2" x14ac:dyDescent="0.25">
      <c r="A48" s="29"/>
      <c r="B48" s="11" t="str">
        <f>CONCATENATE("          ", "6362", " - ", "ADVERTISING EXPENSE")</f>
        <v xml:space="preserve">          6362 - ADVERTISING EXPENSE</v>
      </c>
      <c r="C48" s="11"/>
      <c r="D48" s="7">
        <v>7.42</v>
      </c>
      <c r="E48" s="2"/>
      <c r="F48" s="6">
        <f t="shared" si="28"/>
        <v>7.5777846315991566E-4</v>
      </c>
      <c r="G48" s="2"/>
      <c r="H48" s="7">
        <v>553</v>
      </c>
      <c r="I48" s="2"/>
      <c r="J48" s="6">
        <f t="shared" si="29"/>
        <v>4.6283896886508205E-2</v>
      </c>
      <c r="K48" s="2"/>
      <c r="L48" s="7">
        <f t="shared" si="30"/>
        <v>-545.58000000000004</v>
      </c>
      <c r="M48" s="2"/>
      <c r="N48" s="6">
        <f t="shared" si="31"/>
        <v>-0.98658227848101276</v>
      </c>
      <c r="O48" s="11"/>
      <c r="P48" s="7">
        <v>133.94999999999999</v>
      </c>
      <c r="Q48" s="2"/>
      <c r="R48" s="6">
        <f t="shared" si="32"/>
        <v>2.9677173501241809E-3</v>
      </c>
      <c r="S48" s="2"/>
      <c r="T48" s="7">
        <v>3694</v>
      </c>
      <c r="U48" s="2"/>
      <c r="V48" s="6">
        <f t="shared" si="33"/>
        <v>4.1441360586955057E-2</v>
      </c>
      <c r="W48" s="2"/>
      <c r="X48" s="7">
        <f t="shared" si="34"/>
        <v>-3560.05</v>
      </c>
      <c r="Y48" s="2"/>
      <c r="Z48" s="6">
        <f t="shared" si="35"/>
        <v>-0.96373849485652419</v>
      </c>
    </row>
    <row r="49" spans="1:26" s="28" customFormat="1" outlineLevel="1" collapsed="1" x14ac:dyDescent="0.25">
      <c r="A49" s="27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1.74</v>
      </c>
      <c r="E49" s="1"/>
      <c r="F49" s="5">
        <f t="shared" si="28"/>
        <v>1.7770007087577539E-4</v>
      </c>
      <c r="G49" s="1"/>
      <c r="H49" s="1">
        <f>SUM(OSRRefH22_3x_0)</f>
        <v>5</v>
      </c>
      <c r="I49" s="1"/>
      <c r="J49" s="5">
        <f t="shared" si="29"/>
        <v>4.1848008034817542E-4</v>
      </c>
      <c r="K49" s="1"/>
      <c r="L49" s="1">
        <f t="shared" si="30"/>
        <v>-3.26</v>
      </c>
      <c r="M49" s="1"/>
      <c r="N49" s="5">
        <f t="shared" si="31"/>
        <v>-0.65199999999999991</v>
      </c>
      <c r="O49" s="14"/>
      <c r="P49" s="1">
        <f>SUM(OSRRefP22_3x_0)</f>
        <v>8.7899999999999991</v>
      </c>
      <c r="Q49" s="1"/>
      <c r="R49" s="5">
        <f t="shared" si="32"/>
        <v>1.9474606575282978E-4</v>
      </c>
      <c r="S49" s="1"/>
      <c r="T49" s="1">
        <f>SUM(OSRRefT22_3x_0)</f>
        <v>60</v>
      </c>
      <c r="U49" s="1"/>
      <c r="V49" s="5">
        <f t="shared" si="33"/>
        <v>6.7311359913841459E-4</v>
      </c>
      <c r="W49" s="1"/>
      <c r="X49" s="1">
        <f t="shared" si="34"/>
        <v>-51.21</v>
      </c>
      <c r="Y49" s="1"/>
      <c r="Z49" s="5">
        <f t="shared" si="35"/>
        <v>-0.85350000000000004</v>
      </c>
    </row>
    <row r="50" spans="1:26" s="24" customFormat="1" hidden="1" outlineLevel="2" x14ac:dyDescent="0.25">
      <c r="A50" s="29"/>
      <c r="B50" s="11" t="str">
        <f>CONCATENATE("          ", "6272", " - ", "CASH (OVER/SHORT)")</f>
        <v xml:space="preserve">          6272 - CASH (OVER/SHORT)</v>
      </c>
      <c r="C50" s="11"/>
      <c r="D50" s="7">
        <v>1.74</v>
      </c>
      <c r="E50" s="2"/>
      <c r="F50" s="6">
        <f t="shared" si="28"/>
        <v>1.7770007087577539E-4</v>
      </c>
      <c r="G50" s="2"/>
      <c r="H50" s="7">
        <v>5</v>
      </c>
      <c r="I50" s="2"/>
      <c r="J50" s="6">
        <f t="shared" si="29"/>
        <v>4.1848008034817542E-4</v>
      </c>
      <c r="K50" s="2"/>
      <c r="L50" s="7">
        <f t="shared" si="30"/>
        <v>-3.26</v>
      </c>
      <c r="M50" s="2"/>
      <c r="N50" s="6">
        <f t="shared" si="31"/>
        <v>-0.65199999999999991</v>
      </c>
      <c r="O50" s="11"/>
      <c r="P50" s="7">
        <v>8.7899999999999991</v>
      </c>
      <c r="Q50" s="2"/>
      <c r="R50" s="6">
        <f t="shared" si="32"/>
        <v>1.9474606575282978E-4</v>
      </c>
      <c r="S50" s="2"/>
      <c r="T50" s="7">
        <v>60</v>
      </c>
      <c r="U50" s="2"/>
      <c r="V50" s="6">
        <f t="shared" si="33"/>
        <v>6.7311359913841459E-4</v>
      </c>
      <c r="W50" s="2"/>
      <c r="X50" s="7">
        <f t="shared" si="34"/>
        <v>-51.21</v>
      </c>
      <c r="Y50" s="2"/>
      <c r="Z50" s="6">
        <f t="shared" si="35"/>
        <v>-0.85350000000000004</v>
      </c>
    </row>
    <row r="51" spans="1:26" s="28" customFormat="1" outlineLevel="1" collapsed="1" x14ac:dyDescent="0.25">
      <c r="A51" s="27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277.60000000000002</v>
      </c>
      <c r="E51" s="1"/>
      <c r="F51" s="5">
        <f t="shared" si="28"/>
        <v>2.8350310158112214E-2</v>
      </c>
      <c r="G51" s="1"/>
      <c r="H51" s="1">
        <f>SUM(OSRRefH22_4x_0)</f>
        <v>4397</v>
      </c>
      <c r="I51" s="1"/>
      <c r="J51" s="5">
        <f t="shared" si="29"/>
        <v>0.36801138265818545</v>
      </c>
      <c r="K51" s="1"/>
      <c r="L51" s="1">
        <f t="shared" si="30"/>
        <v>-4119.3999999999996</v>
      </c>
      <c r="M51" s="1"/>
      <c r="N51" s="5">
        <f t="shared" si="31"/>
        <v>-0.9368660450307027</v>
      </c>
      <c r="O51" s="14"/>
      <c r="P51" s="1">
        <f>SUM(OSRRefP22_4x_0)</f>
        <v>1066.8499999999999</v>
      </c>
      <c r="Q51" s="1"/>
      <c r="R51" s="5">
        <f t="shared" si="32"/>
        <v>2.3636500597088335E-2</v>
      </c>
      <c r="S51" s="1"/>
      <c r="T51" s="1">
        <f>SUM(OSRRefT22_4x_0)</f>
        <v>19248</v>
      </c>
      <c r="U51" s="1"/>
      <c r="V51" s="5">
        <f t="shared" si="33"/>
        <v>0.21593484260360341</v>
      </c>
      <c r="W51" s="1"/>
      <c r="X51" s="1">
        <f t="shared" si="34"/>
        <v>-18181.150000000001</v>
      </c>
      <c r="Y51" s="1"/>
      <c r="Z51" s="5">
        <f t="shared" si="35"/>
        <v>-0.94457346217788873</v>
      </c>
    </row>
    <row r="52" spans="1:26" s="24" customFormat="1" hidden="1" outlineLevel="2" x14ac:dyDescent="0.25">
      <c r="A52" s="29"/>
      <c r="B52" s="11" t="str">
        <f>CONCATENATE("          ", "6381", " - ", "BANK/CREDIT CARD FEES")</f>
        <v xml:space="preserve">          6381 - BANK/CREDIT CARD FEES</v>
      </c>
      <c r="C52" s="11"/>
      <c r="D52" s="7">
        <v>277.60000000000002</v>
      </c>
      <c r="E52" s="2"/>
      <c r="F52" s="6">
        <f t="shared" si="28"/>
        <v>2.8350310158112214E-2</v>
      </c>
      <c r="G52" s="2"/>
      <c r="H52" s="7">
        <v>4397</v>
      </c>
      <c r="I52" s="2"/>
      <c r="J52" s="6">
        <f t="shared" si="29"/>
        <v>0.36801138265818545</v>
      </c>
      <c r="K52" s="2"/>
      <c r="L52" s="7">
        <f t="shared" si="30"/>
        <v>-4119.3999999999996</v>
      </c>
      <c r="M52" s="2"/>
      <c r="N52" s="6">
        <f t="shared" si="31"/>
        <v>-0.9368660450307027</v>
      </c>
      <c r="O52" s="11"/>
      <c r="P52" s="7">
        <v>1066.8499999999999</v>
      </c>
      <c r="Q52" s="2"/>
      <c r="R52" s="6">
        <f t="shared" si="32"/>
        <v>2.3636500597088335E-2</v>
      </c>
      <c r="S52" s="2"/>
      <c r="T52" s="7">
        <v>19248</v>
      </c>
      <c r="U52" s="2"/>
      <c r="V52" s="6">
        <f t="shared" si="33"/>
        <v>0.21593484260360341</v>
      </c>
      <c r="W52" s="2"/>
      <c r="X52" s="7">
        <f t="shared" si="34"/>
        <v>-18181.150000000001</v>
      </c>
      <c r="Y52" s="2"/>
      <c r="Z52" s="6">
        <f t="shared" si="35"/>
        <v>-0.94457346217788873</v>
      </c>
    </row>
    <row r="53" spans="1:26" s="28" customFormat="1" outlineLevel="1" collapsed="1" x14ac:dyDescent="0.25">
      <c r="A53" s="27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13902.32</v>
      </c>
      <c r="E53" s="1"/>
      <c r="F53" s="5">
        <f t="shared" si="28"/>
        <v>1.4197949708837412</v>
      </c>
      <c r="G53" s="1"/>
      <c r="H53" s="1">
        <f>SUM(OSRRefH22_5x_0)</f>
        <v>13630</v>
      </c>
      <c r="I53" s="1"/>
      <c r="J53" s="5">
        <f t="shared" si="29"/>
        <v>1.1407766990291262</v>
      </c>
      <c r="K53" s="1"/>
      <c r="L53" s="1">
        <f t="shared" si="30"/>
        <v>272.31999999999971</v>
      </c>
      <c r="M53" s="1"/>
      <c r="N53" s="5">
        <f t="shared" si="31"/>
        <v>1.997945707997063E-2</v>
      </c>
      <c r="O53" s="14"/>
      <c r="P53" s="1">
        <f>SUM(OSRRefP22_5x_0)</f>
        <v>83379.199999999983</v>
      </c>
      <c r="Q53" s="1"/>
      <c r="R53" s="5">
        <f t="shared" si="32"/>
        <v>1.8473004739042485</v>
      </c>
      <c r="S53" s="1"/>
      <c r="T53" s="1">
        <f>SUM(OSRRefT22_5x_0)</f>
        <v>82008</v>
      </c>
      <c r="U53" s="1"/>
      <c r="V53" s="5">
        <f t="shared" si="33"/>
        <v>0.92001166730238504</v>
      </c>
      <c r="W53" s="1"/>
      <c r="X53" s="1">
        <f t="shared" si="34"/>
        <v>1371.1999999999825</v>
      </c>
      <c r="Y53" s="1"/>
      <c r="Z53" s="5">
        <f t="shared" si="35"/>
        <v>1.6720319968783322E-2</v>
      </c>
    </row>
    <row r="54" spans="1:26" s="24" customFormat="1" hidden="1" outlineLevel="2" x14ac:dyDescent="0.25">
      <c r="A54" s="29"/>
      <c r="B54" s="11" t="str">
        <f>CONCATENATE("          ", "6321", " - ", "BUILDING DEPRECIATION")</f>
        <v xml:space="preserve">          6321 - BUILDING DEPRECIATION</v>
      </c>
      <c r="C54" s="11"/>
      <c r="D54" s="7">
        <v>10597.26</v>
      </c>
      <c r="E54" s="2"/>
      <c r="F54" s="6">
        <f t="shared" si="28"/>
        <v>1.0822608351086318</v>
      </c>
      <c r="G54" s="2"/>
      <c r="H54" s="7"/>
      <c r="I54" s="2"/>
      <c r="J54" s="6">
        <f t="shared" si="29"/>
        <v>0</v>
      </c>
      <c r="K54" s="2"/>
      <c r="L54" s="7">
        <f t="shared" si="30"/>
        <v>10597.26</v>
      </c>
      <c r="M54" s="2"/>
      <c r="N54" s="6">
        <f t="shared" si="31"/>
        <v>0</v>
      </c>
      <c r="O54" s="11"/>
      <c r="P54" s="7">
        <v>63583.55999999999</v>
      </c>
      <c r="Q54" s="2"/>
      <c r="R54" s="6">
        <f t="shared" si="32"/>
        <v>1.4087199267985209</v>
      </c>
      <c r="S54" s="2"/>
      <c r="T54" s="7"/>
      <c r="U54" s="2"/>
      <c r="V54" s="6">
        <f t="shared" si="33"/>
        <v>0</v>
      </c>
      <c r="W54" s="2"/>
      <c r="X54" s="7">
        <f t="shared" si="34"/>
        <v>63583.55999999999</v>
      </c>
      <c r="Y54" s="2"/>
      <c r="Z54" s="6">
        <f t="shared" si="35"/>
        <v>0</v>
      </c>
    </row>
    <row r="55" spans="1:26" s="24" customFormat="1" hidden="1" outlineLevel="2" x14ac:dyDescent="0.25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3305.06</v>
      </c>
      <c r="E55" s="2"/>
      <c r="F55" s="6">
        <f t="shared" si="28"/>
        <v>0.33753413577510932</v>
      </c>
      <c r="G55" s="2"/>
      <c r="H55" s="7">
        <v>13630</v>
      </c>
      <c r="I55" s="2"/>
      <c r="J55" s="6">
        <f t="shared" si="29"/>
        <v>1.1407766990291262</v>
      </c>
      <c r="K55" s="2"/>
      <c r="L55" s="7">
        <f t="shared" si="30"/>
        <v>-10324.94</v>
      </c>
      <c r="M55" s="2"/>
      <c r="N55" s="6">
        <f t="shared" si="31"/>
        <v>-0.75751577402787973</v>
      </c>
      <c r="O55" s="11"/>
      <c r="P55" s="7">
        <v>19795.64</v>
      </c>
      <c r="Q55" s="2"/>
      <c r="R55" s="6">
        <f t="shared" si="32"/>
        <v>0.43858054710572786</v>
      </c>
      <c r="S55" s="2"/>
      <c r="T55" s="7">
        <v>82008</v>
      </c>
      <c r="U55" s="2"/>
      <c r="V55" s="6">
        <f t="shared" si="33"/>
        <v>0.92001166730238504</v>
      </c>
      <c r="W55" s="2"/>
      <c r="X55" s="7">
        <f t="shared" si="34"/>
        <v>-62212.36</v>
      </c>
      <c r="Y55" s="2"/>
      <c r="Z55" s="6">
        <f t="shared" si="35"/>
        <v>-0.75861330601892496</v>
      </c>
    </row>
    <row r="56" spans="1:26" s="28" customFormat="1" outlineLevel="1" collapsed="1" x14ac:dyDescent="0.25">
      <c r="A56" s="27"/>
      <c r="B56" s="14" t="str">
        <f>CONCATENATE("     ","Employees' Appreciation                           ")</f>
        <v xml:space="preserve">     Employees' Appreciation                           </v>
      </c>
      <c r="C56" s="14"/>
      <c r="D56" s="1">
        <f>SUM(OSRRefD22_6x_0)</f>
        <v>10</v>
      </c>
      <c r="E56" s="1"/>
      <c r="F56" s="5">
        <f t="shared" ref="F56:F68" si="36">IF(D$12=0,0,D56/D$12)</f>
        <v>1.0212647751481343E-3</v>
      </c>
      <c r="G56" s="1"/>
      <c r="H56" s="1">
        <f>SUM(OSRRefH22_6x_0)</f>
        <v>100</v>
      </c>
      <c r="I56" s="1"/>
      <c r="J56" s="5">
        <f t="shared" ref="J56:J68" si="37">IF(H$12=0,0,H56/H$12)</f>
        <v>8.3696016069635081E-3</v>
      </c>
      <c r="K56" s="1"/>
      <c r="L56" s="1">
        <f t="shared" ref="L56:L68" si="38">+D56-H56</f>
        <v>-90</v>
      </c>
      <c r="M56" s="1"/>
      <c r="N56" s="5">
        <f t="shared" ref="N56:N68" si="39">IF(H56=0,0,L56/H56)</f>
        <v>-0.9</v>
      </c>
      <c r="O56" s="14"/>
      <c r="P56" s="1">
        <f>SUM(OSRRefP22_6x_0)</f>
        <v>10</v>
      </c>
      <c r="Q56" s="1"/>
      <c r="R56" s="5">
        <f t="shared" ref="R56:R68" si="40">IF(P$12=0,0,P56/P$12)</f>
        <v>2.2155411348444802E-4</v>
      </c>
      <c r="S56" s="1"/>
      <c r="T56" s="1">
        <f>SUM(OSRRefT22_6x_0)</f>
        <v>100</v>
      </c>
      <c r="U56" s="1"/>
      <c r="V56" s="5">
        <f t="shared" ref="V56:V68" si="41">IF(T$12=0,0,T56/T$12)</f>
        <v>1.1218559985640244E-3</v>
      </c>
      <c r="W56" s="1"/>
      <c r="X56" s="1">
        <f t="shared" ref="X56:X68" si="42">+P56-T56</f>
        <v>-90</v>
      </c>
      <c r="Y56" s="1"/>
      <c r="Z56" s="5">
        <f t="shared" ref="Z56:Z68" si="43">IF(T56=0,0,X56/T56)</f>
        <v>-0.9</v>
      </c>
    </row>
    <row r="57" spans="1:26" s="24" customFormat="1" hidden="1" outlineLevel="2" x14ac:dyDescent="0.25">
      <c r="A57" s="29"/>
      <c r="B57" s="11" t="str">
        <f>CONCATENATE("          ", "6277", " - ", "EMPLOYEE APPRECIATION")</f>
        <v xml:space="preserve">          6277 - EMPLOYEE APPRECIATION</v>
      </c>
      <c r="C57" s="11"/>
      <c r="D57" s="7">
        <v>10</v>
      </c>
      <c r="E57" s="2"/>
      <c r="F57" s="6">
        <f t="shared" si="36"/>
        <v>1.0212647751481343E-3</v>
      </c>
      <c r="G57" s="2"/>
      <c r="H57" s="7">
        <v>100</v>
      </c>
      <c r="I57" s="2"/>
      <c r="J57" s="6">
        <f t="shared" si="37"/>
        <v>8.3696016069635081E-3</v>
      </c>
      <c r="K57" s="2"/>
      <c r="L57" s="7">
        <f t="shared" si="38"/>
        <v>-90</v>
      </c>
      <c r="M57" s="2"/>
      <c r="N57" s="6">
        <f t="shared" si="39"/>
        <v>-0.9</v>
      </c>
      <c r="O57" s="11"/>
      <c r="P57" s="7">
        <v>10</v>
      </c>
      <c r="Q57" s="2"/>
      <c r="R57" s="6">
        <f t="shared" si="40"/>
        <v>2.2155411348444802E-4</v>
      </c>
      <c r="S57" s="2"/>
      <c r="T57" s="7">
        <v>100</v>
      </c>
      <c r="U57" s="2"/>
      <c r="V57" s="6">
        <f t="shared" si="41"/>
        <v>1.1218559985640244E-3</v>
      </c>
      <c r="W57" s="2"/>
      <c r="X57" s="7">
        <f t="shared" si="42"/>
        <v>-90</v>
      </c>
      <c r="Y57" s="2"/>
      <c r="Z57" s="6">
        <f t="shared" si="43"/>
        <v>-0.9</v>
      </c>
    </row>
    <row r="58" spans="1:26" s="28" customFormat="1" outlineLevel="1" collapsed="1" x14ac:dyDescent="0.25">
      <c r="A58" s="27"/>
      <c r="B58" s="14" t="str">
        <f>CONCATENATE("     ","Equipment Rental                                  ")</f>
        <v xml:space="preserve">     Equipment Rental                                  </v>
      </c>
      <c r="C58" s="14"/>
      <c r="D58" s="1">
        <f>SUM(OSRRefD22_7x_0)</f>
        <v>206.67</v>
      </c>
      <c r="E58" s="1"/>
      <c r="F58" s="5">
        <f t="shared" si="36"/>
        <v>2.1106479107986492E-2</v>
      </c>
      <c r="G58" s="1"/>
      <c r="H58" s="1">
        <f>SUM(OSRRefH22_7x_0)</f>
        <v>95</v>
      </c>
      <c r="I58" s="1"/>
      <c r="J58" s="5">
        <f t="shared" si="37"/>
        <v>7.9511215266153332E-3</v>
      </c>
      <c r="K58" s="1"/>
      <c r="L58" s="1">
        <f t="shared" si="38"/>
        <v>111.66999999999999</v>
      </c>
      <c r="M58" s="1"/>
      <c r="N58" s="5">
        <f t="shared" si="39"/>
        <v>1.1754736842105262</v>
      </c>
      <c r="O58" s="14"/>
      <c r="P58" s="1">
        <f>SUM(OSRRefP22_7x_0)</f>
        <v>1000.07</v>
      </c>
      <c r="Q58" s="1"/>
      <c r="R58" s="5">
        <f t="shared" si="40"/>
        <v>2.2156962227239195E-2</v>
      </c>
      <c r="S58" s="1"/>
      <c r="T58" s="1">
        <f>SUM(OSRRefT22_7x_0)</f>
        <v>669</v>
      </c>
      <c r="U58" s="1"/>
      <c r="V58" s="5">
        <f t="shared" si="41"/>
        <v>7.5052166303933229E-3</v>
      </c>
      <c r="W58" s="1"/>
      <c r="X58" s="1">
        <f t="shared" si="42"/>
        <v>331.07000000000005</v>
      </c>
      <c r="Y58" s="1"/>
      <c r="Z58" s="5">
        <f t="shared" si="43"/>
        <v>0.49487294469357257</v>
      </c>
    </row>
    <row r="59" spans="1:26" s="24" customFormat="1" hidden="1" outlineLevel="2" x14ac:dyDescent="0.25">
      <c r="A59" s="29"/>
      <c r="B59" s="11" t="str">
        <f>CONCATENATE("          ", "6351", " - ", "EQUIPMENT RENTAL")</f>
        <v xml:space="preserve">          6351 - EQUIPMENT RENTAL</v>
      </c>
      <c r="C59" s="11"/>
      <c r="D59" s="7">
        <v>206.67</v>
      </c>
      <c r="E59" s="2"/>
      <c r="F59" s="6">
        <f t="shared" si="36"/>
        <v>2.1106479107986492E-2</v>
      </c>
      <c r="G59" s="2"/>
      <c r="H59" s="7">
        <v>95</v>
      </c>
      <c r="I59" s="2"/>
      <c r="J59" s="6">
        <f t="shared" si="37"/>
        <v>7.9511215266153332E-3</v>
      </c>
      <c r="K59" s="2"/>
      <c r="L59" s="7">
        <f t="shared" si="38"/>
        <v>111.66999999999999</v>
      </c>
      <c r="M59" s="2"/>
      <c r="N59" s="6">
        <f t="shared" si="39"/>
        <v>1.1754736842105262</v>
      </c>
      <c r="O59" s="11"/>
      <c r="P59" s="7">
        <v>1000.07</v>
      </c>
      <c r="Q59" s="2"/>
      <c r="R59" s="6">
        <f t="shared" si="40"/>
        <v>2.2156962227239195E-2</v>
      </c>
      <c r="S59" s="2"/>
      <c r="T59" s="7">
        <v>669</v>
      </c>
      <c r="U59" s="2"/>
      <c r="V59" s="6">
        <f t="shared" si="41"/>
        <v>7.5052166303933229E-3</v>
      </c>
      <c r="W59" s="2"/>
      <c r="X59" s="7">
        <f t="shared" si="42"/>
        <v>331.07000000000005</v>
      </c>
      <c r="Y59" s="2"/>
      <c r="Z59" s="6">
        <f t="shared" si="43"/>
        <v>0.49487294469357257</v>
      </c>
    </row>
    <row r="60" spans="1:26" s="28" customFormat="1" outlineLevel="1" collapsed="1" x14ac:dyDescent="0.25">
      <c r="A60" s="27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SUM(OSRRefD22_8x_0)</f>
        <v>455</v>
      </c>
      <c r="E60" s="1"/>
      <c r="F60" s="5">
        <f t="shared" si="36"/>
        <v>4.6467547269240114E-2</v>
      </c>
      <c r="G60" s="1"/>
      <c r="H60" s="1">
        <f>SUM(OSRRefH22_8x_0)</f>
        <v>455</v>
      </c>
      <c r="I60" s="1"/>
      <c r="J60" s="5">
        <f t="shared" si="37"/>
        <v>3.8081687311683966E-2</v>
      </c>
      <c r="K60" s="1"/>
      <c r="L60" s="1">
        <f t="shared" si="38"/>
        <v>0</v>
      </c>
      <c r="M60" s="1"/>
      <c r="N60" s="5">
        <f t="shared" si="39"/>
        <v>0</v>
      </c>
      <c r="O60" s="14"/>
      <c r="P60" s="1">
        <f>SUM(OSRRefP22_8x_0)</f>
        <v>2410.0700000000002</v>
      </c>
      <c r="Q60" s="1"/>
      <c r="R60" s="5">
        <f t="shared" si="40"/>
        <v>5.3396092228546368E-2</v>
      </c>
      <c r="S60" s="1"/>
      <c r="T60" s="1">
        <f>SUM(OSRRefT22_8x_0)</f>
        <v>1810</v>
      </c>
      <c r="U60" s="1"/>
      <c r="V60" s="5">
        <f t="shared" si="41"/>
        <v>2.0305593574008841E-2</v>
      </c>
      <c r="W60" s="1"/>
      <c r="X60" s="1">
        <f t="shared" si="42"/>
        <v>600.07000000000016</v>
      </c>
      <c r="Y60" s="1"/>
      <c r="Z60" s="5">
        <f t="shared" si="43"/>
        <v>0.33153038674033158</v>
      </c>
    </row>
    <row r="61" spans="1:26" s="24" customFormat="1" hidden="1" outlineLevel="2" x14ac:dyDescent="0.25">
      <c r="A61" s="29"/>
      <c r="B61" s="11" t="str">
        <f>CONCATENATE("          ", "6279", " - ", "GENERAL EXPENSE")</f>
        <v xml:space="preserve">          6279 - GENERAL EXPENSE</v>
      </c>
      <c r="C61" s="11"/>
      <c r="D61" s="7">
        <v>455</v>
      </c>
      <c r="E61" s="2"/>
      <c r="F61" s="6">
        <f t="shared" si="36"/>
        <v>4.6467547269240114E-2</v>
      </c>
      <c r="G61" s="2"/>
      <c r="H61" s="7">
        <v>455</v>
      </c>
      <c r="I61" s="2"/>
      <c r="J61" s="6">
        <f t="shared" si="37"/>
        <v>3.8081687311683966E-2</v>
      </c>
      <c r="K61" s="2"/>
      <c r="L61" s="7">
        <f t="shared" si="38"/>
        <v>0</v>
      </c>
      <c r="M61" s="2"/>
      <c r="N61" s="6">
        <f t="shared" si="39"/>
        <v>0</v>
      </c>
      <c r="O61" s="11"/>
      <c r="P61" s="7">
        <v>2410.0700000000002</v>
      </c>
      <c r="Q61" s="2"/>
      <c r="R61" s="6">
        <f t="shared" si="40"/>
        <v>5.3396092228546368E-2</v>
      </c>
      <c r="S61" s="2"/>
      <c r="T61" s="7">
        <v>1810</v>
      </c>
      <c r="U61" s="2"/>
      <c r="V61" s="6">
        <f t="shared" si="41"/>
        <v>2.0305593574008841E-2</v>
      </c>
      <c r="W61" s="2"/>
      <c r="X61" s="7">
        <f t="shared" si="42"/>
        <v>600.07000000000016</v>
      </c>
      <c r="Y61" s="2"/>
      <c r="Z61" s="6">
        <f t="shared" si="43"/>
        <v>0.33153038674033158</v>
      </c>
    </row>
    <row r="62" spans="1:26" s="28" customFormat="1" outlineLevel="1" collapsed="1" x14ac:dyDescent="0.25">
      <c r="A62" s="27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SUM(OSRRefD22_9x_0)</f>
        <v>641.28</v>
      </c>
      <c r="E62" s="1"/>
      <c r="F62" s="5">
        <f t="shared" si="36"/>
        <v>6.5491667500699555E-2</v>
      </c>
      <c r="G62" s="1"/>
      <c r="H62" s="1">
        <f>SUM(OSRRefH22_9x_0)</f>
        <v>705</v>
      </c>
      <c r="I62" s="1"/>
      <c r="J62" s="5">
        <f t="shared" si="37"/>
        <v>5.9005691329092738E-2</v>
      </c>
      <c r="K62" s="1"/>
      <c r="L62" s="1">
        <f t="shared" si="38"/>
        <v>-63.720000000000027</v>
      </c>
      <c r="M62" s="1"/>
      <c r="N62" s="5">
        <f t="shared" si="39"/>
        <v>-9.0382978723404298E-2</v>
      </c>
      <c r="O62" s="14"/>
      <c r="P62" s="1">
        <f>SUM(OSRRefP22_9x_0)</f>
        <v>3847.68</v>
      </c>
      <c r="Q62" s="1"/>
      <c r="R62" s="5">
        <f t="shared" si="40"/>
        <v>8.5246933137184094E-2</v>
      </c>
      <c r="S62" s="1"/>
      <c r="T62" s="1">
        <f>SUM(OSRRefT22_9x_0)</f>
        <v>4230</v>
      </c>
      <c r="U62" s="1"/>
      <c r="V62" s="5">
        <f t="shared" si="41"/>
        <v>4.745450873925823E-2</v>
      </c>
      <c r="W62" s="1"/>
      <c r="X62" s="1">
        <f t="shared" si="42"/>
        <v>-382.32000000000016</v>
      </c>
      <c r="Y62" s="1"/>
      <c r="Z62" s="5">
        <f t="shared" si="43"/>
        <v>-9.0382978723404298E-2</v>
      </c>
    </row>
    <row r="63" spans="1:26" s="24" customFormat="1" hidden="1" outlineLevel="2" x14ac:dyDescent="0.25">
      <c r="A63" s="29"/>
      <c r="B63" s="11" t="str">
        <f>CONCATENATE("          ", "6314", " - ", "LIABILITY INSURANCE")</f>
        <v xml:space="preserve">          6314 - LIABILITY INSURANCE</v>
      </c>
      <c r="C63" s="11"/>
      <c r="D63" s="7">
        <v>641.28</v>
      </c>
      <c r="E63" s="2"/>
      <c r="F63" s="6">
        <f t="shared" si="36"/>
        <v>6.5491667500699555E-2</v>
      </c>
      <c r="G63" s="2"/>
      <c r="H63" s="7">
        <v>705</v>
      </c>
      <c r="I63" s="2"/>
      <c r="J63" s="6">
        <f t="shared" si="37"/>
        <v>5.9005691329092738E-2</v>
      </c>
      <c r="K63" s="2"/>
      <c r="L63" s="7">
        <f t="shared" si="38"/>
        <v>-63.720000000000027</v>
      </c>
      <c r="M63" s="2"/>
      <c r="N63" s="6">
        <f t="shared" si="39"/>
        <v>-9.0382978723404298E-2</v>
      </c>
      <c r="O63" s="11"/>
      <c r="P63" s="7">
        <v>3847.68</v>
      </c>
      <c r="Q63" s="2"/>
      <c r="R63" s="6">
        <f t="shared" si="40"/>
        <v>8.5246933137184094E-2</v>
      </c>
      <c r="S63" s="2"/>
      <c r="T63" s="7">
        <v>4230</v>
      </c>
      <c r="U63" s="2"/>
      <c r="V63" s="6">
        <f t="shared" si="41"/>
        <v>4.745450873925823E-2</v>
      </c>
      <c r="W63" s="2"/>
      <c r="X63" s="7">
        <f t="shared" si="42"/>
        <v>-382.32000000000016</v>
      </c>
      <c r="Y63" s="2"/>
      <c r="Z63" s="6">
        <f t="shared" si="43"/>
        <v>-9.0382978723404298E-2</v>
      </c>
    </row>
    <row r="64" spans="1:26" s="28" customFormat="1" outlineLevel="1" collapsed="1" x14ac:dyDescent="0.25">
      <c r="A64" s="27"/>
      <c r="B64" s="14" t="str">
        <f>CONCATENATE("     ","Interest                                          ")</f>
        <v xml:space="preserve">     Interest                                          </v>
      </c>
      <c r="C64" s="14"/>
      <c r="D64" s="1">
        <f>SUM(OSRRefD22_10x_0)</f>
        <v>7510</v>
      </c>
      <c r="E64" s="1"/>
      <c r="F64" s="5">
        <f t="shared" si="36"/>
        <v>0.76696984613624897</v>
      </c>
      <c r="G64" s="1"/>
      <c r="H64" s="1">
        <f>SUM(OSRRefH22_10x_0)</f>
        <v>7510</v>
      </c>
      <c r="I64" s="1"/>
      <c r="J64" s="5">
        <f t="shared" si="37"/>
        <v>0.62855708068295946</v>
      </c>
      <c r="K64" s="1"/>
      <c r="L64" s="1">
        <f t="shared" si="38"/>
        <v>0</v>
      </c>
      <c r="M64" s="1"/>
      <c r="N64" s="5">
        <f t="shared" si="39"/>
        <v>0</v>
      </c>
      <c r="O64" s="14"/>
      <c r="P64" s="1">
        <f>SUM(OSRRefP22_10x_0)</f>
        <v>44573.15</v>
      </c>
      <c r="Q64" s="1"/>
      <c r="R64" s="5">
        <f t="shared" si="40"/>
        <v>0.98753647334593242</v>
      </c>
      <c r="S64" s="1"/>
      <c r="T64" s="1">
        <f>SUM(OSRRefT22_10x_0)</f>
        <v>45060</v>
      </c>
      <c r="U64" s="1"/>
      <c r="V64" s="5">
        <f t="shared" si="41"/>
        <v>0.5055083129529494</v>
      </c>
      <c r="W64" s="1"/>
      <c r="X64" s="1">
        <f t="shared" si="42"/>
        <v>-486.84999999999854</v>
      </c>
      <c r="Y64" s="1"/>
      <c r="Z64" s="5">
        <f t="shared" si="43"/>
        <v>-1.0804482911673291E-2</v>
      </c>
    </row>
    <row r="65" spans="1:26" s="24" customFormat="1" hidden="1" outlineLevel="2" x14ac:dyDescent="0.25">
      <c r="A65" s="29"/>
      <c r="B65" s="11" t="str">
        <f>CONCATENATE("          ", "6401", " - ", "INTEREST EXPENSE")</f>
        <v xml:space="preserve">          6401 - INTEREST EXPENSE</v>
      </c>
      <c r="C65" s="11"/>
      <c r="D65" s="7">
        <v>7510</v>
      </c>
      <c r="E65" s="2"/>
      <c r="F65" s="6">
        <f t="shared" si="36"/>
        <v>0.76696984613624897</v>
      </c>
      <c r="G65" s="2"/>
      <c r="H65" s="7">
        <v>7510</v>
      </c>
      <c r="I65" s="2"/>
      <c r="J65" s="6">
        <f t="shared" si="37"/>
        <v>0.62855708068295946</v>
      </c>
      <c r="K65" s="2"/>
      <c r="L65" s="7">
        <f t="shared" si="38"/>
        <v>0</v>
      </c>
      <c r="M65" s="2"/>
      <c r="N65" s="6">
        <f t="shared" si="39"/>
        <v>0</v>
      </c>
      <c r="O65" s="11"/>
      <c r="P65" s="7">
        <v>44573.15</v>
      </c>
      <c r="Q65" s="2"/>
      <c r="R65" s="6">
        <f t="shared" si="40"/>
        <v>0.98753647334593242</v>
      </c>
      <c r="S65" s="2"/>
      <c r="T65" s="7">
        <v>45060</v>
      </c>
      <c r="U65" s="2"/>
      <c r="V65" s="6">
        <f t="shared" si="41"/>
        <v>0.5055083129529494</v>
      </c>
      <c r="W65" s="2"/>
      <c r="X65" s="7">
        <f t="shared" si="42"/>
        <v>-486.84999999999854</v>
      </c>
      <c r="Y65" s="2"/>
      <c r="Z65" s="6">
        <f t="shared" si="43"/>
        <v>-1.0804482911673291E-2</v>
      </c>
    </row>
    <row r="66" spans="1:26" s="28" customFormat="1" outlineLevel="1" collapsed="1" x14ac:dyDescent="0.25">
      <c r="A66" s="27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387.52</v>
      </c>
      <c r="E66" s="1"/>
      <c r="F66" s="5">
        <f t="shared" si="36"/>
        <v>3.9576052566540502E-2</v>
      </c>
      <c r="G66" s="1"/>
      <c r="H66" s="1">
        <f>SUM(OSRRefH22_11x_0)</f>
        <v>3342</v>
      </c>
      <c r="I66" s="1"/>
      <c r="J66" s="5">
        <f t="shared" si="37"/>
        <v>0.27971208570472045</v>
      </c>
      <c r="K66" s="1"/>
      <c r="L66" s="1">
        <f t="shared" si="38"/>
        <v>-2954.48</v>
      </c>
      <c r="M66" s="1"/>
      <c r="N66" s="5">
        <f t="shared" si="39"/>
        <v>-0.88404548174745656</v>
      </c>
      <c r="O66" s="14"/>
      <c r="P66" s="1">
        <f>SUM(OSRRefP22_11x_0)</f>
        <v>12571.59</v>
      </c>
      <c r="Q66" s="1"/>
      <c r="R66" s="5">
        <f t="shared" si="40"/>
        <v>0.27852874775399522</v>
      </c>
      <c r="S66" s="1"/>
      <c r="T66" s="1">
        <f>SUM(OSRRefT22_11x_0)</f>
        <v>16459</v>
      </c>
      <c r="U66" s="1"/>
      <c r="V66" s="5">
        <f t="shared" si="41"/>
        <v>0.18464627880365275</v>
      </c>
      <c r="W66" s="1"/>
      <c r="X66" s="1">
        <f t="shared" si="42"/>
        <v>-3887.41</v>
      </c>
      <c r="Y66" s="1"/>
      <c r="Z66" s="5">
        <f t="shared" si="43"/>
        <v>-0.23618749620268545</v>
      </c>
    </row>
    <row r="67" spans="1:26" s="24" customFormat="1" hidden="1" outlineLevel="2" x14ac:dyDescent="0.25">
      <c r="A67" s="29"/>
      <c r="B67" s="11" t="str">
        <f>CONCATENATE("          ", "6373", " - ", "MAINTENANCE CONTRACTS")</f>
        <v xml:space="preserve">          6373 - MAINTENANCE CONTRACTS</v>
      </c>
      <c r="C67" s="11"/>
      <c r="D67" s="7">
        <v>108.52</v>
      </c>
      <c r="E67" s="2"/>
      <c r="F67" s="6">
        <f t="shared" si="36"/>
        <v>1.1082765339907553E-2</v>
      </c>
      <c r="G67" s="2"/>
      <c r="H67" s="7">
        <v>1861</v>
      </c>
      <c r="I67" s="2"/>
      <c r="J67" s="6">
        <f t="shared" si="37"/>
        <v>0.1557582859055909</v>
      </c>
      <c r="K67" s="2"/>
      <c r="L67" s="7">
        <f t="shared" si="38"/>
        <v>-1752.48</v>
      </c>
      <c r="M67" s="2"/>
      <c r="N67" s="6">
        <f t="shared" si="39"/>
        <v>-0.94168726491133803</v>
      </c>
      <c r="O67" s="11"/>
      <c r="P67" s="7">
        <v>6596.34</v>
      </c>
      <c r="Q67" s="2"/>
      <c r="R67" s="6">
        <f t="shared" si="40"/>
        <v>0.1461446260942004</v>
      </c>
      <c r="S67" s="2"/>
      <c r="T67" s="7">
        <v>3769</v>
      </c>
      <c r="U67" s="2"/>
      <c r="V67" s="6">
        <f t="shared" si="41"/>
        <v>4.2282752585878075E-2</v>
      </c>
      <c r="W67" s="2"/>
      <c r="X67" s="7">
        <f t="shared" si="42"/>
        <v>2827.34</v>
      </c>
      <c r="Y67" s="2"/>
      <c r="Z67" s="6">
        <f t="shared" si="43"/>
        <v>0.75015654019633859</v>
      </c>
    </row>
    <row r="68" spans="1:26" s="24" customFormat="1" hidden="1" outlineLevel="2" x14ac:dyDescent="0.25">
      <c r="A68" s="29"/>
      <c r="B68" s="11" t="str">
        <f>CONCATENATE("          ", "6375", " - ", "OUTSIDE REPAIRS &amp; MAINTENANCE")</f>
        <v xml:space="preserve">          6375 - OUTSIDE REPAIRS &amp; MAINTENANCE</v>
      </c>
      <c r="C68" s="11"/>
      <c r="D68" s="7">
        <v>279</v>
      </c>
      <c r="E68" s="2"/>
      <c r="F68" s="6">
        <f t="shared" si="36"/>
        <v>2.8493287226632951E-2</v>
      </c>
      <c r="G68" s="2"/>
      <c r="H68" s="7">
        <v>1481</v>
      </c>
      <c r="I68" s="2"/>
      <c r="J68" s="6">
        <f t="shared" si="37"/>
        <v>0.12395379979912956</v>
      </c>
      <c r="K68" s="2"/>
      <c r="L68" s="7">
        <f t="shared" si="38"/>
        <v>-1202</v>
      </c>
      <c r="M68" s="2"/>
      <c r="N68" s="6">
        <f t="shared" si="39"/>
        <v>-0.81161377447670491</v>
      </c>
      <c r="O68" s="11"/>
      <c r="P68" s="7">
        <v>5975.25</v>
      </c>
      <c r="Q68" s="2"/>
      <c r="R68" s="6">
        <f t="shared" si="40"/>
        <v>0.1323841216597948</v>
      </c>
      <c r="S68" s="2"/>
      <c r="T68" s="7">
        <v>12690</v>
      </c>
      <c r="U68" s="2"/>
      <c r="V68" s="6">
        <f t="shared" si="41"/>
        <v>0.14236352621777468</v>
      </c>
      <c r="W68" s="2"/>
      <c r="X68" s="7">
        <f t="shared" si="42"/>
        <v>-6714.75</v>
      </c>
      <c r="Y68" s="2"/>
      <c r="Z68" s="6">
        <f t="shared" si="43"/>
        <v>-0.5291371158392435</v>
      </c>
    </row>
    <row r="69" spans="1:26" s="28" customFormat="1" outlineLevel="1" collapsed="1" x14ac:dyDescent="0.25">
      <c r="A69" s="27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SUM(OSRRefD22_12x_0)</f>
        <v>4285.9900000000007</v>
      </c>
      <c r="E69" s="1"/>
      <c r="F69" s="5">
        <f t="shared" ref="F69:F74" si="44">IF(D$12=0,0,D69/D$12)</f>
        <v>0.43771306136371529</v>
      </c>
      <c r="G69" s="1"/>
      <c r="H69" s="1">
        <f>SUM(OSRRefH22_12x_0)</f>
        <v>5436</v>
      </c>
      <c r="I69" s="1"/>
      <c r="J69" s="5">
        <f t="shared" ref="J69:J74" si="45">IF(H$12=0,0,H69/H$12)</f>
        <v>0.45497154335453632</v>
      </c>
      <c r="K69" s="1"/>
      <c r="L69" s="1">
        <f t="shared" ref="L69:L74" si="46">+D69-H69</f>
        <v>-1150.0099999999993</v>
      </c>
      <c r="M69" s="1"/>
      <c r="N69" s="5">
        <f t="shared" ref="N69:N74" si="47">IF(H69=0,0,L69/H69)</f>
        <v>-0.21155445180279606</v>
      </c>
      <c r="O69" s="14"/>
      <c r="P69" s="1">
        <f>SUM(OSRRefP22_12x_0)</f>
        <v>20470.02</v>
      </c>
      <c r="Q69" s="1"/>
      <c r="R69" s="5">
        <f t="shared" ref="R69:R74" si="48">IF(P$12=0,0,P69/P$12)</f>
        <v>0.45352171341089209</v>
      </c>
      <c r="S69" s="1"/>
      <c r="T69" s="1">
        <f>SUM(OSRRefT22_12x_0)</f>
        <v>25326</v>
      </c>
      <c r="U69" s="1"/>
      <c r="V69" s="5">
        <f t="shared" ref="V69:V74" si="49">IF(T$12=0,0,T69/T$12)</f>
        <v>0.28412125019632478</v>
      </c>
      <c r="W69" s="1"/>
      <c r="X69" s="1">
        <f t="shared" ref="X69:X74" si="50">+P69-T69</f>
        <v>-4855.9799999999996</v>
      </c>
      <c r="Y69" s="1"/>
      <c r="Z69" s="5">
        <f t="shared" ref="Z69:Z74" si="51">IF(T69=0,0,X69/T69)</f>
        <v>-0.19173892442549156</v>
      </c>
    </row>
    <row r="70" spans="1:26" s="24" customFormat="1" hidden="1" outlineLevel="2" x14ac:dyDescent="0.25">
      <c r="A70" s="29"/>
      <c r="B70" s="11" t="str">
        <f>CONCATENATE("          ", "6282", " - ", "JANITORIAL/EXTERMINATOR EXPENS")</f>
        <v xml:space="preserve">          6282 - JANITORIAL/EXTERMINATOR EXPENS</v>
      </c>
      <c r="C70" s="11"/>
      <c r="D70" s="7"/>
      <c r="E70" s="2"/>
      <c r="F70" s="6">
        <f t="shared" si="44"/>
        <v>0</v>
      </c>
      <c r="G70" s="2"/>
      <c r="H70" s="7">
        <v>329</v>
      </c>
      <c r="I70" s="2"/>
      <c r="J70" s="6">
        <f t="shared" si="45"/>
        <v>2.7535989286909944E-2</v>
      </c>
      <c r="K70" s="2"/>
      <c r="L70" s="7">
        <f t="shared" si="46"/>
        <v>-329</v>
      </c>
      <c r="M70" s="2"/>
      <c r="N70" s="6">
        <f t="shared" si="47"/>
        <v>-1</v>
      </c>
      <c r="O70" s="11"/>
      <c r="P70" s="7">
        <v>1466.03</v>
      </c>
      <c r="Q70" s="2"/>
      <c r="R70" s="6">
        <f t="shared" si="48"/>
        <v>3.2480497699160532E-2</v>
      </c>
      <c r="S70" s="2"/>
      <c r="T70" s="7">
        <v>1974</v>
      </c>
      <c r="U70" s="2"/>
      <c r="V70" s="6">
        <f t="shared" si="49"/>
        <v>2.214543741165384E-2</v>
      </c>
      <c r="W70" s="2"/>
      <c r="X70" s="7">
        <f t="shared" si="50"/>
        <v>-507.97</v>
      </c>
      <c r="Y70" s="2"/>
      <c r="Z70" s="6">
        <f t="shared" si="51"/>
        <v>-0.25733029381965555</v>
      </c>
    </row>
    <row r="71" spans="1:26" s="24" customFormat="1" hidden="1" outlineLevel="2" x14ac:dyDescent="0.25">
      <c r="A71" s="29"/>
      <c r="B71" s="11" t="str">
        <f>CONCATENATE("          ", "6283", " - ", "PLANT SERVICE")</f>
        <v xml:space="preserve">          6283 - PLANT SERVICE</v>
      </c>
      <c r="C71" s="11"/>
      <c r="D71" s="7"/>
      <c r="E71" s="2"/>
      <c r="F71" s="6">
        <f t="shared" si="44"/>
        <v>0</v>
      </c>
      <c r="G71" s="2"/>
      <c r="H71" s="7"/>
      <c r="I71" s="2"/>
      <c r="J71" s="6">
        <f t="shared" si="45"/>
        <v>0</v>
      </c>
      <c r="K71" s="2"/>
      <c r="L71" s="7">
        <f t="shared" si="46"/>
        <v>0</v>
      </c>
      <c r="M71" s="2"/>
      <c r="N71" s="6">
        <f t="shared" si="47"/>
        <v>0</v>
      </c>
      <c r="O71" s="11"/>
      <c r="P71" s="7"/>
      <c r="Q71" s="2"/>
      <c r="R71" s="6">
        <f t="shared" si="48"/>
        <v>0</v>
      </c>
      <c r="S71" s="2"/>
      <c r="T71" s="7">
        <v>248</v>
      </c>
      <c r="U71" s="2"/>
      <c r="V71" s="6">
        <f t="shared" si="49"/>
        <v>2.7822028764387802E-3</v>
      </c>
      <c r="W71" s="2"/>
      <c r="X71" s="7">
        <f t="shared" si="50"/>
        <v>-248</v>
      </c>
      <c r="Y71" s="2"/>
      <c r="Z71" s="6">
        <f t="shared" si="51"/>
        <v>-1</v>
      </c>
    </row>
    <row r="72" spans="1:26" s="24" customFormat="1" hidden="1" outlineLevel="2" x14ac:dyDescent="0.25">
      <c r="A72" s="29"/>
      <c r="B72" s="11" t="str">
        <f>CONCATENATE("          ", "6284", " - ", "TRASH REMOVAL EXPENSE")</f>
        <v xml:space="preserve">          6284 - TRASH REMOVAL EXPENSE</v>
      </c>
      <c r="C72" s="11"/>
      <c r="D72" s="7">
        <v>1000</v>
      </c>
      <c r="E72" s="2"/>
      <c r="F72" s="6">
        <f t="shared" si="44"/>
        <v>0.10212647751481344</v>
      </c>
      <c r="G72" s="2"/>
      <c r="H72" s="7">
        <v>2066</v>
      </c>
      <c r="I72" s="2"/>
      <c r="J72" s="6">
        <f t="shared" si="45"/>
        <v>0.1729159691998661</v>
      </c>
      <c r="K72" s="2"/>
      <c r="L72" s="7">
        <f t="shared" si="46"/>
        <v>-1066</v>
      </c>
      <c r="M72" s="2"/>
      <c r="N72" s="6">
        <f t="shared" si="47"/>
        <v>-0.51597289448209105</v>
      </c>
      <c r="O72" s="11"/>
      <c r="P72" s="7">
        <v>5761</v>
      </c>
      <c r="Q72" s="2"/>
      <c r="R72" s="6">
        <f t="shared" si="48"/>
        <v>0.12763732477839052</v>
      </c>
      <c r="S72" s="2"/>
      <c r="T72" s="7">
        <v>4558</v>
      </c>
      <c r="U72" s="2"/>
      <c r="V72" s="6">
        <f t="shared" si="49"/>
        <v>5.1134196414548229E-2</v>
      </c>
      <c r="W72" s="2"/>
      <c r="X72" s="7">
        <f t="shared" si="50"/>
        <v>1203</v>
      </c>
      <c r="Y72" s="2"/>
      <c r="Z72" s="6">
        <f t="shared" si="51"/>
        <v>0.26393154892496706</v>
      </c>
    </row>
    <row r="73" spans="1:26" s="24" customFormat="1" hidden="1" outlineLevel="2" x14ac:dyDescent="0.25">
      <c r="A73" s="29"/>
      <c r="B73" s="11" t="str">
        <f>CONCATENATE("          ", "6285", " - ", "JANITORIAL SERVICES")</f>
        <v xml:space="preserve">          6285 - JANITORIAL SERVICES</v>
      </c>
      <c r="C73" s="11"/>
      <c r="D73" s="7">
        <v>3179.44</v>
      </c>
      <c r="E73" s="2"/>
      <c r="F73" s="6">
        <f t="shared" si="44"/>
        <v>0.32470500766969845</v>
      </c>
      <c r="G73" s="2"/>
      <c r="H73" s="7">
        <v>3041</v>
      </c>
      <c r="I73" s="2"/>
      <c r="J73" s="6">
        <f t="shared" si="45"/>
        <v>0.25451958486776027</v>
      </c>
      <c r="K73" s="2"/>
      <c r="L73" s="7">
        <f t="shared" si="46"/>
        <v>138.44000000000005</v>
      </c>
      <c r="M73" s="2"/>
      <c r="N73" s="6">
        <f t="shared" si="47"/>
        <v>4.5524498520223632E-2</v>
      </c>
      <c r="O73" s="11"/>
      <c r="P73" s="7">
        <v>12770.81</v>
      </c>
      <c r="Q73" s="2"/>
      <c r="R73" s="6">
        <f t="shared" si="48"/>
        <v>0.28294254880283237</v>
      </c>
      <c r="S73" s="2"/>
      <c r="T73" s="7">
        <v>18546</v>
      </c>
      <c r="U73" s="2"/>
      <c r="V73" s="6">
        <f t="shared" si="49"/>
        <v>0.20805941349368395</v>
      </c>
      <c r="W73" s="2"/>
      <c r="X73" s="7">
        <f t="shared" si="50"/>
        <v>-5775.1900000000005</v>
      </c>
      <c r="Y73" s="2"/>
      <c r="Z73" s="6">
        <f t="shared" si="51"/>
        <v>-0.31139814515259356</v>
      </c>
    </row>
    <row r="74" spans="1:26" s="24" customFormat="1" hidden="1" outlineLevel="2" x14ac:dyDescent="0.25">
      <c r="A74" s="29"/>
      <c r="B74" s="11" t="str">
        <f>CONCATENATE("          ", "6286", " - ", "LAUNDRY EXPENSE")</f>
        <v xml:space="preserve">          6286 - LAUNDRY EXPENSE</v>
      </c>
      <c r="C74" s="11"/>
      <c r="D74" s="7">
        <v>106.55</v>
      </c>
      <c r="E74" s="2"/>
      <c r="F74" s="6">
        <f t="shared" si="44"/>
        <v>1.0881576179203371E-2</v>
      </c>
      <c r="G74" s="2"/>
      <c r="H74" s="7"/>
      <c r="I74" s="2"/>
      <c r="J74" s="6">
        <f t="shared" si="45"/>
        <v>0</v>
      </c>
      <c r="K74" s="2"/>
      <c r="L74" s="7">
        <f t="shared" si="46"/>
        <v>106.55</v>
      </c>
      <c r="M74" s="2"/>
      <c r="N74" s="6">
        <f t="shared" si="47"/>
        <v>0</v>
      </c>
      <c r="O74" s="11"/>
      <c r="P74" s="7">
        <v>472.18</v>
      </c>
      <c r="Q74" s="2"/>
      <c r="R74" s="6">
        <f t="shared" si="48"/>
        <v>1.0461342130508667E-2</v>
      </c>
      <c r="S74" s="2"/>
      <c r="T74" s="7"/>
      <c r="U74" s="2"/>
      <c r="V74" s="6">
        <f t="shared" si="49"/>
        <v>0</v>
      </c>
      <c r="W74" s="2"/>
      <c r="X74" s="7">
        <f t="shared" si="50"/>
        <v>472.18</v>
      </c>
      <c r="Y74" s="2"/>
      <c r="Z74" s="6">
        <f t="shared" si="51"/>
        <v>0</v>
      </c>
    </row>
    <row r="75" spans="1:26" s="28" customFormat="1" outlineLevel="1" collapsed="1" x14ac:dyDescent="0.25">
      <c r="A75" s="27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1">
        <f>SUM(OSRRefD22_13x_0)</f>
        <v>262.83999999999997</v>
      </c>
      <c r="E75" s="1"/>
      <c r="F75" s="5">
        <f t="shared" ref="F75:F84" si="52">IF(D$12=0,0,D75/D$12)</f>
        <v>2.6842923349993563E-2</v>
      </c>
      <c r="G75" s="1"/>
      <c r="H75" s="1">
        <f>SUM(OSRRefH22_13x_0)</f>
        <v>197</v>
      </c>
      <c r="I75" s="1"/>
      <c r="J75" s="5">
        <f t="shared" ref="J75:J84" si="53">IF(H$12=0,0,H75/H$12)</f>
        <v>1.648811516571811E-2</v>
      </c>
      <c r="K75" s="1"/>
      <c r="L75" s="1">
        <f t="shared" ref="L75:L84" si="54">+D75-H75</f>
        <v>65.839999999999975</v>
      </c>
      <c r="M75" s="1"/>
      <c r="N75" s="5">
        <f t="shared" ref="N75:N84" si="55">IF(H75=0,0,L75/H75)</f>
        <v>0.33421319796954302</v>
      </c>
      <c r="O75" s="14"/>
      <c r="P75" s="1">
        <f>SUM(OSRRefP22_13x_0)</f>
        <v>534.16999999999996</v>
      </c>
      <c r="Q75" s="1"/>
      <c r="R75" s="5">
        <f t="shared" ref="R75:R84" si="56">IF(P$12=0,0,P75/P$12)</f>
        <v>1.1834756079998759E-2</v>
      </c>
      <c r="S75" s="1"/>
      <c r="T75" s="1">
        <f>SUM(OSRRefT22_13x_0)</f>
        <v>1182</v>
      </c>
      <c r="U75" s="1"/>
      <c r="V75" s="5">
        <f t="shared" ref="V75:V84" si="57">IF(T$12=0,0,T75/T$12)</f>
        <v>1.3260337903026767E-2</v>
      </c>
      <c r="W75" s="1"/>
      <c r="X75" s="1">
        <f t="shared" ref="X75:X84" si="58">+P75-T75</f>
        <v>-647.83000000000004</v>
      </c>
      <c r="Y75" s="1"/>
      <c r="Z75" s="5">
        <f t="shared" ref="Z75:Z84" si="59">IF(T75=0,0,X75/T75)</f>
        <v>-0.54807952622673439</v>
      </c>
    </row>
    <row r="76" spans="1:26" s="24" customFormat="1" hidden="1" outlineLevel="2" x14ac:dyDescent="0.25">
      <c r="A76" s="29"/>
      <c r="B76" s="11" t="str">
        <f>CONCATENATE("          ", "6275", " - ", "SUBSCRIPTIONS")</f>
        <v xml:space="preserve">          6275 - SUBSCRIPTIONS</v>
      </c>
      <c r="C76" s="11"/>
      <c r="D76" s="7">
        <v>262.83999999999997</v>
      </c>
      <c r="E76" s="2"/>
      <c r="F76" s="6">
        <f t="shared" si="52"/>
        <v>2.6842923349993563E-2</v>
      </c>
      <c r="G76" s="2"/>
      <c r="H76" s="7">
        <v>197</v>
      </c>
      <c r="I76" s="2"/>
      <c r="J76" s="6">
        <f t="shared" si="53"/>
        <v>1.648811516571811E-2</v>
      </c>
      <c r="K76" s="2"/>
      <c r="L76" s="7">
        <f t="shared" si="54"/>
        <v>65.839999999999975</v>
      </c>
      <c r="M76" s="2"/>
      <c r="N76" s="6">
        <f t="shared" si="55"/>
        <v>0.33421319796954302</v>
      </c>
      <c r="O76" s="11"/>
      <c r="P76" s="7">
        <v>534.16999999999996</v>
      </c>
      <c r="Q76" s="2"/>
      <c r="R76" s="6">
        <f t="shared" si="56"/>
        <v>1.1834756079998759E-2</v>
      </c>
      <c r="S76" s="2"/>
      <c r="T76" s="7">
        <v>1182</v>
      </c>
      <c r="U76" s="2"/>
      <c r="V76" s="6">
        <f t="shared" si="57"/>
        <v>1.3260337903026767E-2</v>
      </c>
      <c r="W76" s="2"/>
      <c r="X76" s="7">
        <f t="shared" si="58"/>
        <v>-647.83000000000004</v>
      </c>
      <c r="Y76" s="2"/>
      <c r="Z76" s="6">
        <f t="shared" si="59"/>
        <v>-0.54807952622673439</v>
      </c>
    </row>
    <row r="77" spans="1:26" s="28" customFormat="1" outlineLevel="1" collapsed="1" x14ac:dyDescent="0.25">
      <c r="A77" s="27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SUM(OSRRefD22_14x_0)</f>
        <v>18.86</v>
      </c>
      <c r="E77" s="1"/>
      <c r="F77" s="5">
        <f t="shared" si="52"/>
        <v>1.9261053659293814E-3</v>
      </c>
      <c r="G77" s="1"/>
      <c r="H77" s="1">
        <f>SUM(OSRRefH22_14x_0)</f>
        <v>2267</v>
      </c>
      <c r="I77" s="1"/>
      <c r="J77" s="5">
        <f t="shared" si="53"/>
        <v>0.18973886842986273</v>
      </c>
      <c r="K77" s="1"/>
      <c r="L77" s="1">
        <f t="shared" si="54"/>
        <v>-2248.14</v>
      </c>
      <c r="M77" s="1"/>
      <c r="N77" s="5">
        <f t="shared" si="55"/>
        <v>-0.99168063520070571</v>
      </c>
      <c r="O77" s="14"/>
      <c r="P77" s="1">
        <f>SUM(OSRRefP22_14x_0)</f>
        <v>7505.36</v>
      </c>
      <c r="Q77" s="1"/>
      <c r="R77" s="5">
        <f t="shared" si="56"/>
        <v>0.16628433811816368</v>
      </c>
      <c r="S77" s="1"/>
      <c r="T77" s="1">
        <f>SUM(OSRRefT22_14x_0)</f>
        <v>14830</v>
      </c>
      <c r="U77" s="1"/>
      <c r="V77" s="5">
        <f t="shared" si="57"/>
        <v>0.1663712445870448</v>
      </c>
      <c r="W77" s="1"/>
      <c r="X77" s="1">
        <f t="shared" si="58"/>
        <v>-7324.64</v>
      </c>
      <c r="Y77" s="1"/>
      <c r="Z77" s="5">
        <f t="shared" si="59"/>
        <v>-0.49390694538098451</v>
      </c>
    </row>
    <row r="78" spans="1:26" s="24" customFormat="1" hidden="1" outlineLevel="2" x14ac:dyDescent="0.25">
      <c r="A78" s="29"/>
      <c r="B78" s="11" t="str">
        <f>CONCATENATE("          ", "6234", " - ", "EXPENDABLE SUPPLIES &amp; EQUIPMEN")</f>
        <v xml:space="preserve">          6234 - EXPENDABLE SUPPLIES &amp; EQUIPMEN</v>
      </c>
      <c r="C78" s="11"/>
      <c r="D78" s="7"/>
      <c r="E78" s="2"/>
      <c r="F78" s="6">
        <f t="shared" si="52"/>
        <v>0</v>
      </c>
      <c r="G78" s="2"/>
      <c r="H78" s="7"/>
      <c r="I78" s="2"/>
      <c r="J78" s="6">
        <f t="shared" si="53"/>
        <v>0</v>
      </c>
      <c r="K78" s="2"/>
      <c r="L78" s="7">
        <f t="shared" si="54"/>
        <v>0</v>
      </c>
      <c r="M78" s="2"/>
      <c r="N78" s="6">
        <f t="shared" si="55"/>
        <v>0</v>
      </c>
      <c r="O78" s="11"/>
      <c r="P78" s="7">
        <v>310.91000000000003</v>
      </c>
      <c r="Q78" s="2"/>
      <c r="R78" s="6">
        <f t="shared" si="56"/>
        <v>6.8883389423449737E-3</v>
      </c>
      <c r="S78" s="2"/>
      <c r="T78" s="7">
        <v>68</v>
      </c>
      <c r="U78" s="2"/>
      <c r="V78" s="6">
        <f t="shared" si="57"/>
        <v>7.6286207902353652E-4</v>
      </c>
      <c r="W78" s="2"/>
      <c r="X78" s="7">
        <f t="shared" si="58"/>
        <v>242.91000000000003</v>
      </c>
      <c r="Y78" s="2"/>
      <c r="Z78" s="6">
        <f t="shared" si="59"/>
        <v>3.5722058823529417</v>
      </c>
    </row>
    <row r="79" spans="1:26" s="24" customFormat="1" hidden="1" outlineLevel="2" x14ac:dyDescent="0.25">
      <c r="A79" s="29"/>
      <c r="B79" s="11" t="str">
        <f>CONCATENATE("          ", "6235", " - ", "COVID-19 EXPENSES")</f>
        <v xml:space="preserve">          6235 - COVID-19 EXPENSES</v>
      </c>
      <c r="C79" s="11"/>
      <c r="D79" s="7"/>
      <c r="E79" s="2"/>
      <c r="F79" s="6">
        <f t="shared" si="52"/>
        <v>0</v>
      </c>
      <c r="G79" s="2"/>
      <c r="H79" s="7"/>
      <c r="I79" s="2"/>
      <c r="J79" s="6">
        <f t="shared" si="53"/>
        <v>0</v>
      </c>
      <c r="K79" s="2"/>
      <c r="L79" s="7">
        <f t="shared" si="54"/>
        <v>0</v>
      </c>
      <c r="M79" s="2"/>
      <c r="N79" s="6">
        <f t="shared" si="55"/>
        <v>0</v>
      </c>
      <c r="O79" s="11"/>
      <c r="P79" s="7">
        <v>6753.97</v>
      </c>
      <c r="Q79" s="2"/>
      <c r="R79" s="6">
        <f t="shared" si="56"/>
        <v>0.14963698358505576</v>
      </c>
      <c r="S79" s="2"/>
      <c r="T79" s="7"/>
      <c r="U79" s="2"/>
      <c r="V79" s="6">
        <f t="shared" si="57"/>
        <v>0</v>
      </c>
      <c r="W79" s="2"/>
      <c r="X79" s="7">
        <f t="shared" si="58"/>
        <v>6753.97</v>
      </c>
      <c r="Y79" s="2"/>
      <c r="Z79" s="6">
        <f t="shared" si="59"/>
        <v>0</v>
      </c>
    </row>
    <row r="80" spans="1:26" s="24" customFormat="1" hidden="1" outlineLevel="2" x14ac:dyDescent="0.25">
      <c r="A80" s="29"/>
      <c r="B80" s="11" t="str">
        <f>CONCATENATE("          ", "6237", " - ", "JANITORIAL SUPPLIES")</f>
        <v xml:space="preserve">          6237 - JANITORIAL SUPPLIES</v>
      </c>
      <c r="C80" s="11"/>
      <c r="D80" s="7">
        <v>18.86</v>
      </c>
      <c r="E80" s="2"/>
      <c r="F80" s="6">
        <f t="shared" si="52"/>
        <v>1.9261053659293814E-3</v>
      </c>
      <c r="G80" s="2"/>
      <c r="H80" s="7">
        <v>2011</v>
      </c>
      <c r="I80" s="2"/>
      <c r="J80" s="6">
        <f t="shared" si="53"/>
        <v>0.16831268831603616</v>
      </c>
      <c r="K80" s="2"/>
      <c r="L80" s="7">
        <f t="shared" si="54"/>
        <v>-1992.14</v>
      </c>
      <c r="M80" s="2"/>
      <c r="N80" s="6">
        <f t="shared" si="55"/>
        <v>-0.99062158130283451</v>
      </c>
      <c r="O80" s="11"/>
      <c r="P80" s="7">
        <v>286.91000000000003</v>
      </c>
      <c r="Q80" s="2"/>
      <c r="R80" s="6">
        <f t="shared" si="56"/>
        <v>6.3566090699822986E-3</v>
      </c>
      <c r="S80" s="2"/>
      <c r="T80" s="7">
        <v>5709</v>
      </c>
      <c r="U80" s="2"/>
      <c r="V80" s="6">
        <f t="shared" si="57"/>
        <v>6.4046758958020145E-2</v>
      </c>
      <c r="W80" s="2"/>
      <c r="X80" s="7">
        <f t="shared" si="58"/>
        <v>-5422.09</v>
      </c>
      <c r="Y80" s="2"/>
      <c r="Z80" s="6">
        <f t="shared" si="59"/>
        <v>-0.94974426344368545</v>
      </c>
    </row>
    <row r="81" spans="1:26" s="24" customFormat="1" hidden="1" outlineLevel="2" x14ac:dyDescent="0.25">
      <c r="A81" s="29"/>
      <c r="B81" s="11" t="str">
        <f>CONCATENATE("          ", "6239", " - ", "KITCHEN SUPPLIES")</f>
        <v xml:space="preserve">          6239 - KITCHEN SUPPLIES</v>
      </c>
      <c r="C81" s="11"/>
      <c r="D81" s="7"/>
      <c r="E81" s="2"/>
      <c r="F81" s="6">
        <f t="shared" si="52"/>
        <v>0</v>
      </c>
      <c r="G81" s="2"/>
      <c r="H81" s="7"/>
      <c r="I81" s="2"/>
      <c r="J81" s="6">
        <f t="shared" si="53"/>
        <v>0</v>
      </c>
      <c r="K81" s="2"/>
      <c r="L81" s="7">
        <f t="shared" si="54"/>
        <v>0</v>
      </c>
      <c r="M81" s="2"/>
      <c r="N81" s="6">
        <f t="shared" si="55"/>
        <v>0</v>
      </c>
      <c r="O81" s="11"/>
      <c r="P81" s="7">
        <v>19.829999999999998</v>
      </c>
      <c r="Q81" s="2"/>
      <c r="R81" s="6">
        <f t="shared" si="56"/>
        <v>4.3934180703966041E-4</v>
      </c>
      <c r="S81" s="2"/>
      <c r="T81" s="7">
        <v>232</v>
      </c>
      <c r="U81" s="2"/>
      <c r="V81" s="6">
        <f t="shared" si="57"/>
        <v>2.6027059166685365E-3</v>
      </c>
      <c r="W81" s="2"/>
      <c r="X81" s="7">
        <f t="shared" si="58"/>
        <v>-212.17000000000002</v>
      </c>
      <c r="Y81" s="2"/>
      <c r="Z81" s="6">
        <f t="shared" si="59"/>
        <v>-0.91452586206896558</v>
      </c>
    </row>
    <row r="82" spans="1:26" s="24" customFormat="1" hidden="1" outlineLevel="2" x14ac:dyDescent="0.25">
      <c r="A82" s="29"/>
      <c r="B82" s="11" t="str">
        <f>CONCATENATE("          ", "6241", " - ", "OFFICE EXPENSE")</f>
        <v xml:space="preserve">          6241 - OFFICE EXPENSE</v>
      </c>
      <c r="C82" s="11"/>
      <c r="D82" s="7"/>
      <c r="E82" s="2"/>
      <c r="F82" s="6">
        <f t="shared" si="52"/>
        <v>0</v>
      </c>
      <c r="G82" s="2"/>
      <c r="H82" s="7"/>
      <c r="I82" s="2"/>
      <c r="J82" s="6">
        <f t="shared" si="53"/>
        <v>0</v>
      </c>
      <c r="K82" s="2"/>
      <c r="L82" s="7">
        <f t="shared" si="54"/>
        <v>0</v>
      </c>
      <c r="M82" s="2"/>
      <c r="N82" s="6">
        <f t="shared" si="55"/>
        <v>0</v>
      </c>
      <c r="O82" s="11"/>
      <c r="P82" s="7">
        <v>133.74</v>
      </c>
      <c r="Q82" s="2"/>
      <c r="R82" s="6">
        <f t="shared" si="56"/>
        <v>2.9630647137410082E-3</v>
      </c>
      <c r="S82" s="2"/>
      <c r="T82" s="7">
        <v>5262</v>
      </c>
      <c r="U82" s="2"/>
      <c r="V82" s="6">
        <f t="shared" si="57"/>
        <v>5.9032062644438957E-2</v>
      </c>
      <c r="W82" s="2"/>
      <c r="X82" s="7">
        <f t="shared" si="58"/>
        <v>-5128.26</v>
      </c>
      <c r="Y82" s="2"/>
      <c r="Z82" s="6">
        <f t="shared" si="59"/>
        <v>-0.97458380843785641</v>
      </c>
    </row>
    <row r="83" spans="1:26" s="24" customFormat="1" hidden="1" outlineLevel="2" x14ac:dyDescent="0.25">
      <c r="A83" s="29"/>
      <c r="B83" s="11" t="str">
        <f>CONCATENATE("          ", "6243", " - ", "PAPER SUPPLIES")</f>
        <v xml:space="preserve">          6243 - PAPER SUPPLIES</v>
      </c>
      <c r="C83" s="11"/>
      <c r="D83" s="7"/>
      <c r="E83" s="2"/>
      <c r="F83" s="6">
        <f t="shared" si="52"/>
        <v>0</v>
      </c>
      <c r="G83" s="2"/>
      <c r="H83" s="7">
        <v>256</v>
      </c>
      <c r="I83" s="2"/>
      <c r="J83" s="6">
        <f t="shared" si="53"/>
        <v>2.1426180113826583E-2</v>
      </c>
      <c r="K83" s="2"/>
      <c r="L83" s="7">
        <f t="shared" si="54"/>
        <v>-256</v>
      </c>
      <c r="M83" s="2"/>
      <c r="N83" s="6">
        <f t="shared" si="55"/>
        <v>-1</v>
      </c>
      <c r="O83" s="11"/>
      <c r="P83" s="7"/>
      <c r="Q83" s="2"/>
      <c r="R83" s="6">
        <f t="shared" si="56"/>
        <v>0</v>
      </c>
      <c r="S83" s="2"/>
      <c r="T83" s="7">
        <v>3148</v>
      </c>
      <c r="U83" s="2"/>
      <c r="V83" s="6">
        <f t="shared" si="57"/>
        <v>3.5316026834795483E-2</v>
      </c>
      <c r="W83" s="2"/>
      <c r="X83" s="7">
        <f t="shared" si="58"/>
        <v>-3148</v>
      </c>
      <c r="Y83" s="2"/>
      <c r="Z83" s="6">
        <f t="shared" si="59"/>
        <v>-1</v>
      </c>
    </row>
    <row r="84" spans="1:26" s="24" customFormat="1" hidden="1" outlineLevel="2" x14ac:dyDescent="0.25">
      <c r="A84" s="29"/>
      <c r="B84" s="11" t="str">
        <f>CONCATENATE("          ", "6247", " - ", "STORE SUPPLIES")</f>
        <v xml:space="preserve">          6247 - STORE SUPPLIES</v>
      </c>
      <c r="C84" s="11"/>
      <c r="D84" s="7"/>
      <c r="E84" s="2"/>
      <c r="F84" s="6">
        <f t="shared" si="52"/>
        <v>0</v>
      </c>
      <c r="G84" s="2"/>
      <c r="H84" s="7"/>
      <c r="I84" s="2"/>
      <c r="J84" s="6">
        <f t="shared" si="53"/>
        <v>0</v>
      </c>
      <c r="K84" s="2"/>
      <c r="L84" s="7">
        <f t="shared" si="54"/>
        <v>0</v>
      </c>
      <c r="M84" s="2"/>
      <c r="N84" s="6">
        <f t="shared" si="55"/>
        <v>0</v>
      </c>
      <c r="O84" s="11"/>
      <c r="P84" s="7"/>
      <c r="Q84" s="2"/>
      <c r="R84" s="6">
        <f t="shared" si="56"/>
        <v>0</v>
      </c>
      <c r="S84" s="2"/>
      <c r="T84" s="7">
        <v>411</v>
      </c>
      <c r="U84" s="2"/>
      <c r="V84" s="6">
        <f t="shared" si="57"/>
        <v>4.6108281540981396E-3</v>
      </c>
      <c r="W84" s="2"/>
      <c r="X84" s="7">
        <f t="shared" si="58"/>
        <v>-411</v>
      </c>
      <c r="Y84" s="2"/>
      <c r="Z84" s="6">
        <f t="shared" si="59"/>
        <v>-1</v>
      </c>
    </row>
    <row r="85" spans="1:26" s="28" customFormat="1" outlineLevel="1" collapsed="1" x14ac:dyDescent="0.25">
      <c r="A85" s="27"/>
      <c r="B85" s="14" t="str">
        <f>CONCATENATE("     ","Telephone/Data Lines                              ")</f>
        <v xml:space="preserve">     Telephone/Data Lines                              </v>
      </c>
      <c r="C85" s="14"/>
      <c r="D85" s="1">
        <f>SUM(OSRRefD22_15x_0)</f>
        <v>366</v>
      </c>
      <c r="E85" s="1"/>
      <c r="F85" s="5">
        <f t="shared" ref="F85:F87" si="60">IF(D$12=0,0,D85/D$12)</f>
        <v>3.7378290770421721E-2</v>
      </c>
      <c r="G85" s="1"/>
      <c r="H85" s="1">
        <f>SUM(OSRRefH22_15x_0)</f>
        <v>134</v>
      </c>
      <c r="I85" s="1"/>
      <c r="J85" s="5">
        <f t="shared" ref="J85:J87" si="61">IF(H$12=0,0,H85/H$12)</f>
        <v>1.1215266153331101E-2</v>
      </c>
      <c r="K85" s="1"/>
      <c r="L85" s="1">
        <f t="shared" ref="L85:L87" si="62">+D85-H85</f>
        <v>232</v>
      </c>
      <c r="M85" s="1"/>
      <c r="N85" s="5">
        <f t="shared" ref="N85:N87" si="63">IF(H85=0,0,L85/H85)</f>
        <v>1.7313432835820894</v>
      </c>
      <c r="O85" s="14"/>
      <c r="P85" s="1">
        <f>SUM(OSRRefP22_15x_0)</f>
        <v>1444</v>
      </c>
      <c r="Q85" s="1"/>
      <c r="R85" s="5">
        <f t="shared" ref="R85:R87" si="64">IF(P$12=0,0,P85/P$12)</f>
        <v>3.1992413987154293E-2</v>
      </c>
      <c r="S85" s="1"/>
      <c r="T85" s="1">
        <f>SUM(OSRRefT22_15x_0)</f>
        <v>1152</v>
      </c>
      <c r="U85" s="1"/>
      <c r="V85" s="5">
        <f t="shared" ref="V85:V87" si="65">IF(T$12=0,0,T85/T$12)</f>
        <v>1.2923781103457561E-2</v>
      </c>
      <c r="W85" s="1"/>
      <c r="X85" s="1">
        <f t="shared" ref="X85:X87" si="66">+P85-T85</f>
        <v>292</v>
      </c>
      <c r="Y85" s="1"/>
      <c r="Z85" s="5">
        <f t="shared" ref="Z85:Z87" si="67">IF(T85=0,0,X85/T85)</f>
        <v>0.25347222222222221</v>
      </c>
    </row>
    <row r="86" spans="1:26" s="24" customFormat="1" hidden="1" outlineLevel="2" x14ac:dyDescent="0.25">
      <c r="A86" s="29"/>
      <c r="B86" s="11" t="str">
        <f>CONCATENATE("          ", "6303", " - ", "DATA PHONE LINES")</f>
        <v xml:space="preserve">          6303 - DATA PHONE LINES</v>
      </c>
      <c r="C86" s="11"/>
      <c r="D86" s="7"/>
      <c r="E86" s="2"/>
      <c r="F86" s="6">
        <f t="shared" si="60"/>
        <v>0</v>
      </c>
      <c r="G86" s="2"/>
      <c r="H86" s="7">
        <v>134</v>
      </c>
      <c r="I86" s="2"/>
      <c r="J86" s="6">
        <f t="shared" si="61"/>
        <v>1.1215266153331101E-2</v>
      </c>
      <c r="K86" s="2"/>
      <c r="L86" s="7">
        <f t="shared" si="62"/>
        <v>-134</v>
      </c>
      <c r="M86" s="2"/>
      <c r="N86" s="6">
        <f t="shared" si="63"/>
        <v>-1</v>
      </c>
      <c r="O86" s="11"/>
      <c r="P86" s="7"/>
      <c r="Q86" s="2"/>
      <c r="R86" s="6">
        <f t="shared" si="64"/>
        <v>0</v>
      </c>
      <c r="S86" s="2"/>
      <c r="T86" s="7">
        <v>852</v>
      </c>
      <c r="U86" s="2"/>
      <c r="V86" s="6">
        <f t="shared" si="65"/>
        <v>9.5582131077654869E-3</v>
      </c>
      <c r="W86" s="2"/>
      <c r="X86" s="7">
        <f t="shared" si="66"/>
        <v>-852</v>
      </c>
      <c r="Y86" s="2"/>
      <c r="Z86" s="6">
        <f t="shared" si="67"/>
        <v>-1</v>
      </c>
    </row>
    <row r="87" spans="1:26" s="24" customFormat="1" hidden="1" outlineLevel="2" x14ac:dyDescent="0.25">
      <c r="A87" s="29"/>
      <c r="B87" s="11" t="str">
        <f>CONCATENATE("          ", "6309", " - ", "TELEPHONE")</f>
        <v xml:space="preserve">          6309 - TELEPHONE</v>
      </c>
      <c r="C87" s="11"/>
      <c r="D87" s="7">
        <v>366</v>
      </c>
      <c r="E87" s="2"/>
      <c r="F87" s="6">
        <f t="shared" si="60"/>
        <v>3.7378290770421721E-2</v>
      </c>
      <c r="G87" s="2"/>
      <c r="H87" s="7"/>
      <c r="I87" s="2"/>
      <c r="J87" s="6">
        <f t="shared" si="61"/>
        <v>0</v>
      </c>
      <c r="K87" s="2"/>
      <c r="L87" s="7">
        <f t="shared" si="62"/>
        <v>366</v>
      </c>
      <c r="M87" s="2"/>
      <c r="N87" s="6">
        <f t="shared" si="63"/>
        <v>0</v>
      </c>
      <c r="O87" s="11"/>
      <c r="P87" s="7">
        <v>1444</v>
      </c>
      <c r="Q87" s="2"/>
      <c r="R87" s="6">
        <f t="shared" si="64"/>
        <v>3.1992413987154293E-2</v>
      </c>
      <c r="S87" s="2"/>
      <c r="T87" s="7">
        <v>300</v>
      </c>
      <c r="U87" s="2"/>
      <c r="V87" s="6">
        <f t="shared" si="65"/>
        <v>3.3655679956920729E-3</v>
      </c>
      <c r="W87" s="2"/>
      <c r="X87" s="7">
        <f t="shared" si="66"/>
        <v>1144</v>
      </c>
      <c r="Y87" s="2"/>
      <c r="Z87" s="6">
        <f t="shared" si="67"/>
        <v>3.8133333333333335</v>
      </c>
    </row>
    <row r="88" spans="1:26" s="28" customFormat="1" outlineLevel="1" collapsed="1" x14ac:dyDescent="0.25">
      <c r="A88" s="27"/>
      <c r="B88" s="14" t="str">
        <f>CONCATENATE("     ","Training                                          ")</f>
        <v xml:space="preserve">     Training                                          </v>
      </c>
      <c r="C88" s="14"/>
      <c r="D88" s="1">
        <f>SUM(OSRRefD22_16x_0)</f>
        <v>0</v>
      </c>
      <c r="E88" s="1"/>
      <c r="F88" s="5">
        <f t="shared" ref="F88:F92" si="68">IF(D$12=0,0,D88/D$12)</f>
        <v>0</v>
      </c>
      <c r="G88" s="1"/>
      <c r="H88" s="1">
        <f>SUM(OSRRefH22_16x_0)</f>
        <v>0</v>
      </c>
      <c r="I88" s="1"/>
      <c r="J88" s="5">
        <f t="shared" ref="J88:J92" si="69">IF(H$12=0,0,H88/H$12)</f>
        <v>0</v>
      </c>
      <c r="K88" s="1"/>
      <c r="L88" s="1">
        <f t="shared" ref="L88:L92" si="70">+D88-H88</f>
        <v>0</v>
      </c>
      <c r="M88" s="1"/>
      <c r="N88" s="5">
        <f t="shared" ref="N88:N92" si="71">IF(H88=0,0,L88/H88)</f>
        <v>0</v>
      </c>
      <c r="O88" s="14"/>
      <c r="P88" s="1">
        <f>SUM(OSRRefP22_16x_0)</f>
        <v>400</v>
      </c>
      <c r="Q88" s="1"/>
      <c r="R88" s="5">
        <f t="shared" ref="R88:R92" si="72">IF(P$12=0,0,P88/P$12)</f>
        <v>8.8621645393779213E-3</v>
      </c>
      <c r="S88" s="1"/>
      <c r="T88" s="1">
        <f>SUM(OSRRefT22_16x_0)</f>
        <v>0</v>
      </c>
      <c r="U88" s="1"/>
      <c r="V88" s="5">
        <f t="shared" ref="V88:V92" si="73">IF(T$12=0,0,T88/T$12)</f>
        <v>0</v>
      </c>
      <c r="W88" s="1"/>
      <c r="X88" s="1">
        <f t="shared" ref="X88:X92" si="74">+P88-T88</f>
        <v>400</v>
      </c>
      <c r="Y88" s="1"/>
      <c r="Z88" s="5">
        <f t="shared" ref="Z88:Z92" si="75">IF(T88=0,0,X88/T88)</f>
        <v>0</v>
      </c>
    </row>
    <row r="89" spans="1:26" s="24" customFormat="1" hidden="1" outlineLevel="2" x14ac:dyDescent="0.25">
      <c r="A89" s="29"/>
      <c r="B89" s="11" t="str">
        <f>CONCATENATE("          ", "6376", " - ", "TRAINING")</f>
        <v xml:space="preserve">          6376 - TRAINING</v>
      </c>
      <c r="C89" s="11"/>
      <c r="D89" s="7"/>
      <c r="E89" s="2"/>
      <c r="F89" s="6">
        <f t="shared" si="68"/>
        <v>0</v>
      </c>
      <c r="G89" s="2"/>
      <c r="H89" s="7"/>
      <c r="I89" s="2"/>
      <c r="J89" s="6">
        <f t="shared" si="69"/>
        <v>0</v>
      </c>
      <c r="K89" s="2"/>
      <c r="L89" s="7">
        <f t="shared" si="70"/>
        <v>0</v>
      </c>
      <c r="M89" s="2"/>
      <c r="N89" s="6">
        <f t="shared" si="71"/>
        <v>0</v>
      </c>
      <c r="O89" s="11"/>
      <c r="P89" s="7">
        <v>400</v>
      </c>
      <c r="Q89" s="2"/>
      <c r="R89" s="6">
        <f t="shared" si="72"/>
        <v>8.8621645393779213E-3</v>
      </c>
      <c r="S89" s="2"/>
      <c r="T89" s="7"/>
      <c r="U89" s="2"/>
      <c r="V89" s="6">
        <f t="shared" si="73"/>
        <v>0</v>
      </c>
      <c r="W89" s="2"/>
      <c r="X89" s="7">
        <f t="shared" si="74"/>
        <v>400</v>
      </c>
      <c r="Y89" s="2"/>
      <c r="Z89" s="6">
        <f t="shared" si="75"/>
        <v>0</v>
      </c>
    </row>
    <row r="90" spans="1:26" s="28" customFormat="1" outlineLevel="1" collapsed="1" x14ac:dyDescent="0.25">
      <c r="A90" s="27"/>
      <c r="B90" s="14" t="str">
        <f>CONCATENATE("     ","Travel                                            ")</f>
        <v xml:space="preserve">     Travel                                            </v>
      </c>
      <c r="C90" s="14"/>
      <c r="D90" s="1">
        <f>SUM(OSRRefD22_17x_0)</f>
        <v>0</v>
      </c>
      <c r="E90" s="1"/>
      <c r="F90" s="5">
        <f t="shared" si="68"/>
        <v>0</v>
      </c>
      <c r="G90" s="1"/>
      <c r="H90" s="1">
        <f>SUM(OSRRefH22_17x_0)</f>
        <v>0</v>
      </c>
      <c r="I90" s="1"/>
      <c r="J90" s="5">
        <f t="shared" si="69"/>
        <v>0</v>
      </c>
      <c r="K90" s="1"/>
      <c r="L90" s="1">
        <f t="shared" si="70"/>
        <v>0</v>
      </c>
      <c r="M90" s="1"/>
      <c r="N90" s="5">
        <f t="shared" si="71"/>
        <v>0</v>
      </c>
      <c r="O90" s="14"/>
      <c r="P90" s="1">
        <f>SUM(OSRRefP22_17x_0)</f>
        <v>0</v>
      </c>
      <c r="Q90" s="1"/>
      <c r="R90" s="5">
        <f t="shared" si="72"/>
        <v>0</v>
      </c>
      <c r="S90" s="1"/>
      <c r="T90" s="1">
        <f>SUM(OSRRefT22_17x_0)</f>
        <v>0</v>
      </c>
      <c r="U90" s="1"/>
      <c r="V90" s="5">
        <f t="shared" si="73"/>
        <v>0</v>
      </c>
      <c r="W90" s="1"/>
      <c r="X90" s="1">
        <f t="shared" si="74"/>
        <v>0</v>
      </c>
      <c r="Y90" s="1"/>
      <c r="Z90" s="5">
        <f t="shared" si="75"/>
        <v>0</v>
      </c>
    </row>
    <row r="91" spans="1:26" s="24" customFormat="1" hidden="1" outlineLevel="2" x14ac:dyDescent="0.25">
      <c r="A91" s="29"/>
      <c r="B91" s="11" t="str">
        <f>CONCATENATE("          ", "6292", " - ", "TRAVEL/CONFERENCE")</f>
        <v xml:space="preserve">          6292 - TRAVEL/CONFERENCE</v>
      </c>
      <c r="C91" s="11"/>
      <c r="D91" s="7"/>
      <c r="E91" s="2"/>
      <c r="F91" s="6">
        <f t="shared" si="68"/>
        <v>0</v>
      </c>
      <c r="G91" s="2"/>
      <c r="H91" s="7"/>
      <c r="I91" s="2"/>
      <c r="J91" s="6">
        <f t="shared" si="69"/>
        <v>0</v>
      </c>
      <c r="K91" s="2"/>
      <c r="L91" s="7">
        <f t="shared" si="70"/>
        <v>0</v>
      </c>
      <c r="M91" s="2"/>
      <c r="N91" s="6">
        <f t="shared" si="71"/>
        <v>0</v>
      </c>
      <c r="O91" s="11"/>
      <c r="P91" s="7"/>
      <c r="Q91" s="2"/>
      <c r="R91" s="6">
        <f t="shared" si="72"/>
        <v>0</v>
      </c>
      <c r="S91" s="2"/>
      <c r="T91" s="7">
        <v>0</v>
      </c>
      <c r="U91" s="2"/>
      <c r="V91" s="6">
        <f t="shared" si="73"/>
        <v>0</v>
      </c>
      <c r="W91" s="2"/>
      <c r="X91" s="7">
        <f t="shared" si="74"/>
        <v>0</v>
      </c>
      <c r="Y91" s="2"/>
      <c r="Z91" s="6">
        <f t="shared" si="75"/>
        <v>0</v>
      </c>
    </row>
    <row r="92" spans="1:26" s="24" customFormat="1" hidden="1" outlineLevel="2" x14ac:dyDescent="0.25">
      <c r="A92" s="29"/>
      <c r="B92" s="11" t="str">
        <f>CONCATENATE("          ", "6294", " - ", "TRAVEL OPERATIONAL")</f>
        <v xml:space="preserve">          6294 - TRAVEL OPERATIONAL</v>
      </c>
      <c r="C92" s="11"/>
      <c r="D92" s="7"/>
      <c r="E92" s="2"/>
      <c r="F92" s="6">
        <f t="shared" si="68"/>
        <v>0</v>
      </c>
      <c r="G92" s="2"/>
      <c r="H92" s="7"/>
      <c r="I92" s="2"/>
      <c r="J92" s="6">
        <f t="shared" si="69"/>
        <v>0</v>
      </c>
      <c r="K92" s="2"/>
      <c r="L92" s="7">
        <f t="shared" si="70"/>
        <v>0</v>
      </c>
      <c r="M92" s="2"/>
      <c r="N92" s="6">
        <f t="shared" si="71"/>
        <v>0</v>
      </c>
      <c r="O92" s="11"/>
      <c r="P92" s="7"/>
      <c r="Q92" s="2"/>
      <c r="R92" s="6">
        <f t="shared" si="72"/>
        <v>0</v>
      </c>
      <c r="S92" s="2"/>
      <c r="T92" s="7">
        <v>0</v>
      </c>
      <c r="U92" s="2"/>
      <c r="V92" s="6">
        <f t="shared" si="73"/>
        <v>0</v>
      </c>
      <c r="W92" s="2"/>
      <c r="X92" s="7">
        <f t="shared" si="74"/>
        <v>0</v>
      </c>
      <c r="Y92" s="2"/>
      <c r="Z92" s="6">
        <f t="shared" si="75"/>
        <v>0</v>
      </c>
    </row>
    <row r="93" spans="1:26" s="28" customFormat="1" outlineLevel="1" collapsed="1" x14ac:dyDescent="0.25">
      <c r="A93" s="27"/>
      <c r="B93" s="14" t="str">
        <f>CONCATENATE("     ","Utilities                                         ")</f>
        <v xml:space="preserve">     Utilities                                         </v>
      </c>
      <c r="C93" s="14"/>
      <c r="D93" s="1">
        <f>SUM(OSRRefD22_18x_0)</f>
        <v>2312</v>
      </c>
      <c r="E93" s="1"/>
      <c r="F93" s="5">
        <f t="shared" ref="F93:F94" si="76">IF(D$12=0,0,D93/D$12)</f>
        <v>0.23611641601424868</v>
      </c>
      <c r="G93" s="1"/>
      <c r="H93" s="1">
        <f>SUM(OSRRefH22_18x_0)</f>
        <v>2300</v>
      </c>
      <c r="I93" s="1"/>
      <c r="J93" s="5">
        <f t="shared" ref="J93:J94" si="77">IF(H$12=0,0,H93/H$12)</f>
        <v>0.19250083696016071</v>
      </c>
      <c r="K93" s="1"/>
      <c r="L93" s="1">
        <f t="shared" ref="L93:L94" si="78">+D93-H93</f>
        <v>12</v>
      </c>
      <c r="M93" s="1"/>
      <c r="N93" s="5">
        <f t="shared" ref="N93:N94" si="79">IF(H93=0,0,L93/H93)</f>
        <v>5.2173913043478265E-3</v>
      </c>
      <c r="O93" s="14"/>
      <c r="P93" s="1">
        <f>SUM(OSRRefP22_18x_0)</f>
        <v>13824</v>
      </c>
      <c r="Q93" s="1"/>
      <c r="R93" s="5">
        <f t="shared" ref="R93:R94" si="80">IF(P$12=0,0,P93/P$12)</f>
        <v>0.30627640648090093</v>
      </c>
      <c r="S93" s="1"/>
      <c r="T93" s="1">
        <f>SUM(OSRRefT22_18x_0)</f>
        <v>13800</v>
      </c>
      <c r="U93" s="1"/>
      <c r="V93" s="5">
        <f t="shared" ref="V93:V94" si="81">IF(T$12=0,0,T93/T$12)</f>
        <v>0.15481612780183535</v>
      </c>
      <c r="W93" s="1"/>
      <c r="X93" s="1">
        <f t="shared" ref="X93:X94" si="82">+P93-T93</f>
        <v>24</v>
      </c>
      <c r="Y93" s="1"/>
      <c r="Z93" s="5">
        <f t="shared" ref="Z93:Z94" si="83">IF(T93=0,0,X93/T93)</f>
        <v>1.7391304347826088E-3</v>
      </c>
    </row>
    <row r="94" spans="1:26" s="24" customFormat="1" hidden="1" outlineLevel="2" x14ac:dyDescent="0.25">
      <c r="A94" s="29"/>
      <c r="B94" s="11" t="str">
        <f>CONCATENATE("          ", "6274", " - ", "UTILITIES")</f>
        <v xml:space="preserve">          6274 - UTILITIES</v>
      </c>
      <c r="C94" s="11"/>
      <c r="D94" s="7">
        <v>2312</v>
      </c>
      <c r="E94" s="2"/>
      <c r="F94" s="6">
        <f t="shared" si="76"/>
        <v>0.23611641601424868</v>
      </c>
      <c r="G94" s="2"/>
      <c r="H94" s="7">
        <v>2300</v>
      </c>
      <c r="I94" s="2"/>
      <c r="J94" s="6">
        <f t="shared" si="77"/>
        <v>0.19250083696016071</v>
      </c>
      <c r="K94" s="2"/>
      <c r="L94" s="7">
        <f t="shared" si="78"/>
        <v>12</v>
      </c>
      <c r="M94" s="2"/>
      <c r="N94" s="6">
        <f t="shared" si="79"/>
        <v>5.2173913043478265E-3</v>
      </c>
      <c r="O94" s="11"/>
      <c r="P94" s="7">
        <v>13824</v>
      </c>
      <c r="Q94" s="2"/>
      <c r="R94" s="6">
        <f t="shared" si="80"/>
        <v>0.30627640648090093</v>
      </c>
      <c r="S94" s="2"/>
      <c r="T94" s="7">
        <v>13800</v>
      </c>
      <c r="U94" s="2"/>
      <c r="V94" s="6">
        <f t="shared" si="81"/>
        <v>0.15481612780183535</v>
      </c>
      <c r="W94" s="2"/>
      <c r="X94" s="7">
        <f t="shared" si="82"/>
        <v>24</v>
      </c>
      <c r="Y94" s="2"/>
      <c r="Z94" s="6">
        <f t="shared" si="83"/>
        <v>1.7391304347826088E-3</v>
      </c>
    </row>
    <row r="95" spans="1:26" s="53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x14ac:dyDescent="0.25">
      <c r="A96" s="10"/>
      <c r="B96" s="26" t="s">
        <v>0</v>
      </c>
      <c r="C96" s="10"/>
      <c r="D96" s="4">
        <f>SUM(0)</f>
        <v>0</v>
      </c>
      <c r="E96" s="4"/>
      <c r="F96" s="12">
        <f>IF(D$12=0,0,D96/D$12)</f>
        <v>0</v>
      </c>
      <c r="G96" s="4"/>
      <c r="H96" s="4">
        <f>SUM(0)</f>
        <v>0</v>
      </c>
      <c r="I96" s="4"/>
      <c r="J96" s="12">
        <f>IF(H$12=0,0,H96/H$12)</f>
        <v>0</v>
      </c>
      <c r="K96" s="4"/>
      <c r="L96" s="4">
        <f>+D96-H96</f>
        <v>0</v>
      </c>
      <c r="M96" s="4"/>
      <c r="N96" s="12">
        <f>IF(H96=0,0,L96/H96)</f>
        <v>0</v>
      </c>
      <c r="O96" s="10"/>
      <c r="P96" s="4">
        <f>SUM(0)</f>
        <v>0</v>
      </c>
      <c r="Q96" s="4"/>
      <c r="R96" s="12">
        <f>IF(P$12=0,0,P96/P$12)</f>
        <v>0</v>
      </c>
      <c r="S96" s="4"/>
      <c r="T96" s="4">
        <f>SUM(0)</f>
        <v>0</v>
      </c>
      <c r="U96" s="4"/>
      <c r="V96" s="12">
        <f>IF(T$12=0,0,T96/T$12)</f>
        <v>0</v>
      </c>
      <c r="W96" s="4"/>
      <c r="X96" s="4">
        <f>+P96-T96</f>
        <v>0</v>
      </c>
      <c r="Y96" s="4"/>
      <c r="Z96" s="12">
        <f>IF(T96=0,0,X96/T96)</f>
        <v>0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10"/>
      <c r="B98" s="25" t="s">
        <v>3</v>
      </c>
      <c r="C98" s="25"/>
      <c r="D98" s="21">
        <f>+D23-D25+D96</f>
        <v>-53976.359999999986</v>
      </c>
      <c r="E98" s="13"/>
      <c r="F98" s="19">
        <f>IF(D$12=0,0,D98/D$12)</f>
        <v>-5.5124155158714743</v>
      </c>
      <c r="G98" s="13"/>
      <c r="H98" s="21">
        <f>+H23-H25+H96</f>
        <v>-47459.209810015382</v>
      </c>
      <c r="I98" s="13"/>
      <c r="J98" s="19">
        <f>IF(H$12=0,0,H98/H$12)</f>
        <v>-3.9721467869112304</v>
      </c>
      <c r="K98" s="16"/>
      <c r="L98" s="21">
        <f>+D98-H98</f>
        <v>-6517.1501899846044</v>
      </c>
      <c r="M98" s="16"/>
      <c r="N98" s="19">
        <f>IF(H98=0,0,L98/H98)</f>
        <v>0.13732108511864186</v>
      </c>
      <c r="O98" s="26"/>
      <c r="P98" s="21">
        <f>+P23-P25+P96</f>
        <v>-357092.34</v>
      </c>
      <c r="Q98" s="13"/>
      <c r="R98" s="19">
        <f>IF(P$12=0,0,P98/P$12)</f>
        <v>-7.9115276820787104</v>
      </c>
      <c r="S98" s="13"/>
      <c r="T98" s="21">
        <f>+T23-T25+T96</f>
        <v>-273286.88373956154</v>
      </c>
      <c r="U98" s="13"/>
      <c r="V98" s="19">
        <f>IF(T$12=0,0,T98/T$12)</f>
        <v>-3.0658852985209624</v>
      </c>
      <c r="W98" s="16"/>
      <c r="X98" s="21">
        <f>+P98-T98</f>
        <v>-83805.456260438485</v>
      </c>
      <c r="Y98" s="16"/>
      <c r="Z98" s="19">
        <f>IF(T98=0,0,X98/T98)</f>
        <v>0.30665744039257981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52"/>
      <c r="B100" s="10" t="s">
        <v>14</v>
      </c>
      <c r="C100" s="10"/>
      <c r="D100" s="4">
        <v>2734.91</v>
      </c>
      <c r="E100" s="4"/>
      <c r="F100" s="12">
        <f>IF(D$12=0,0,D100/D$12)</f>
        <v>0.27930672462003842</v>
      </c>
      <c r="G100" s="4"/>
      <c r="H100" s="4">
        <v>3142</v>
      </c>
      <c r="I100" s="4"/>
      <c r="J100" s="12">
        <f>IF(H$12=0,0,H100/H$12)</f>
        <v>0.26297288249079342</v>
      </c>
      <c r="K100" s="4"/>
      <c r="L100" s="4">
        <f>+D100-H100</f>
        <v>-407.09000000000015</v>
      </c>
      <c r="M100" s="4"/>
      <c r="N100" s="12">
        <f>IF(H100=0,0,L100/H100)</f>
        <v>-0.12956397199236161</v>
      </c>
      <c r="O100" s="10"/>
      <c r="P100" s="4">
        <v>8351.06</v>
      </c>
      <c r="Q100" s="4"/>
      <c r="R100" s="12">
        <f>IF(P$12=0,0,P100/P$12)</f>
        <v>0.18502116949554345</v>
      </c>
      <c r="S100" s="4"/>
      <c r="T100" s="4">
        <v>16909</v>
      </c>
      <c r="U100" s="4"/>
      <c r="V100" s="12">
        <f>IF(T$12=0,0,T100/T$12)</f>
        <v>0.18969463079719087</v>
      </c>
      <c r="W100" s="4"/>
      <c r="X100" s="4">
        <f>+P100-T100</f>
        <v>-8557.94</v>
      </c>
      <c r="Y100" s="4"/>
      <c r="Z100" s="12">
        <f>IF(T100=0,0,X100/T100)</f>
        <v>-0.50611745224436688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5" t="s">
        <v>4</v>
      </c>
      <c r="C102" s="25"/>
      <c r="D102" s="34">
        <f>+D98-D100</f>
        <v>-56711.26999999999</v>
      </c>
      <c r="E102" s="13"/>
      <c r="F102" s="31">
        <f>IF(D$12=0,0,D102/D$12)</f>
        <v>-5.791722240491513</v>
      </c>
      <c r="G102" s="13"/>
      <c r="H102" s="34">
        <f>+H98-H100</f>
        <v>-50601.209810015382</v>
      </c>
      <c r="I102" s="13"/>
      <c r="J102" s="31">
        <f>IF(H$12=0,0,H102/H$12)</f>
        <v>-4.2351196694020237</v>
      </c>
      <c r="K102" s="16"/>
      <c r="L102" s="34">
        <f>D102-H102</f>
        <v>-6110.0601899846079</v>
      </c>
      <c r="M102" s="16"/>
      <c r="N102" s="31">
        <f>IF(H102=0,0,L102/H102)</f>
        <v>0.12074929063801272</v>
      </c>
      <c r="O102" s="26"/>
      <c r="P102" s="34">
        <f>+P98-P100</f>
        <v>-365443.4</v>
      </c>
      <c r="Q102" s="13"/>
      <c r="R102" s="31">
        <f>IF(P$12=0,0,P102/P$12)</f>
        <v>-8.0965488515742532</v>
      </c>
      <c r="S102" s="13"/>
      <c r="T102" s="34">
        <f>+T98-T100</f>
        <v>-290195.88373956154</v>
      </c>
      <c r="U102" s="13"/>
      <c r="V102" s="31">
        <f>IF(T$12=0,0,T102/T$12)</f>
        <v>-3.2555799293181531</v>
      </c>
      <c r="W102" s="16"/>
      <c r="X102" s="34">
        <f>P102-T102</f>
        <v>-75247.516260438482</v>
      </c>
      <c r="Y102" s="16"/>
      <c r="Z102" s="31">
        <f>IF(T102=0,0,X102/T102)</f>
        <v>0.25929904756323119</v>
      </c>
    </row>
    <row r="103" spans="1:26" ht="15.75" thickTop="1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5" t="s">
        <v>5</v>
      </c>
      <c r="C105" s="25"/>
      <c r="D105" s="33">
        <f>SUM(D102:D104)</f>
        <v>-56711.26999999999</v>
      </c>
      <c r="E105" s="13"/>
      <c r="F105" s="32">
        <f>IF(D$12=0,0,D105/D$12)</f>
        <v>-5.791722240491513</v>
      </c>
      <c r="G105" s="13"/>
      <c r="H105" s="33">
        <f>SUM(H102:H104)</f>
        <v>-50601.209810015382</v>
      </c>
      <c r="I105" s="13"/>
      <c r="J105" s="32">
        <f>IF(H$12=0,0,H105/H$12)</f>
        <v>-4.2351196694020237</v>
      </c>
      <c r="K105" s="16"/>
      <c r="L105" s="33">
        <f>+D105-H105</f>
        <v>-6110.0601899846079</v>
      </c>
      <c r="M105" s="16"/>
      <c r="N105" s="32">
        <f>IF(H105=0,0,L105/H105)</f>
        <v>0.12074929063801272</v>
      </c>
      <c r="O105" s="26"/>
      <c r="P105" s="33">
        <f>SUM(P102:P104)</f>
        <v>-365443.4</v>
      </c>
      <c r="Q105" s="13"/>
      <c r="R105" s="32">
        <f>IF(P$12=0,0,P105/P$12)</f>
        <v>-8.0965488515742532</v>
      </c>
      <c r="S105" s="13"/>
      <c r="T105" s="33">
        <f>SUM(T102:T104)</f>
        <v>-290195.88373956154</v>
      </c>
      <c r="U105" s="13"/>
      <c r="V105" s="32">
        <f>IF(T$12=0,0,T105/T$12)</f>
        <v>-3.2555799293181531</v>
      </c>
      <c r="W105" s="16"/>
      <c r="X105" s="33">
        <f>+P105-T105</f>
        <v>-75247.516260438482</v>
      </c>
      <c r="Y105" s="16"/>
      <c r="Z105" s="32">
        <f>IF(T105=0,0,X105/T105)</f>
        <v>0.25929904756323119</v>
      </c>
    </row>
    <row r="106" spans="1:26" ht="15.75" thickTop="1" x14ac:dyDescent="0.25">
      <c r="A106" s="9"/>
      <c r="C106" s="9"/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63">
        <v>44209.518786608794</v>
      </c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A108" s="9"/>
      <c r="B108" s="60" t="s">
        <v>314</v>
      </c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A109" s="9"/>
      <c r="B109" s="58"/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","418", " - ", "Nugget")</f>
        <v>Department 418 - Nugget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 t="shared" ref="P13:P14" si="5"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0</v>
      </c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 t="shared" si="5"/>
        <v>0</v>
      </c>
      <c r="Q14" s="2"/>
      <c r="R14" s="22"/>
      <c r="S14" s="2"/>
      <c r="T14" s="2">
        <v>0</v>
      </c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0</v>
      </c>
      <c r="I17" s="2"/>
      <c r="J17" s="22">
        <f t="shared" si="7"/>
        <v>0</v>
      </c>
      <c r="K17" s="2"/>
      <c r="L17" s="2">
        <f t="shared" si="8"/>
        <v>0</v>
      </c>
      <c r="M17" s="2"/>
      <c r="N17" s="22">
        <f t="shared" si="9"/>
        <v>0</v>
      </c>
      <c r="O17" s="11"/>
      <c r="P17" s="2"/>
      <c r="Q17" s="2"/>
      <c r="R17" s="22">
        <f t="shared" si="10"/>
        <v>0</v>
      </c>
      <c r="S17" s="2"/>
      <c r="T17" s="2">
        <v>0</v>
      </c>
      <c r="U17" s="2"/>
      <c r="V17" s="22">
        <f t="shared" si="11"/>
        <v>0</v>
      </c>
      <c r="W17" s="2"/>
      <c r="X17" s="2">
        <f t="shared" si="12"/>
        <v>0</v>
      </c>
      <c r="Y17" s="2"/>
      <c r="Z17" s="22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21">
        <f>D12-D16</f>
        <v>0</v>
      </c>
      <c r="E19" s="13"/>
      <c r="F19" s="19">
        <f>IF(D$12=0,0,D19/D$12)</f>
        <v>0</v>
      </c>
      <c r="G19" s="13"/>
      <c r="H19" s="21">
        <f>H12-H16</f>
        <v>0</v>
      </c>
      <c r="I19" s="13"/>
      <c r="J19" s="19">
        <f>IF(H$12=0,0,H19/H$12)</f>
        <v>0</v>
      </c>
      <c r="K19" s="16"/>
      <c r="L19" s="21">
        <f>+D19-H19</f>
        <v>0</v>
      </c>
      <c r="M19" s="16"/>
      <c r="N19" s="19">
        <f>IF(H19=0,0,L19/H19)</f>
        <v>0</v>
      </c>
      <c r="O19" s="26"/>
      <c r="P19" s="21">
        <f>P12-P16</f>
        <v>0</v>
      </c>
      <c r="Q19" s="13"/>
      <c r="R19" s="19">
        <f>IF(P$12=0,0,P19/P$12)</f>
        <v>0</v>
      </c>
      <c r="S19" s="13"/>
      <c r="T19" s="21">
        <f>T12-T16</f>
        <v>0</v>
      </c>
      <c r="U19" s="13"/>
      <c r="V19" s="19">
        <f>IF(T$12=0,0,T19/T$12)</f>
        <v>0</v>
      </c>
      <c r="W19" s="16"/>
      <c r="X19" s="21">
        <f>+P19-T19</f>
        <v>0</v>
      </c>
      <c r="Y19" s="16"/>
      <c r="Z19" s="19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20">
        <f>SUM(OSRRefD22x_0)</f>
        <v>6944.03</v>
      </c>
      <c r="E21" s="20"/>
      <c r="F21" s="30">
        <f t="shared" ref="F21:F30" si="14">IF(D$12=0,0,D21/D$12)</f>
        <v>0</v>
      </c>
      <c r="G21" s="20"/>
      <c r="H21" s="20">
        <f>SUM(OSRRefH22x_0)</f>
        <v>6745</v>
      </c>
      <c r="I21" s="20"/>
      <c r="J21" s="30">
        <f t="shared" ref="J21:J30" si="15">IF(H$12=0,0,H21/H$12)</f>
        <v>0</v>
      </c>
      <c r="K21" s="4"/>
      <c r="L21" s="20">
        <f t="shared" ref="L21:L30" si="16">+D21-H21</f>
        <v>199.02999999999975</v>
      </c>
      <c r="M21" s="4"/>
      <c r="N21" s="30">
        <f t="shared" ref="N21:N30" si="17">IF(H21=0,0,L21/H21)</f>
        <v>2.9507783543365418E-2</v>
      </c>
      <c r="O21" s="10"/>
      <c r="P21" s="20">
        <f>SUM(OSRRefP22x_0)</f>
        <v>52281.650000000016</v>
      </c>
      <c r="Q21" s="20"/>
      <c r="R21" s="30">
        <f t="shared" ref="R21:R30" si="18">IF(P$12=0,0,P21/P$12)</f>
        <v>0</v>
      </c>
      <c r="S21" s="20"/>
      <c r="T21" s="20">
        <f>SUM(OSRRefT22x_0)</f>
        <v>41769</v>
      </c>
      <c r="U21" s="20"/>
      <c r="V21" s="30">
        <f t="shared" ref="V21:V30" si="19">IF(T$12=0,0,T21/T$12)</f>
        <v>0</v>
      </c>
      <c r="W21" s="4"/>
      <c r="X21" s="20">
        <f t="shared" ref="X21:X30" si="20">+P21-T21</f>
        <v>10512.650000000016</v>
      </c>
      <c r="Y21" s="4"/>
      <c r="Z21" s="30">
        <f t="shared" ref="Z21:Z30" si="21">IF(T21=0,0,X21/T21)</f>
        <v>0.25168546050899032</v>
      </c>
    </row>
    <row r="22" spans="1:26" s="28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4"/>
      <c r="P22" s="1">
        <f>SUM(OSRRefP22_0x_0)</f>
        <v>6086.32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6086.32</v>
      </c>
      <c r="Y22" s="1"/>
      <c r="Z22" s="5">
        <f t="shared" si="21"/>
        <v>0</v>
      </c>
    </row>
    <row r="23" spans="1:26" s="24" customFormat="1" hidden="1" outlineLevel="2" x14ac:dyDescent="0.25">
      <c r="A23" s="29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4"/>
        <v>0</v>
      </c>
      <c r="G23" s="2"/>
      <c r="H23" s="7">
        <v>0</v>
      </c>
      <c r="I23" s="2"/>
      <c r="J23" s="6">
        <f t="shared" si="15"/>
        <v>0</v>
      </c>
      <c r="K23" s="2"/>
      <c r="L23" s="7">
        <f t="shared" si="16"/>
        <v>0</v>
      </c>
      <c r="M23" s="2"/>
      <c r="N23" s="6">
        <f t="shared" si="17"/>
        <v>0</v>
      </c>
      <c r="O23" s="11"/>
      <c r="P23" s="7">
        <v>237.51</v>
      </c>
      <c r="Q23" s="2"/>
      <c r="R23" s="6">
        <f t="shared" si="18"/>
        <v>0</v>
      </c>
      <c r="S23" s="2"/>
      <c r="T23" s="7">
        <v>0</v>
      </c>
      <c r="U23" s="2"/>
      <c r="V23" s="6">
        <f t="shared" si="19"/>
        <v>0</v>
      </c>
      <c r="W23" s="2"/>
      <c r="X23" s="7">
        <f t="shared" si="20"/>
        <v>237.51</v>
      </c>
      <c r="Y23" s="2"/>
      <c r="Z23" s="6">
        <f t="shared" si="21"/>
        <v>0</v>
      </c>
    </row>
    <row r="24" spans="1:26" s="24" customFormat="1" hidden="1" outlineLevel="2" x14ac:dyDescent="0.25">
      <c r="A24" s="29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4"/>
        <v>0</v>
      </c>
      <c r="G24" s="2"/>
      <c r="H24" s="7">
        <v>0</v>
      </c>
      <c r="I24" s="2"/>
      <c r="J24" s="6">
        <f t="shared" si="15"/>
        <v>0</v>
      </c>
      <c r="K24" s="2"/>
      <c r="L24" s="7">
        <f t="shared" si="16"/>
        <v>0</v>
      </c>
      <c r="M24" s="2"/>
      <c r="N24" s="6">
        <f t="shared" si="17"/>
        <v>0</v>
      </c>
      <c r="O24" s="11"/>
      <c r="P24" s="7"/>
      <c r="Q24" s="2"/>
      <c r="R24" s="6">
        <f t="shared" si="18"/>
        <v>0</v>
      </c>
      <c r="S24" s="2"/>
      <c r="T24" s="7">
        <v>0</v>
      </c>
      <c r="U24" s="2"/>
      <c r="V24" s="6">
        <f t="shared" si="19"/>
        <v>0</v>
      </c>
      <c r="W24" s="2"/>
      <c r="X24" s="7">
        <f t="shared" si="20"/>
        <v>0</v>
      </c>
      <c r="Y24" s="2"/>
      <c r="Z24" s="6">
        <f t="shared" si="21"/>
        <v>0</v>
      </c>
    </row>
    <row r="25" spans="1:26" s="24" customFormat="1" hidden="1" outlineLevel="2" x14ac:dyDescent="0.25">
      <c r="A25" s="29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4"/>
        <v>0</v>
      </c>
      <c r="G25" s="2"/>
      <c r="H25" s="7">
        <v>0</v>
      </c>
      <c r="I25" s="2"/>
      <c r="J25" s="6">
        <f t="shared" si="15"/>
        <v>0</v>
      </c>
      <c r="K25" s="2"/>
      <c r="L25" s="7">
        <f t="shared" si="16"/>
        <v>0</v>
      </c>
      <c r="M25" s="2"/>
      <c r="N25" s="6">
        <f t="shared" si="17"/>
        <v>0</v>
      </c>
      <c r="O25" s="11"/>
      <c r="P25" s="7">
        <v>4780.67</v>
      </c>
      <c r="Q25" s="2"/>
      <c r="R25" s="6">
        <f t="shared" si="18"/>
        <v>0</v>
      </c>
      <c r="S25" s="2"/>
      <c r="T25" s="7">
        <v>0</v>
      </c>
      <c r="U25" s="2"/>
      <c r="V25" s="6">
        <f t="shared" si="19"/>
        <v>0</v>
      </c>
      <c r="W25" s="2"/>
      <c r="X25" s="7">
        <f t="shared" si="20"/>
        <v>4780.67</v>
      </c>
      <c r="Y25" s="2"/>
      <c r="Z25" s="6">
        <f t="shared" si="21"/>
        <v>0</v>
      </c>
    </row>
    <row r="26" spans="1:26" s="24" customFormat="1" hidden="1" outlineLevel="2" x14ac:dyDescent="0.2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4"/>
        <v>0</v>
      </c>
      <c r="G26" s="2"/>
      <c r="H26" s="7">
        <v>0</v>
      </c>
      <c r="I26" s="2"/>
      <c r="J26" s="6">
        <f t="shared" si="15"/>
        <v>0</v>
      </c>
      <c r="K26" s="2"/>
      <c r="L26" s="7">
        <f t="shared" si="16"/>
        <v>0</v>
      </c>
      <c r="M26" s="2"/>
      <c r="N26" s="6">
        <f t="shared" si="17"/>
        <v>0</v>
      </c>
      <c r="O26" s="11"/>
      <c r="P26" s="7"/>
      <c r="Q26" s="2"/>
      <c r="R26" s="6">
        <f t="shared" si="18"/>
        <v>0</v>
      </c>
      <c r="S26" s="2"/>
      <c r="T26" s="7">
        <v>0</v>
      </c>
      <c r="U26" s="2"/>
      <c r="V26" s="6">
        <f t="shared" si="19"/>
        <v>0</v>
      </c>
      <c r="W26" s="2"/>
      <c r="X26" s="7">
        <f t="shared" si="20"/>
        <v>0</v>
      </c>
      <c r="Y26" s="2"/>
      <c r="Z26" s="6">
        <f t="shared" si="21"/>
        <v>0</v>
      </c>
    </row>
    <row r="27" spans="1:26" s="24" customFormat="1" hidden="1" outlineLevel="2" x14ac:dyDescent="0.25">
      <c r="A27" s="29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4"/>
        <v>0</v>
      </c>
      <c r="G27" s="2"/>
      <c r="H27" s="7">
        <v>0</v>
      </c>
      <c r="I27" s="2"/>
      <c r="J27" s="6">
        <f t="shared" si="15"/>
        <v>0</v>
      </c>
      <c r="K27" s="2"/>
      <c r="L27" s="7">
        <f t="shared" si="16"/>
        <v>0</v>
      </c>
      <c r="M27" s="2"/>
      <c r="N27" s="6">
        <f t="shared" si="17"/>
        <v>0</v>
      </c>
      <c r="O27" s="11"/>
      <c r="P27" s="7">
        <v>678.15</v>
      </c>
      <c r="Q27" s="2"/>
      <c r="R27" s="6">
        <f t="shared" si="18"/>
        <v>0</v>
      </c>
      <c r="S27" s="2"/>
      <c r="T27" s="7">
        <v>0</v>
      </c>
      <c r="U27" s="2"/>
      <c r="V27" s="6">
        <f t="shared" si="19"/>
        <v>0</v>
      </c>
      <c r="W27" s="2"/>
      <c r="X27" s="7">
        <f t="shared" si="20"/>
        <v>678.15</v>
      </c>
      <c r="Y27" s="2"/>
      <c r="Z27" s="6">
        <f t="shared" si="21"/>
        <v>0</v>
      </c>
    </row>
    <row r="28" spans="1:26" s="24" customFormat="1" hidden="1" outlineLevel="2" x14ac:dyDescent="0.25">
      <c r="A28" s="29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0</v>
      </c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>
        <v>248.21</v>
      </c>
      <c r="Q29" s="2"/>
      <c r="R29" s="6">
        <f t="shared" si="18"/>
        <v>0</v>
      </c>
      <c r="S29" s="2"/>
      <c r="T29" s="7">
        <v>0</v>
      </c>
      <c r="U29" s="2"/>
      <c r="V29" s="6">
        <f t="shared" si="19"/>
        <v>0</v>
      </c>
      <c r="W29" s="2"/>
      <c r="X29" s="7">
        <f t="shared" si="20"/>
        <v>248.21</v>
      </c>
      <c r="Y29" s="2"/>
      <c r="Z29" s="6">
        <f t="shared" si="21"/>
        <v>0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0</v>
      </c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>
        <v>141.78</v>
      </c>
      <c r="Q30" s="2"/>
      <c r="R30" s="6">
        <f t="shared" si="18"/>
        <v>0</v>
      </c>
      <c r="S30" s="2"/>
      <c r="T30" s="7">
        <v>0</v>
      </c>
      <c r="U30" s="2"/>
      <c r="V30" s="6">
        <f t="shared" si="19"/>
        <v>0</v>
      </c>
      <c r="W30" s="2"/>
      <c r="X30" s="7">
        <f t="shared" si="20"/>
        <v>141.78</v>
      </c>
      <c r="Y30" s="2"/>
      <c r="Z30" s="6">
        <f t="shared" si="21"/>
        <v>0</v>
      </c>
    </row>
    <row r="31" spans="1:26" s="28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2">IF(D$12=0,0,D31/D$12)</f>
        <v>0</v>
      </c>
      <c r="G31" s="1"/>
      <c r="H31" s="1">
        <f>SUM(OSRRefH22_1x_0)</f>
        <v>0</v>
      </c>
      <c r="I31" s="1"/>
      <c r="J31" s="5">
        <f t="shared" ref="J31:J41" si="23">IF(H$12=0,0,H31/H$12)</f>
        <v>0</v>
      </c>
      <c r="K31" s="1"/>
      <c r="L31" s="1">
        <f t="shared" ref="L31:L41" si="24">+D31-H31</f>
        <v>0</v>
      </c>
      <c r="M31" s="1"/>
      <c r="N31" s="5">
        <f t="shared" ref="N31:N41" si="25">IF(H31=0,0,L31/H31)</f>
        <v>0</v>
      </c>
      <c r="O31" s="14"/>
      <c r="P31" s="1">
        <f>SUM(OSRRefP22_1x_0)</f>
        <v>2151.69</v>
      </c>
      <c r="Q31" s="1"/>
      <c r="R31" s="5">
        <f t="shared" ref="R31:R41" si="26">IF(P$12=0,0,P31/P$12)</f>
        <v>0</v>
      </c>
      <c r="S31" s="1"/>
      <c r="T31" s="1">
        <f>SUM(OSRRefT22_1x_0)</f>
        <v>0</v>
      </c>
      <c r="U31" s="1"/>
      <c r="V31" s="5">
        <f t="shared" ref="V31:V41" si="27">IF(T$12=0,0,T31/T$12)</f>
        <v>0</v>
      </c>
      <c r="W31" s="1"/>
      <c r="X31" s="1">
        <f t="shared" ref="X31:X41" si="28">+P31-T31</f>
        <v>2151.69</v>
      </c>
      <c r="Y31" s="1"/>
      <c r="Z31" s="5">
        <f t="shared" ref="Z31:Z41" si="29">IF(T31=0,0,X31/T31)</f>
        <v>0</v>
      </c>
    </row>
    <row r="32" spans="1:26" s="24" customFormat="1" hidden="1" outlineLevel="2" x14ac:dyDescent="0.25">
      <c r="A32" s="29"/>
      <c r="B32" s="11" t="str">
        <f>CONCATENATE("          ", "6001", " - ", "ADMINISTRATIVE SALARIES")</f>
        <v xml:space="preserve">          6001 - ADMINISTRATIVE SALARIES</v>
      </c>
      <c r="C32" s="11"/>
      <c r="D32" s="7"/>
      <c r="E32" s="2"/>
      <c r="F32" s="6">
        <f t="shared" si="22"/>
        <v>0</v>
      </c>
      <c r="G32" s="2"/>
      <c r="H32" s="7">
        <v>0</v>
      </c>
      <c r="I32" s="2"/>
      <c r="J32" s="6">
        <f t="shared" si="23"/>
        <v>0</v>
      </c>
      <c r="K32" s="2"/>
      <c r="L32" s="7">
        <f t="shared" si="24"/>
        <v>0</v>
      </c>
      <c r="M32" s="2"/>
      <c r="N32" s="6">
        <f t="shared" si="25"/>
        <v>0</v>
      </c>
      <c r="O32" s="11"/>
      <c r="P32" s="7"/>
      <c r="Q32" s="2"/>
      <c r="R32" s="6">
        <f t="shared" si="26"/>
        <v>0</v>
      </c>
      <c r="S32" s="2"/>
      <c r="T32" s="7">
        <v>0</v>
      </c>
      <c r="U32" s="2"/>
      <c r="V32" s="6">
        <f t="shared" si="27"/>
        <v>0</v>
      </c>
      <c r="W32" s="2"/>
      <c r="X32" s="7">
        <f t="shared" si="28"/>
        <v>0</v>
      </c>
      <c r="Y32" s="2"/>
      <c r="Z32" s="6">
        <f t="shared" si="29"/>
        <v>0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0</v>
      </c>
      <c r="I33" s="2"/>
      <c r="J33" s="6">
        <f t="shared" si="23"/>
        <v>0</v>
      </c>
      <c r="K33" s="2"/>
      <c r="L33" s="7">
        <f t="shared" si="24"/>
        <v>0</v>
      </c>
      <c r="M33" s="2"/>
      <c r="N33" s="6">
        <f t="shared" si="25"/>
        <v>0</v>
      </c>
      <c r="O33" s="11"/>
      <c r="P33" s="7">
        <v>2151.69</v>
      </c>
      <c r="Q33" s="2"/>
      <c r="R33" s="6">
        <f t="shared" si="26"/>
        <v>0</v>
      </c>
      <c r="S33" s="2"/>
      <c r="T33" s="7">
        <v>0</v>
      </c>
      <c r="U33" s="2"/>
      <c r="V33" s="6">
        <f t="shared" si="27"/>
        <v>0</v>
      </c>
      <c r="W33" s="2"/>
      <c r="X33" s="7">
        <f t="shared" si="28"/>
        <v>2151.69</v>
      </c>
      <c r="Y33" s="2"/>
      <c r="Z33" s="6">
        <f t="shared" si="29"/>
        <v>0</v>
      </c>
    </row>
    <row r="34" spans="1:26" s="24" customFormat="1" hidden="1" outlineLevel="2" x14ac:dyDescent="0.25">
      <c r="A34" s="29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9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22"/>
        <v>0</v>
      </c>
      <c r="G35" s="2"/>
      <c r="H35" s="7">
        <v>0</v>
      </c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0</v>
      </c>
      <c r="U35" s="2"/>
      <c r="V35" s="6">
        <f t="shared" si="27"/>
        <v>0</v>
      </c>
      <c r="W35" s="2"/>
      <c r="X35" s="7">
        <f t="shared" si="28"/>
        <v>0</v>
      </c>
      <c r="Y35" s="2"/>
      <c r="Z35" s="6">
        <f t="shared" si="29"/>
        <v>0</v>
      </c>
    </row>
    <row r="36" spans="1:26" s="24" customFormat="1" hidden="1" outlineLevel="2" x14ac:dyDescent="0.25">
      <c r="A36" s="29"/>
      <c r="B36" s="11" t="str">
        <f>CONCATENATE("          ", "6005", " - ", "TEMPORARY WAGES-HOURLY")</f>
        <v xml:space="preserve">          6005 - TEMPORARY WAGES-HOURLY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9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22"/>
        <v>0</v>
      </c>
      <c r="G37" s="2"/>
      <c r="H37" s="7">
        <v>0</v>
      </c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0</v>
      </c>
      <c r="U37" s="2"/>
      <c r="V37" s="6">
        <f t="shared" si="27"/>
        <v>0</v>
      </c>
      <c r="W37" s="2"/>
      <c r="X37" s="7">
        <f t="shared" si="28"/>
        <v>0</v>
      </c>
      <c r="Y37" s="2"/>
      <c r="Z37" s="6">
        <f t="shared" si="29"/>
        <v>0</v>
      </c>
    </row>
    <row r="38" spans="1:26" s="24" customFormat="1" hidden="1" outlineLevel="2" x14ac:dyDescent="0.25">
      <c r="A38" s="29"/>
      <c r="B38" s="11" t="str">
        <f>CONCATENATE("          ", "6007", " - ", "STUDENT HOURLY")</f>
        <v xml:space="preserve">          6007 - STUDENT HOURLY</v>
      </c>
      <c r="C38" s="11"/>
      <c r="D38" s="7"/>
      <c r="E38" s="2"/>
      <c r="F38" s="6">
        <f t="shared" si="22"/>
        <v>0</v>
      </c>
      <c r="G38" s="2"/>
      <c r="H38" s="7">
        <v>0</v>
      </c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0</v>
      </c>
      <c r="U38" s="2"/>
      <c r="V38" s="6">
        <f t="shared" si="27"/>
        <v>0</v>
      </c>
      <c r="W38" s="2"/>
      <c r="X38" s="7">
        <f t="shared" si="28"/>
        <v>0</v>
      </c>
      <c r="Y38" s="2"/>
      <c r="Z38" s="6">
        <f t="shared" si="29"/>
        <v>0</v>
      </c>
    </row>
    <row r="39" spans="1:26" s="24" customFormat="1" hidden="1" outlineLevel="2" x14ac:dyDescent="0.2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9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/>
      <c r="Q40" s="2"/>
      <c r="R40" s="6">
        <f t="shared" si="26"/>
        <v>0</v>
      </c>
      <c r="S40" s="2"/>
      <c r="T40" s="7">
        <v>0</v>
      </c>
      <c r="U40" s="2"/>
      <c r="V40" s="6">
        <f t="shared" si="27"/>
        <v>0</v>
      </c>
      <c r="W40" s="2"/>
      <c r="X40" s="7">
        <f t="shared" si="28"/>
        <v>0</v>
      </c>
      <c r="Y40" s="2"/>
      <c r="Z40" s="6">
        <f t="shared" si="29"/>
        <v>0</v>
      </c>
    </row>
    <row r="41" spans="1:26" s="24" customFormat="1" hidden="1" outlineLevel="2" x14ac:dyDescent="0.25">
      <c r="A41" s="29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22"/>
        <v>0</v>
      </c>
      <c r="G41" s="2"/>
      <c r="H41" s="7">
        <v>0</v>
      </c>
      <c r="I41" s="2"/>
      <c r="J41" s="6">
        <f t="shared" si="23"/>
        <v>0</v>
      </c>
      <c r="K41" s="2"/>
      <c r="L41" s="7">
        <f t="shared" si="24"/>
        <v>0</v>
      </c>
      <c r="M41" s="2"/>
      <c r="N41" s="6">
        <f t="shared" si="25"/>
        <v>0</v>
      </c>
      <c r="O41" s="11"/>
      <c r="P41" s="7"/>
      <c r="Q41" s="2"/>
      <c r="R41" s="6">
        <f t="shared" si="26"/>
        <v>0</v>
      </c>
      <c r="S41" s="2"/>
      <c r="T41" s="7">
        <v>0</v>
      </c>
      <c r="U41" s="2"/>
      <c r="V41" s="6">
        <f t="shared" si="27"/>
        <v>0</v>
      </c>
      <c r="W41" s="2"/>
      <c r="X41" s="7">
        <f t="shared" si="28"/>
        <v>0</v>
      </c>
      <c r="Y41" s="2"/>
      <c r="Z41" s="6">
        <f t="shared" si="29"/>
        <v>0</v>
      </c>
    </row>
    <row r="42" spans="1:26" s="28" customFormat="1" outlineLevel="1" collapsed="1" x14ac:dyDescent="0.25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48" si="30">IF(D$12=0,0,D42/D$12)</f>
        <v>0</v>
      </c>
      <c r="G42" s="1"/>
      <c r="H42" s="1">
        <f>SUM(OSRRefH22_2x_0)</f>
        <v>0</v>
      </c>
      <c r="I42" s="1"/>
      <c r="J42" s="5">
        <f t="shared" ref="J42:J48" si="31">IF(H$12=0,0,H42/H$12)</f>
        <v>0</v>
      </c>
      <c r="K42" s="1"/>
      <c r="L42" s="1">
        <f t="shared" ref="L42:L48" si="32">+D42-H42</f>
        <v>0</v>
      </c>
      <c r="M42" s="1"/>
      <c r="N42" s="5">
        <f t="shared" ref="N42:N48" si="33">IF(H42=0,0,L42/H42)</f>
        <v>0</v>
      </c>
      <c r="O42" s="14"/>
      <c r="P42" s="1">
        <f>SUM(OSRRefP22_2x_0)</f>
        <v>0</v>
      </c>
      <c r="Q42" s="1"/>
      <c r="R42" s="5">
        <f t="shared" ref="R42:R48" si="34">IF(P$12=0,0,P42/P$12)</f>
        <v>0</v>
      </c>
      <c r="S42" s="1"/>
      <c r="T42" s="1">
        <f>SUM(OSRRefT22_2x_0)</f>
        <v>0</v>
      </c>
      <c r="U42" s="1"/>
      <c r="V42" s="5">
        <f t="shared" ref="V42:V48" si="35">IF(T$12=0,0,T42/T$12)</f>
        <v>0</v>
      </c>
      <c r="W42" s="1"/>
      <c r="X42" s="1">
        <f t="shared" ref="X42:X48" si="36">+P42-T42</f>
        <v>0</v>
      </c>
      <c r="Y42" s="1"/>
      <c r="Z42" s="5">
        <f t="shared" ref="Z42:Z48" si="37">IF(T42=0,0,X42/T42)</f>
        <v>0</v>
      </c>
    </row>
    <row r="43" spans="1:26" s="24" customFormat="1" hidden="1" outlineLevel="2" x14ac:dyDescent="0.25">
      <c r="A43" s="29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30"/>
        <v>0</v>
      </c>
      <c r="G43" s="2"/>
      <c r="H43" s="7">
        <v>0</v>
      </c>
      <c r="I43" s="2"/>
      <c r="J43" s="6">
        <f t="shared" si="31"/>
        <v>0</v>
      </c>
      <c r="K43" s="2"/>
      <c r="L43" s="7">
        <f t="shared" si="32"/>
        <v>0</v>
      </c>
      <c r="M43" s="2"/>
      <c r="N43" s="6">
        <f t="shared" si="33"/>
        <v>0</v>
      </c>
      <c r="O43" s="11"/>
      <c r="P43" s="7"/>
      <c r="Q43" s="2"/>
      <c r="R43" s="6">
        <f t="shared" si="34"/>
        <v>0</v>
      </c>
      <c r="S43" s="2"/>
      <c r="T43" s="7">
        <v>0</v>
      </c>
      <c r="U43" s="2"/>
      <c r="V43" s="6">
        <f t="shared" si="35"/>
        <v>0</v>
      </c>
      <c r="W43" s="2"/>
      <c r="X43" s="7">
        <f t="shared" si="36"/>
        <v>0</v>
      </c>
      <c r="Y43" s="2"/>
      <c r="Z43" s="6">
        <f t="shared" si="37"/>
        <v>0</v>
      </c>
    </row>
    <row r="44" spans="1:26" s="28" customFormat="1" outlineLevel="1" collapsed="1" x14ac:dyDescent="0.2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0</v>
      </c>
      <c r="E44" s="1"/>
      <c r="F44" s="5">
        <f t="shared" si="30"/>
        <v>0</v>
      </c>
      <c r="G44" s="1"/>
      <c r="H44" s="1">
        <f>SUM(OSRRefH22_3x_0)</f>
        <v>0</v>
      </c>
      <c r="I44" s="1"/>
      <c r="J44" s="5">
        <f t="shared" si="31"/>
        <v>0</v>
      </c>
      <c r="K44" s="1"/>
      <c r="L44" s="1">
        <f t="shared" si="32"/>
        <v>0</v>
      </c>
      <c r="M44" s="1"/>
      <c r="N44" s="5">
        <f t="shared" si="33"/>
        <v>0</v>
      </c>
      <c r="O44" s="14"/>
      <c r="P44" s="1">
        <f>SUM(OSRRefP22_3x_0)</f>
        <v>0</v>
      </c>
      <c r="Q44" s="1"/>
      <c r="R44" s="5">
        <f t="shared" si="34"/>
        <v>0</v>
      </c>
      <c r="S44" s="1"/>
      <c r="T44" s="1">
        <f>SUM(OSRRefT22_3x_0)</f>
        <v>0</v>
      </c>
      <c r="U44" s="1"/>
      <c r="V44" s="5">
        <f t="shared" si="35"/>
        <v>0</v>
      </c>
      <c r="W44" s="1"/>
      <c r="X44" s="1">
        <f t="shared" si="36"/>
        <v>0</v>
      </c>
      <c r="Y44" s="1"/>
      <c r="Z44" s="5">
        <f t="shared" si="37"/>
        <v>0</v>
      </c>
    </row>
    <row r="45" spans="1:26" s="24" customFormat="1" hidden="1" outlineLevel="2" x14ac:dyDescent="0.25">
      <c r="A45" s="29"/>
      <c r="B45" s="11" t="str">
        <f>CONCATENATE("          ", "6381", " - ", "BANK/CREDIT CARD FEES")</f>
        <v xml:space="preserve">          6381 - BANK/CREDIT CARD FEES</v>
      </c>
      <c r="C45" s="11"/>
      <c r="D45" s="7"/>
      <c r="E45" s="2"/>
      <c r="F45" s="6">
        <f t="shared" si="30"/>
        <v>0</v>
      </c>
      <c r="G45" s="2"/>
      <c r="H45" s="7">
        <v>0</v>
      </c>
      <c r="I45" s="2"/>
      <c r="J45" s="6">
        <f t="shared" si="31"/>
        <v>0</v>
      </c>
      <c r="K45" s="2"/>
      <c r="L45" s="7">
        <f t="shared" si="32"/>
        <v>0</v>
      </c>
      <c r="M45" s="2"/>
      <c r="N45" s="6">
        <f t="shared" si="33"/>
        <v>0</v>
      </c>
      <c r="O45" s="11"/>
      <c r="P45" s="7"/>
      <c r="Q45" s="2"/>
      <c r="R45" s="6">
        <f t="shared" si="34"/>
        <v>0</v>
      </c>
      <c r="S45" s="2"/>
      <c r="T45" s="7">
        <v>0</v>
      </c>
      <c r="U45" s="2"/>
      <c r="V45" s="6">
        <f t="shared" si="35"/>
        <v>0</v>
      </c>
      <c r="W45" s="2"/>
      <c r="X45" s="7">
        <f t="shared" si="36"/>
        <v>0</v>
      </c>
      <c r="Y45" s="2"/>
      <c r="Z45" s="6">
        <f t="shared" si="37"/>
        <v>0</v>
      </c>
    </row>
    <row r="46" spans="1:26" s="28" customFormat="1" outlineLevel="1" collapsed="1" x14ac:dyDescent="0.25">
      <c r="A46" s="27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SUM(OSRRefD22_4x_0)</f>
        <v>6745.17</v>
      </c>
      <c r="E46" s="1"/>
      <c r="F46" s="5">
        <f t="shared" si="30"/>
        <v>0</v>
      </c>
      <c r="G46" s="1"/>
      <c r="H46" s="1">
        <f>SUM(OSRRefH22_4x_0)</f>
        <v>6745</v>
      </c>
      <c r="I46" s="1"/>
      <c r="J46" s="5">
        <f t="shared" si="31"/>
        <v>0</v>
      </c>
      <c r="K46" s="1"/>
      <c r="L46" s="1">
        <f t="shared" si="32"/>
        <v>0.17000000000007276</v>
      </c>
      <c r="M46" s="1"/>
      <c r="N46" s="5">
        <f t="shared" si="33"/>
        <v>2.5203854707201298E-5</v>
      </c>
      <c r="O46" s="14"/>
      <c r="P46" s="1">
        <f>SUM(OSRRefP22_4x_0)</f>
        <v>41768.170000000006</v>
      </c>
      <c r="Q46" s="1"/>
      <c r="R46" s="5">
        <f t="shared" si="34"/>
        <v>0</v>
      </c>
      <c r="S46" s="1"/>
      <c r="T46" s="1">
        <f>SUM(OSRRefT22_4x_0)</f>
        <v>41769</v>
      </c>
      <c r="U46" s="1"/>
      <c r="V46" s="5">
        <f t="shared" si="35"/>
        <v>0</v>
      </c>
      <c r="W46" s="1"/>
      <c r="X46" s="1">
        <f t="shared" si="36"/>
        <v>-0.82999999999447027</v>
      </c>
      <c r="Y46" s="1"/>
      <c r="Z46" s="5">
        <f t="shared" si="37"/>
        <v>-1.9871196341652189E-5</v>
      </c>
    </row>
    <row r="47" spans="1:26" s="24" customFormat="1" hidden="1" outlineLevel="2" x14ac:dyDescent="0.25">
      <c r="A47" s="29"/>
      <c r="B47" s="11" t="str">
        <f>CONCATENATE("          ", "6321", " - ", "BUILDING DEPRECIATION")</f>
        <v xml:space="preserve">          6321 - BUILDING DEPRECIATION</v>
      </c>
      <c r="C47" s="11"/>
      <c r="D47" s="7">
        <v>6537.05</v>
      </c>
      <c r="E47" s="2"/>
      <c r="F47" s="6">
        <f t="shared" si="30"/>
        <v>0</v>
      </c>
      <c r="G47" s="2"/>
      <c r="H47" s="7"/>
      <c r="I47" s="2"/>
      <c r="J47" s="6">
        <f t="shared" si="31"/>
        <v>0</v>
      </c>
      <c r="K47" s="2"/>
      <c r="L47" s="7">
        <f t="shared" si="32"/>
        <v>6537.05</v>
      </c>
      <c r="M47" s="2"/>
      <c r="N47" s="6">
        <f t="shared" si="33"/>
        <v>0</v>
      </c>
      <c r="O47" s="11"/>
      <c r="P47" s="7">
        <v>39222.300000000003</v>
      </c>
      <c r="Q47" s="2"/>
      <c r="R47" s="6">
        <f t="shared" si="34"/>
        <v>0</v>
      </c>
      <c r="S47" s="2"/>
      <c r="T47" s="7"/>
      <c r="U47" s="2"/>
      <c r="V47" s="6">
        <f t="shared" si="35"/>
        <v>0</v>
      </c>
      <c r="W47" s="2"/>
      <c r="X47" s="7">
        <f t="shared" si="36"/>
        <v>39222.300000000003</v>
      </c>
      <c r="Y47" s="2"/>
      <c r="Z47" s="6">
        <f t="shared" si="37"/>
        <v>0</v>
      </c>
    </row>
    <row r="48" spans="1:26" s="24" customFormat="1" hidden="1" outlineLevel="2" x14ac:dyDescent="0.25">
      <c r="A48" s="29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208.12</v>
      </c>
      <c r="E48" s="2"/>
      <c r="F48" s="6">
        <f t="shared" si="30"/>
        <v>0</v>
      </c>
      <c r="G48" s="2"/>
      <c r="H48" s="7">
        <v>6745</v>
      </c>
      <c r="I48" s="2"/>
      <c r="J48" s="6">
        <f t="shared" si="31"/>
        <v>0</v>
      </c>
      <c r="K48" s="2"/>
      <c r="L48" s="7">
        <f t="shared" si="32"/>
        <v>-6536.88</v>
      </c>
      <c r="M48" s="2"/>
      <c r="N48" s="6">
        <f t="shared" si="33"/>
        <v>-0.96914455151964418</v>
      </c>
      <c r="O48" s="11"/>
      <c r="P48" s="7">
        <v>2545.87</v>
      </c>
      <c r="Q48" s="2"/>
      <c r="R48" s="6">
        <f t="shared" si="34"/>
        <v>0</v>
      </c>
      <c r="S48" s="2"/>
      <c r="T48" s="7">
        <v>41769</v>
      </c>
      <c r="U48" s="2"/>
      <c r="V48" s="6">
        <f t="shared" si="35"/>
        <v>0</v>
      </c>
      <c r="W48" s="2"/>
      <c r="X48" s="7">
        <f t="shared" si="36"/>
        <v>-39223.129999999997</v>
      </c>
      <c r="Y48" s="2"/>
      <c r="Z48" s="6">
        <f t="shared" si="37"/>
        <v>-0.93904881610763957</v>
      </c>
    </row>
    <row r="49" spans="1:26" s="28" customFormat="1" outlineLevel="1" collapsed="1" x14ac:dyDescent="0.25">
      <c r="A49" s="27"/>
      <c r="B49" s="14" t="str">
        <f>CONCATENATE("     ","Employees' Appreciation                           ")</f>
        <v xml:space="preserve">     Employees' Appreciation                           </v>
      </c>
      <c r="C49" s="14"/>
      <c r="D49" s="1">
        <f>SUM(OSRRefD22_5x_0)</f>
        <v>0</v>
      </c>
      <c r="E49" s="1"/>
      <c r="F49" s="5">
        <f t="shared" ref="F49:F58" si="38">IF(D$12=0,0,D49/D$12)</f>
        <v>0</v>
      </c>
      <c r="G49" s="1"/>
      <c r="H49" s="1">
        <f>SUM(OSRRefH22_5x_0)</f>
        <v>0</v>
      </c>
      <c r="I49" s="1"/>
      <c r="J49" s="5">
        <f t="shared" ref="J49:J58" si="39">IF(H$12=0,0,H49/H$12)</f>
        <v>0</v>
      </c>
      <c r="K49" s="1"/>
      <c r="L49" s="1">
        <f t="shared" ref="L49:L58" si="40">+D49-H49</f>
        <v>0</v>
      </c>
      <c r="M49" s="1"/>
      <c r="N49" s="5">
        <f t="shared" ref="N49:N58" si="41">IF(H49=0,0,L49/H49)</f>
        <v>0</v>
      </c>
      <c r="O49" s="14"/>
      <c r="P49" s="1">
        <f>SUM(OSRRefP22_5x_0)</f>
        <v>0</v>
      </c>
      <c r="Q49" s="1"/>
      <c r="R49" s="5">
        <f t="shared" ref="R49:R58" si="42">IF(P$12=0,0,P49/P$12)</f>
        <v>0</v>
      </c>
      <c r="S49" s="1"/>
      <c r="T49" s="1">
        <f>SUM(OSRRefT22_5x_0)</f>
        <v>0</v>
      </c>
      <c r="U49" s="1"/>
      <c r="V49" s="5">
        <f t="shared" ref="V49:V58" si="43">IF(T$12=0,0,T49/T$12)</f>
        <v>0</v>
      </c>
      <c r="W49" s="1"/>
      <c r="X49" s="1">
        <f t="shared" ref="X49:X58" si="44">+P49-T49</f>
        <v>0</v>
      </c>
      <c r="Y49" s="1"/>
      <c r="Z49" s="5">
        <f t="shared" ref="Z49:Z58" si="45">IF(T49=0,0,X49/T49)</f>
        <v>0</v>
      </c>
    </row>
    <row r="50" spans="1:26" s="24" customFormat="1" hidden="1" outlineLevel="2" x14ac:dyDescent="0.25">
      <c r="A50" s="29"/>
      <c r="B50" s="11" t="str">
        <f>CONCATENATE("          ", "6277", " - ", "EMPLOYEE APPRECIATION")</f>
        <v xml:space="preserve">          6277 - EMPLOYEE APPRECIATION</v>
      </c>
      <c r="C50" s="11"/>
      <c r="D50" s="7"/>
      <c r="E50" s="2"/>
      <c r="F50" s="6">
        <f t="shared" si="38"/>
        <v>0</v>
      </c>
      <c r="G50" s="2"/>
      <c r="H50" s="7">
        <v>0</v>
      </c>
      <c r="I50" s="2"/>
      <c r="J50" s="6">
        <f t="shared" si="39"/>
        <v>0</v>
      </c>
      <c r="K50" s="2"/>
      <c r="L50" s="7">
        <f t="shared" si="40"/>
        <v>0</v>
      </c>
      <c r="M50" s="2"/>
      <c r="N50" s="6">
        <f t="shared" si="41"/>
        <v>0</v>
      </c>
      <c r="O50" s="11"/>
      <c r="P50" s="7"/>
      <c r="Q50" s="2"/>
      <c r="R50" s="6">
        <f t="shared" si="42"/>
        <v>0</v>
      </c>
      <c r="S50" s="2"/>
      <c r="T50" s="7">
        <v>0</v>
      </c>
      <c r="U50" s="2"/>
      <c r="V50" s="6">
        <f t="shared" si="43"/>
        <v>0</v>
      </c>
      <c r="W50" s="2"/>
      <c r="X50" s="7">
        <f t="shared" si="44"/>
        <v>0</v>
      </c>
      <c r="Y50" s="2"/>
      <c r="Z50" s="6">
        <f t="shared" si="45"/>
        <v>0</v>
      </c>
    </row>
    <row r="51" spans="1:26" s="28" customFormat="1" outlineLevel="1" collapsed="1" x14ac:dyDescent="0.25">
      <c r="A51" s="27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SUM(OSRRefD22_6x_0)</f>
        <v>0</v>
      </c>
      <c r="E51" s="1"/>
      <c r="F51" s="5">
        <f t="shared" si="38"/>
        <v>0</v>
      </c>
      <c r="G51" s="1"/>
      <c r="H51" s="1">
        <f>SUM(OSRRefH22_6x_0)</f>
        <v>0</v>
      </c>
      <c r="I51" s="1"/>
      <c r="J51" s="5">
        <f t="shared" si="39"/>
        <v>0</v>
      </c>
      <c r="K51" s="1"/>
      <c r="L51" s="1">
        <f t="shared" si="40"/>
        <v>0</v>
      </c>
      <c r="M51" s="1"/>
      <c r="N51" s="5">
        <f t="shared" si="41"/>
        <v>0</v>
      </c>
      <c r="O51" s="14"/>
      <c r="P51" s="1">
        <f>SUM(OSRRefP22_6x_0)</f>
        <v>263.72000000000003</v>
      </c>
      <c r="Q51" s="1"/>
      <c r="R51" s="5">
        <f t="shared" si="42"/>
        <v>0</v>
      </c>
      <c r="S51" s="1"/>
      <c r="T51" s="1">
        <f>SUM(OSRRefT22_6x_0)</f>
        <v>0</v>
      </c>
      <c r="U51" s="1"/>
      <c r="V51" s="5">
        <f t="shared" si="43"/>
        <v>0</v>
      </c>
      <c r="W51" s="1"/>
      <c r="X51" s="1">
        <f t="shared" si="44"/>
        <v>263.72000000000003</v>
      </c>
      <c r="Y51" s="1"/>
      <c r="Z51" s="5">
        <f t="shared" si="45"/>
        <v>0</v>
      </c>
    </row>
    <row r="52" spans="1:26" s="24" customFormat="1" hidden="1" outlineLevel="2" x14ac:dyDescent="0.25">
      <c r="A52" s="29"/>
      <c r="B52" s="11" t="str">
        <f>CONCATENATE("          ", "6351", " - ", "EQUIPMENT RENTAL")</f>
        <v xml:space="preserve">          6351 - EQUIPMENT RENTAL</v>
      </c>
      <c r="C52" s="11"/>
      <c r="D52" s="7"/>
      <c r="E52" s="2"/>
      <c r="F52" s="6">
        <f t="shared" si="38"/>
        <v>0</v>
      </c>
      <c r="G52" s="2"/>
      <c r="H52" s="7"/>
      <c r="I52" s="2"/>
      <c r="J52" s="6">
        <f t="shared" si="39"/>
        <v>0</v>
      </c>
      <c r="K52" s="2"/>
      <c r="L52" s="7">
        <f t="shared" si="40"/>
        <v>0</v>
      </c>
      <c r="M52" s="2"/>
      <c r="N52" s="6">
        <f t="shared" si="41"/>
        <v>0</v>
      </c>
      <c r="O52" s="11"/>
      <c r="P52" s="7">
        <v>263.72000000000003</v>
      </c>
      <c r="Q52" s="2"/>
      <c r="R52" s="6">
        <f t="shared" si="42"/>
        <v>0</v>
      </c>
      <c r="S52" s="2"/>
      <c r="T52" s="7"/>
      <c r="U52" s="2"/>
      <c r="V52" s="6">
        <f t="shared" si="43"/>
        <v>0</v>
      </c>
      <c r="W52" s="2"/>
      <c r="X52" s="7">
        <f t="shared" si="44"/>
        <v>263.72000000000003</v>
      </c>
      <c r="Y52" s="2"/>
      <c r="Z52" s="6">
        <f t="shared" si="45"/>
        <v>0</v>
      </c>
    </row>
    <row r="53" spans="1:26" s="28" customFormat="1" outlineLevel="1" collapsed="1" x14ac:dyDescent="0.25">
      <c r="A53" s="27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SUM(OSRRefD22_7x_0)</f>
        <v>0</v>
      </c>
      <c r="E53" s="1"/>
      <c r="F53" s="5">
        <f t="shared" si="38"/>
        <v>0</v>
      </c>
      <c r="G53" s="1"/>
      <c r="H53" s="1">
        <f>SUM(OSRRefH22_7x_0)</f>
        <v>0</v>
      </c>
      <c r="I53" s="1"/>
      <c r="J53" s="5">
        <f t="shared" si="39"/>
        <v>0</v>
      </c>
      <c r="K53" s="1"/>
      <c r="L53" s="1">
        <f t="shared" si="40"/>
        <v>0</v>
      </c>
      <c r="M53" s="1"/>
      <c r="N53" s="5">
        <f t="shared" si="41"/>
        <v>0</v>
      </c>
      <c r="O53" s="14"/>
      <c r="P53" s="1">
        <f>SUM(OSRRefP22_7x_0)</f>
        <v>1284.55</v>
      </c>
      <c r="Q53" s="1"/>
      <c r="R53" s="5">
        <f t="shared" si="42"/>
        <v>0</v>
      </c>
      <c r="S53" s="1"/>
      <c r="T53" s="1">
        <f>SUM(OSRRefT22_7x_0)</f>
        <v>0</v>
      </c>
      <c r="U53" s="1"/>
      <c r="V53" s="5">
        <f t="shared" si="43"/>
        <v>0</v>
      </c>
      <c r="W53" s="1"/>
      <c r="X53" s="1">
        <f t="shared" si="44"/>
        <v>1284.55</v>
      </c>
      <c r="Y53" s="1"/>
      <c r="Z53" s="5">
        <f t="shared" si="45"/>
        <v>0</v>
      </c>
    </row>
    <row r="54" spans="1:26" s="24" customFormat="1" hidden="1" outlineLevel="2" x14ac:dyDescent="0.25">
      <c r="A54" s="29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38"/>
        <v>0</v>
      </c>
      <c r="G54" s="2"/>
      <c r="H54" s="7"/>
      <c r="I54" s="2"/>
      <c r="J54" s="6">
        <f t="shared" si="39"/>
        <v>0</v>
      </c>
      <c r="K54" s="2"/>
      <c r="L54" s="7">
        <f t="shared" si="40"/>
        <v>0</v>
      </c>
      <c r="M54" s="2"/>
      <c r="N54" s="6">
        <f t="shared" si="41"/>
        <v>0</v>
      </c>
      <c r="O54" s="11"/>
      <c r="P54" s="7">
        <v>1284.55</v>
      </c>
      <c r="Q54" s="2"/>
      <c r="R54" s="6">
        <f t="shared" si="42"/>
        <v>0</v>
      </c>
      <c r="S54" s="2"/>
      <c r="T54" s="7">
        <v>0</v>
      </c>
      <c r="U54" s="2"/>
      <c r="V54" s="6">
        <f t="shared" si="43"/>
        <v>0</v>
      </c>
      <c r="W54" s="2"/>
      <c r="X54" s="7">
        <f t="shared" si="44"/>
        <v>1284.55</v>
      </c>
      <c r="Y54" s="2"/>
      <c r="Z54" s="6">
        <f t="shared" si="45"/>
        <v>0</v>
      </c>
    </row>
    <row r="55" spans="1:26" s="28" customFormat="1" outlineLevel="1" collapsed="1" x14ac:dyDescent="0.25">
      <c r="A55" s="27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SUM(OSRRefD22_8x_0)</f>
        <v>198.86</v>
      </c>
      <c r="E55" s="1"/>
      <c r="F55" s="5">
        <f t="shared" si="38"/>
        <v>0</v>
      </c>
      <c r="G55" s="1"/>
      <c r="H55" s="1">
        <f>SUM(OSRRefH22_8x_0)</f>
        <v>0</v>
      </c>
      <c r="I55" s="1"/>
      <c r="J55" s="5">
        <f t="shared" si="39"/>
        <v>0</v>
      </c>
      <c r="K55" s="1"/>
      <c r="L55" s="1">
        <f t="shared" si="40"/>
        <v>198.86</v>
      </c>
      <c r="M55" s="1"/>
      <c r="N55" s="5">
        <f t="shared" si="41"/>
        <v>0</v>
      </c>
      <c r="O55" s="14"/>
      <c r="P55" s="1">
        <f>SUM(OSRRefP22_8x_0)</f>
        <v>476.33</v>
      </c>
      <c r="Q55" s="1"/>
      <c r="R55" s="5">
        <f t="shared" si="42"/>
        <v>0</v>
      </c>
      <c r="S55" s="1"/>
      <c r="T55" s="1">
        <f>SUM(OSRRefT22_8x_0)</f>
        <v>0</v>
      </c>
      <c r="U55" s="1"/>
      <c r="V55" s="5">
        <f t="shared" si="43"/>
        <v>0</v>
      </c>
      <c r="W55" s="1"/>
      <c r="X55" s="1">
        <f t="shared" si="44"/>
        <v>476.33</v>
      </c>
      <c r="Y55" s="1"/>
      <c r="Z55" s="5">
        <f t="shared" si="45"/>
        <v>0</v>
      </c>
    </row>
    <row r="56" spans="1:26" s="24" customFormat="1" hidden="1" outlineLevel="2" x14ac:dyDescent="0.25">
      <c r="A56" s="29"/>
      <c r="B56" s="11" t="str">
        <f>CONCATENATE("          ", "6372", " - ", "COMPUTER HARDWARE MAINTENANCE")</f>
        <v xml:space="preserve">          6372 - COMPUTER HARDWARE MAINTENANCE</v>
      </c>
      <c r="C56" s="11"/>
      <c r="D56" s="7"/>
      <c r="E56" s="2"/>
      <c r="F56" s="6">
        <f t="shared" si="38"/>
        <v>0</v>
      </c>
      <c r="G56" s="2"/>
      <c r="H56" s="7"/>
      <c r="I56" s="2"/>
      <c r="J56" s="6">
        <f t="shared" si="39"/>
        <v>0</v>
      </c>
      <c r="K56" s="2"/>
      <c r="L56" s="7">
        <f t="shared" si="40"/>
        <v>0</v>
      </c>
      <c r="M56" s="2"/>
      <c r="N56" s="6">
        <f t="shared" si="41"/>
        <v>0</v>
      </c>
      <c r="O56" s="11"/>
      <c r="P56" s="7"/>
      <c r="Q56" s="2"/>
      <c r="R56" s="6">
        <f t="shared" si="42"/>
        <v>0</v>
      </c>
      <c r="S56" s="2"/>
      <c r="T56" s="7">
        <v>0</v>
      </c>
      <c r="U56" s="2"/>
      <c r="V56" s="6">
        <f t="shared" si="43"/>
        <v>0</v>
      </c>
      <c r="W56" s="2"/>
      <c r="X56" s="7">
        <f t="shared" si="44"/>
        <v>0</v>
      </c>
      <c r="Y56" s="2"/>
      <c r="Z56" s="6">
        <f t="shared" si="45"/>
        <v>0</v>
      </c>
    </row>
    <row r="57" spans="1:26" s="24" customFormat="1" hidden="1" outlineLevel="2" x14ac:dyDescent="0.25">
      <c r="A57" s="29"/>
      <c r="B57" s="11" t="str">
        <f>CONCATENATE("          ", "6373", " - ", "MAINTENANCE CONTRACTS")</f>
        <v xml:space="preserve">          6373 - MAINTENANCE CONTRACTS</v>
      </c>
      <c r="C57" s="11"/>
      <c r="D57" s="7">
        <v>198.86</v>
      </c>
      <c r="E57" s="2"/>
      <c r="F57" s="6">
        <f t="shared" si="38"/>
        <v>0</v>
      </c>
      <c r="G57" s="2"/>
      <c r="H57" s="7"/>
      <c r="I57" s="2"/>
      <c r="J57" s="6">
        <f t="shared" si="39"/>
        <v>0</v>
      </c>
      <c r="K57" s="2"/>
      <c r="L57" s="7">
        <f t="shared" si="40"/>
        <v>198.86</v>
      </c>
      <c r="M57" s="2"/>
      <c r="N57" s="6">
        <f t="shared" si="41"/>
        <v>0</v>
      </c>
      <c r="O57" s="11"/>
      <c r="P57" s="7">
        <v>476.33</v>
      </c>
      <c r="Q57" s="2"/>
      <c r="R57" s="6">
        <f t="shared" si="42"/>
        <v>0</v>
      </c>
      <c r="S57" s="2"/>
      <c r="T57" s="7">
        <v>0</v>
      </c>
      <c r="U57" s="2"/>
      <c r="V57" s="6">
        <f t="shared" si="43"/>
        <v>0</v>
      </c>
      <c r="W57" s="2"/>
      <c r="X57" s="7">
        <f t="shared" si="44"/>
        <v>476.33</v>
      </c>
      <c r="Y57" s="2"/>
      <c r="Z57" s="6">
        <f t="shared" si="45"/>
        <v>0</v>
      </c>
    </row>
    <row r="58" spans="1:26" s="24" customFormat="1" hidden="1" outlineLevel="2" x14ac:dyDescent="0.25">
      <c r="A58" s="29"/>
      <c r="B58" s="11" t="str">
        <f>CONCATENATE("          ", "6375", " - ", "OUTSIDE REPAIRS &amp; MAINTENANCE")</f>
        <v xml:space="preserve">          6375 - OUTSIDE REPAIRS &amp; MAINTENANCE</v>
      </c>
      <c r="C58" s="11"/>
      <c r="D58" s="7"/>
      <c r="E58" s="2"/>
      <c r="F58" s="6">
        <f t="shared" si="38"/>
        <v>0</v>
      </c>
      <c r="G58" s="2"/>
      <c r="H58" s="7">
        <v>0</v>
      </c>
      <c r="I58" s="2"/>
      <c r="J58" s="6">
        <f t="shared" si="39"/>
        <v>0</v>
      </c>
      <c r="K58" s="2"/>
      <c r="L58" s="7">
        <f t="shared" si="40"/>
        <v>0</v>
      </c>
      <c r="M58" s="2"/>
      <c r="N58" s="6">
        <f t="shared" si="41"/>
        <v>0</v>
      </c>
      <c r="O58" s="11"/>
      <c r="P58" s="7"/>
      <c r="Q58" s="2"/>
      <c r="R58" s="6">
        <f t="shared" si="42"/>
        <v>0</v>
      </c>
      <c r="S58" s="2"/>
      <c r="T58" s="7">
        <v>0</v>
      </c>
      <c r="U58" s="2"/>
      <c r="V58" s="6">
        <f t="shared" si="43"/>
        <v>0</v>
      </c>
      <c r="W58" s="2"/>
      <c r="X58" s="7">
        <f t="shared" si="44"/>
        <v>0</v>
      </c>
      <c r="Y58" s="2"/>
      <c r="Z58" s="6">
        <f t="shared" si="45"/>
        <v>0</v>
      </c>
    </row>
    <row r="59" spans="1:26" s="28" customFormat="1" outlineLevel="1" collapsed="1" x14ac:dyDescent="0.25">
      <c r="A59" s="27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SUM(OSRRefD22_9x_0)</f>
        <v>0</v>
      </c>
      <c r="E59" s="1"/>
      <c r="F59" s="5">
        <f t="shared" ref="F59:F61" si="46">IF(D$12=0,0,D59/D$12)</f>
        <v>0</v>
      </c>
      <c r="G59" s="1"/>
      <c r="H59" s="1">
        <f>SUM(OSRRefH22_9x_0)</f>
        <v>0</v>
      </c>
      <c r="I59" s="1"/>
      <c r="J59" s="5">
        <f t="shared" ref="J59:J61" si="47">IF(H$12=0,0,H59/H$12)</f>
        <v>0</v>
      </c>
      <c r="K59" s="1"/>
      <c r="L59" s="1">
        <f t="shared" ref="L59:L61" si="48">+D59-H59</f>
        <v>0</v>
      </c>
      <c r="M59" s="1"/>
      <c r="N59" s="5">
        <f t="shared" ref="N59:N61" si="49">IF(H59=0,0,L59/H59)</f>
        <v>0</v>
      </c>
      <c r="O59" s="14"/>
      <c r="P59" s="1">
        <f>SUM(OSRRefP22_9x_0)</f>
        <v>0</v>
      </c>
      <c r="Q59" s="1"/>
      <c r="R59" s="5">
        <f t="shared" ref="R59:R61" si="50">IF(P$12=0,0,P59/P$12)</f>
        <v>0</v>
      </c>
      <c r="S59" s="1"/>
      <c r="T59" s="1">
        <f>SUM(OSRRefT22_9x_0)</f>
        <v>0</v>
      </c>
      <c r="U59" s="1"/>
      <c r="V59" s="5">
        <f t="shared" ref="V59:V61" si="51">IF(T$12=0,0,T59/T$12)</f>
        <v>0</v>
      </c>
      <c r="W59" s="1"/>
      <c r="X59" s="1">
        <f t="shared" ref="X59:X61" si="52">+P59-T59</f>
        <v>0</v>
      </c>
      <c r="Y59" s="1"/>
      <c r="Z59" s="5">
        <f t="shared" ref="Z59:Z61" si="53">IF(T59=0,0,X59/T59)</f>
        <v>0</v>
      </c>
    </row>
    <row r="60" spans="1:26" s="24" customFormat="1" hidden="1" outlineLevel="2" x14ac:dyDescent="0.25">
      <c r="A60" s="29"/>
      <c r="B60" s="11" t="str">
        <f>CONCATENATE("          ", "6283", " - ", "PLANT SERVICE")</f>
        <v xml:space="preserve">          6283 - PLANT SERVICE</v>
      </c>
      <c r="C60" s="11"/>
      <c r="D60" s="7"/>
      <c r="E60" s="2"/>
      <c r="F60" s="6">
        <f t="shared" si="46"/>
        <v>0</v>
      </c>
      <c r="G60" s="2"/>
      <c r="H60" s="7">
        <v>0</v>
      </c>
      <c r="I60" s="2"/>
      <c r="J60" s="6">
        <f t="shared" si="47"/>
        <v>0</v>
      </c>
      <c r="K60" s="2"/>
      <c r="L60" s="7">
        <f t="shared" si="48"/>
        <v>0</v>
      </c>
      <c r="M60" s="2"/>
      <c r="N60" s="6">
        <f t="shared" si="49"/>
        <v>0</v>
      </c>
      <c r="O60" s="11"/>
      <c r="P60" s="7"/>
      <c r="Q60" s="2"/>
      <c r="R60" s="6">
        <f t="shared" si="50"/>
        <v>0</v>
      </c>
      <c r="S60" s="2"/>
      <c r="T60" s="7">
        <v>0</v>
      </c>
      <c r="U60" s="2"/>
      <c r="V60" s="6">
        <f t="shared" si="51"/>
        <v>0</v>
      </c>
      <c r="W60" s="2"/>
      <c r="X60" s="7">
        <f t="shared" si="52"/>
        <v>0</v>
      </c>
      <c r="Y60" s="2"/>
      <c r="Z60" s="6">
        <f t="shared" si="53"/>
        <v>0</v>
      </c>
    </row>
    <row r="61" spans="1:26" s="24" customFormat="1" hidden="1" outlineLevel="2" x14ac:dyDescent="0.25">
      <c r="A61" s="29"/>
      <c r="B61" s="11" t="str">
        <f>CONCATENATE("          ", "6286", " - ", "LAUNDRY EXPENSE")</f>
        <v xml:space="preserve">          6286 - LAUNDRY EXPENSE</v>
      </c>
      <c r="C61" s="11"/>
      <c r="D61" s="7"/>
      <c r="E61" s="2"/>
      <c r="F61" s="6">
        <f t="shared" si="46"/>
        <v>0</v>
      </c>
      <c r="G61" s="2"/>
      <c r="H61" s="7">
        <v>0</v>
      </c>
      <c r="I61" s="2"/>
      <c r="J61" s="6">
        <f t="shared" si="47"/>
        <v>0</v>
      </c>
      <c r="K61" s="2"/>
      <c r="L61" s="7">
        <f t="shared" si="48"/>
        <v>0</v>
      </c>
      <c r="M61" s="2"/>
      <c r="N61" s="6">
        <f t="shared" si="49"/>
        <v>0</v>
      </c>
      <c r="O61" s="11"/>
      <c r="P61" s="7"/>
      <c r="Q61" s="2"/>
      <c r="R61" s="6">
        <f t="shared" si="50"/>
        <v>0</v>
      </c>
      <c r="S61" s="2"/>
      <c r="T61" s="7">
        <v>0</v>
      </c>
      <c r="U61" s="2"/>
      <c r="V61" s="6">
        <f t="shared" si="51"/>
        <v>0</v>
      </c>
      <c r="W61" s="2"/>
      <c r="X61" s="7">
        <f t="shared" si="52"/>
        <v>0</v>
      </c>
      <c r="Y61" s="2"/>
      <c r="Z61" s="6">
        <f t="shared" si="53"/>
        <v>0</v>
      </c>
    </row>
    <row r="62" spans="1:26" s="28" customFormat="1" outlineLevel="1" collapsed="1" x14ac:dyDescent="0.25">
      <c r="A62" s="27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1">
        <f>SUM(OSRRefD22_10x_0)</f>
        <v>0</v>
      </c>
      <c r="E62" s="1"/>
      <c r="F62" s="5">
        <f t="shared" ref="F62:F64" si="54">IF(D$12=0,0,D62/D$12)</f>
        <v>0</v>
      </c>
      <c r="G62" s="1"/>
      <c r="H62" s="1">
        <f>SUM(OSRRefH22_10x_0)</f>
        <v>0</v>
      </c>
      <c r="I62" s="1"/>
      <c r="J62" s="5">
        <f t="shared" ref="J62:J64" si="55">IF(H$12=0,0,H62/H$12)</f>
        <v>0</v>
      </c>
      <c r="K62" s="1"/>
      <c r="L62" s="1">
        <f t="shared" ref="L62:L64" si="56">+D62-H62</f>
        <v>0</v>
      </c>
      <c r="M62" s="1"/>
      <c r="N62" s="5">
        <f t="shared" ref="N62:N64" si="57">IF(H62=0,0,L62/H62)</f>
        <v>0</v>
      </c>
      <c r="O62" s="14"/>
      <c r="P62" s="1">
        <f>SUM(OSRRefP22_10x_0)</f>
        <v>0</v>
      </c>
      <c r="Q62" s="1"/>
      <c r="R62" s="5">
        <f t="shared" ref="R62:R64" si="58">IF(P$12=0,0,P62/P$12)</f>
        <v>0</v>
      </c>
      <c r="S62" s="1"/>
      <c r="T62" s="1">
        <f>SUM(OSRRefT22_10x_0)</f>
        <v>0</v>
      </c>
      <c r="U62" s="1"/>
      <c r="V62" s="5">
        <f t="shared" ref="V62:V64" si="59">IF(T$12=0,0,T62/T$12)</f>
        <v>0</v>
      </c>
      <c r="W62" s="1"/>
      <c r="X62" s="1">
        <f t="shared" ref="X62:X64" si="60">+P62-T62</f>
        <v>0</v>
      </c>
      <c r="Y62" s="1"/>
      <c r="Z62" s="5">
        <f t="shared" ref="Z62:Z64" si="61">IF(T62=0,0,X62/T62)</f>
        <v>0</v>
      </c>
    </row>
    <row r="63" spans="1:26" s="24" customFormat="1" hidden="1" outlineLevel="2" x14ac:dyDescent="0.25">
      <c r="A63" s="29"/>
      <c r="B63" s="11" t="str">
        <f>CONCATENATE("          ", "6258", " - ", "MEMBERSHIP DUES")</f>
        <v xml:space="preserve">          6258 - MEMBERSHIP DUES</v>
      </c>
      <c r="C63" s="11"/>
      <c r="D63" s="7"/>
      <c r="E63" s="2"/>
      <c r="F63" s="6">
        <f t="shared" si="54"/>
        <v>0</v>
      </c>
      <c r="G63" s="2"/>
      <c r="H63" s="7">
        <v>0</v>
      </c>
      <c r="I63" s="2"/>
      <c r="J63" s="6">
        <f t="shared" si="55"/>
        <v>0</v>
      </c>
      <c r="K63" s="2"/>
      <c r="L63" s="7">
        <f t="shared" si="56"/>
        <v>0</v>
      </c>
      <c r="M63" s="2"/>
      <c r="N63" s="6">
        <f t="shared" si="57"/>
        <v>0</v>
      </c>
      <c r="O63" s="11"/>
      <c r="P63" s="7"/>
      <c r="Q63" s="2"/>
      <c r="R63" s="6">
        <f t="shared" si="58"/>
        <v>0</v>
      </c>
      <c r="S63" s="2"/>
      <c r="T63" s="7">
        <v>0</v>
      </c>
      <c r="U63" s="2"/>
      <c r="V63" s="6">
        <f t="shared" si="59"/>
        <v>0</v>
      </c>
      <c r="W63" s="2"/>
      <c r="X63" s="7">
        <f t="shared" si="60"/>
        <v>0</v>
      </c>
      <c r="Y63" s="2"/>
      <c r="Z63" s="6">
        <f t="shared" si="61"/>
        <v>0</v>
      </c>
    </row>
    <row r="64" spans="1:26" s="24" customFormat="1" hidden="1" outlineLevel="2" x14ac:dyDescent="0.25">
      <c r="A64" s="29"/>
      <c r="B64" s="11" t="str">
        <f>CONCATENATE("          ", "6275", " - ", "SUBSCRIPTIONS")</f>
        <v xml:space="preserve">          6275 - SUBSCRIPTIONS</v>
      </c>
      <c r="C64" s="11"/>
      <c r="D64" s="7"/>
      <c r="E64" s="2"/>
      <c r="F64" s="6">
        <f t="shared" si="54"/>
        <v>0</v>
      </c>
      <c r="G64" s="2"/>
      <c r="H64" s="7">
        <v>0</v>
      </c>
      <c r="I64" s="2"/>
      <c r="J64" s="6">
        <f t="shared" si="55"/>
        <v>0</v>
      </c>
      <c r="K64" s="2"/>
      <c r="L64" s="7">
        <f t="shared" si="56"/>
        <v>0</v>
      </c>
      <c r="M64" s="2"/>
      <c r="N64" s="6">
        <f t="shared" si="57"/>
        <v>0</v>
      </c>
      <c r="O64" s="11"/>
      <c r="P64" s="7"/>
      <c r="Q64" s="2"/>
      <c r="R64" s="6">
        <f t="shared" si="58"/>
        <v>0</v>
      </c>
      <c r="S64" s="2"/>
      <c r="T64" s="7">
        <v>0</v>
      </c>
      <c r="U64" s="2"/>
      <c r="V64" s="6">
        <f t="shared" si="59"/>
        <v>0</v>
      </c>
      <c r="W64" s="2"/>
      <c r="X64" s="7">
        <f t="shared" si="60"/>
        <v>0</v>
      </c>
      <c r="Y64" s="2"/>
      <c r="Z64" s="6">
        <f t="shared" si="61"/>
        <v>0</v>
      </c>
    </row>
    <row r="65" spans="1:26" s="28" customFormat="1" outlineLevel="1" collapsed="1" x14ac:dyDescent="0.25">
      <c r="A65" s="27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SUM(OSRRefD22_11x_0)</f>
        <v>0</v>
      </c>
      <c r="E65" s="1"/>
      <c r="F65" s="5">
        <f t="shared" ref="F65:F75" si="62">IF(D$12=0,0,D65/D$12)</f>
        <v>0</v>
      </c>
      <c r="G65" s="1"/>
      <c r="H65" s="1">
        <f>SUM(OSRRefH22_11x_0)</f>
        <v>0</v>
      </c>
      <c r="I65" s="1"/>
      <c r="J65" s="5">
        <f t="shared" ref="J65:J75" si="63">IF(H$12=0,0,H65/H$12)</f>
        <v>0</v>
      </c>
      <c r="K65" s="1"/>
      <c r="L65" s="1">
        <f t="shared" ref="L65:L75" si="64">+D65-H65</f>
        <v>0</v>
      </c>
      <c r="M65" s="1"/>
      <c r="N65" s="5">
        <f t="shared" ref="N65:N75" si="65">IF(H65=0,0,L65/H65)</f>
        <v>0</v>
      </c>
      <c r="O65" s="14"/>
      <c r="P65" s="1">
        <f>SUM(OSRRefP22_11x_0)</f>
        <v>0</v>
      </c>
      <c r="Q65" s="1"/>
      <c r="R65" s="5">
        <f t="shared" ref="R65:R75" si="66">IF(P$12=0,0,P65/P$12)</f>
        <v>0</v>
      </c>
      <c r="S65" s="1"/>
      <c r="T65" s="1">
        <f>SUM(OSRRefT22_11x_0)</f>
        <v>0</v>
      </c>
      <c r="U65" s="1"/>
      <c r="V65" s="5">
        <f t="shared" ref="V65:V75" si="67">IF(T$12=0,0,T65/T$12)</f>
        <v>0</v>
      </c>
      <c r="W65" s="1"/>
      <c r="X65" s="1">
        <f t="shared" ref="X65:X75" si="68">+P65-T65</f>
        <v>0</v>
      </c>
      <c r="Y65" s="1"/>
      <c r="Z65" s="5">
        <f t="shared" ref="Z65:Z75" si="69">IF(T65=0,0,X65/T65)</f>
        <v>0</v>
      </c>
    </row>
    <row r="66" spans="1:26" s="24" customFormat="1" hidden="1" outlineLevel="2" x14ac:dyDescent="0.25">
      <c r="A66" s="29"/>
      <c r="B66" s="11" t="str">
        <f>CONCATENATE("          ", "6234", " - ", "EXPENDABLE SUPPLIES &amp; EQUIPMEN")</f>
        <v xml:space="preserve">          6234 - EXPENDABLE SUPPLIES &amp; EQUIPMEN</v>
      </c>
      <c r="C66" s="11"/>
      <c r="D66" s="7"/>
      <c r="E66" s="2"/>
      <c r="F66" s="6">
        <f t="shared" si="62"/>
        <v>0</v>
      </c>
      <c r="G66" s="2"/>
      <c r="H66" s="7"/>
      <c r="I66" s="2"/>
      <c r="J66" s="6">
        <f t="shared" si="63"/>
        <v>0</v>
      </c>
      <c r="K66" s="2"/>
      <c r="L66" s="7">
        <f t="shared" si="64"/>
        <v>0</v>
      </c>
      <c r="M66" s="2"/>
      <c r="N66" s="6">
        <f t="shared" si="65"/>
        <v>0</v>
      </c>
      <c r="O66" s="11"/>
      <c r="P66" s="7"/>
      <c r="Q66" s="2"/>
      <c r="R66" s="6">
        <f t="shared" si="66"/>
        <v>0</v>
      </c>
      <c r="S66" s="2"/>
      <c r="T66" s="7">
        <v>0</v>
      </c>
      <c r="U66" s="2"/>
      <c r="V66" s="6">
        <f t="shared" si="67"/>
        <v>0</v>
      </c>
      <c r="W66" s="2"/>
      <c r="X66" s="7">
        <f t="shared" si="68"/>
        <v>0</v>
      </c>
      <c r="Y66" s="2"/>
      <c r="Z66" s="6">
        <f t="shared" si="69"/>
        <v>0</v>
      </c>
    </row>
    <row r="67" spans="1:26" s="24" customFormat="1" hidden="1" outlineLevel="2" x14ac:dyDescent="0.25">
      <c r="A67" s="29"/>
      <c r="B67" s="11" t="str">
        <f>CONCATENATE("          ", "6235", " - ", "COVID-19 EXPENSES")</f>
        <v xml:space="preserve">          6235 - COVID-19 EXPENSES</v>
      </c>
      <c r="C67" s="11"/>
      <c r="D67" s="7"/>
      <c r="E67" s="2"/>
      <c r="F67" s="6">
        <f t="shared" si="62"/>
        <v>0</v>
      </c>
      <c r="G67" s="2"/>
      <c r="H67" s="7">
        <v>0</v>
      </c>
      <c r="I67" s="2"/>
      <c r="J67" s="6">
        <f t="shared" si="63"/>
        <v>0</v>
      </c>
      <c r="K67" s="2"/>
      <c r="L67" s="7">
        <f t="shared" si="64"/>
        <v>0</v>
      </c>
      <c r="M67" s="2"/>
      <c r="N67" s="6">
        <f t="shared" si="65"/>
        <v>0</v>
      </c>
      <c r="O67" s="11"/>
      <c r="P67" s="7"/>
      <c r="Q67" s="2"/>
      <c r="R67" s="6">
        <f t="shared" si="66"/>
        <v>0</v>
      </c>
      <c r="S67" s="2"/>
      <c r="T67" s="7">
        <v>0</v>
      </c>
      <c r="U67" s="2"/>
      <c r="V67" s="6">
        <f t="shared" si="67"/>
        <v>0</v>
      </c>
      <c r="W67" s="2"/>
      <c r="X67" s="7">
        <f t="shared" si="68"/>
        <v>0</v>
      </c>
      <c r="Y67" s="2"/>
      <c r="Z67" s="6">
        <f t="shared" si="69"/>
        <v>0</v>
      </c>
    </row>
    <row r="68" spans="1:26" s="24" customFormat="1" hidden="1" outlineLevel="2" x14ac:dyDescent="0.25">
      <c r="A68" s="29"/>
      <c r="B68" s="11" t="str">
        <f>CONCATENATE("          ", "6237", " - ", "JANITORIAL SUPPLIES")</f>
        <v xml:space="preserve">          6237 - JANITORIAL SUPPLIES</v>
      </c>
      <c r="C68" s="11"/>
      <c r="D68" s="7"/>
      <c r="E68" s="2"/>
      <c r="F68" s="6">
        <f t="shared" si="62"/>
        <v>0</v>
      </c>
      <c r="G68" s="2"/>
      <c r="H68" s="7">
        <v>0</v>
      </c>
      <c r="I68" s="2"/>
      <c r="J68" s="6">
        <f t="shared" si="63"/>
        <v>0</v>
      </c>
      <c r="K68" s="2"/>
      <c r="L68" s="7">
        <f t="shared" si="64"/>
        <v>0</v>
      </c>
      <c r="M68" s="2"/>
      <c r="N68" s="6">
        <f t="shared" si="65"/>
        <v>0</v>
      </c>
      <c r="O68" s="11"/>
      <c r="P68" s="7"/>
      <c r="Q68" s="2"/>
      <c r="R68" s="6">
        <f t="shared" si="66"/>
        <v>0</v>
      </c>
      <c r="S68" s="2"/>
      <c r="T68" s="7">
        <v>0</v>
      </c>
      <c r="U68" s="2"/>
      <c r="V68" s="6">
        <f t="shared" si="67"/>
        <v>0</v>
      </c>
      <c r="W68" s="2"/>
      <c r="X68" s="7">
        <f t="shared" si="68"/>
        <v>0</v>
      </c>
      <c r="Y68" s="2"/>
      <c r="Z68" s="6">
        <f t="shared" si="69"/>
        <v>0</v>
      </c>
    </row>
    <row r="69" spans="1:26" s="24" customFormat="1" hidden="1" outlineLevel="2" x14ac:dyDescent="0.25">
      <c r="A69" s="29"/>
      <c r="B69" s="11" t="str">
        <f>CONCATENATE("          ", "6239", " - ", "KITCHEN SUPPLIES")</f>
        <v xml:space="preserve">          6239 - KITCHEN SUPPLIES</v>
      </c>
      <c r="C69" s="11"/>
      <c r="D69" s="7"/>
      <c r="E69" s="2"/>
      <c r="F69" s="6">
        <f t="shared" si="62"/>
        <v>0</v>
      </c>
      <c r="G69" s="2"/>
      <c r="H69" s="7"/>
      <c r="I69" s="2"/>
      <c r="J69" s="6">
        <f t="shared" si="63"/>
        <v>0</v>
      </c>
      <c r="K69" s="2"/>
      <c r="L69" s="7">
        <f t="shared" si="64"/>
        <v>0</v>
      </c>
      <c r="M69" s="2"/>
      <c r="N69" s="6">
        <f t="shared" si="65"/>
        <v>0</v>
      </c>
      <c r="O69" s="11"/>
      <c r="P69" s="7"/>
      <c r="Q69" s="2"/>
      <c r="R69" s="6">
        <f t="shared" si="66"/>
        <v>0</v>
      </c>
      <c r="S69" s="2"/>
      <c r="T69" s="7">
        <v>0</v>
      </c>
      <c r="U69" s="2"/>
      <c r="V69" s="6">
        <f t="shared" si="67"/>
        <v>0</v>
      </c>
      <c r="W69" s="2"/>
      <c r="X69" s="7">
        <f t="shared" si="68"/>
        <v>0</v>
      </c>
      <c r="Y69" s="2"/>
      <c r="Z69" s="6">
        <f t="shared" si="69"/>
        <v>0</v>
      </c>
    </row>
    <row r="70" spans="1:26" s="24" customFormat="1" hidden="1" outlineLevel="2" x14ac:dyDescent="0.25">
      <c r="A70" s="29"/>
      <c r="B70" s="11" t="str">
        <f>CONCATENATE("          ", "6241", " - ", "OFFICE EXPENSE")</f>
        <v xml:space="preserve">          6241 - OFFICE EXPENSE</v>
      </c>
      <c r="C70" s="11"/>
      <c r="D70" s="7"/>
      <c r="E70" s="2"/>
      <c r="F70" s="6">
        <f t="shared" si="62"/>
        <v>0</v>
      </c>
      <c r="G70" s="2"/>
      <c r="H70" s="7">
        <v>0</v>
      </c>
      <c r="I70" s="2"/>
      <c r="J70" s="6">
        <f t="shared" si="63"/>
        <v>0</v>
      </c>
      <c r="K70" s="2"/>
      <c r="L70" s="7">
        <f t="shared" si="64"/>
        <v>0</v>
      </c>
      <c r="M70" s="2"/>
      <c r="N70" s="6">
        <f t="shared" si="65"/>
        <v>0</v>
      </c>
      <c r="O70" s="11"/>
      <c r="P70" s="7"/>
      <c r="Q70" s="2"/>
      <c r="R70" s="6">
        <f t="shared" si="66"/>
        <v>0</v>
      </c>
      <c r="S70" s="2"/>
      <c r="T70" s="7">
        <v>0</v>
      </c>
      <c r="U70" s="2"/>
      <c r="V70" s="6">
        <f t="shared" si="67"/>
        <v>0</v>
      </c>
      <c r="W70" s="2"/>
      <c r="X70" s="7">
        <f t="shared" si="68"/>
        <v>0</v>
      </c>
      <c r="Y70" s="2"/>
      <c r="Z70" s="6">
        <f t="shared" si="69"/>
        <v>0</v>
      </c>
    </row>
    <row r="71" spans="1:26" s="24" customFormat="1" hidden="1" outlineLevel="2" x14ac:dyDescent="0.25">
      <c r="A71" s="29"/>
      <c r="B71" s="11" t="str">
        <f>CONCATENATE("          ", "6243", " - ", "PAPER SUPPLIES")</f>
        <v xml:space="preserve">          6243 - PAPER SUPPLIES</v>
      </c>
      <c r="C71" s="11"/>
      <c r="D71" s="7"/>
      <c r="E71" s="2"/>
      <c r="F71" s="6">
        <f t="shared" si="62"/>
        <v>0</v>
      </c>
      <c r="G71" s="2"/>
      <c r="H71" s="7">
        <v>0</v>
      </c>
      <c r="I71" s="2"/>
      <c r="J71" s="6">
        <f t="shared" si="63"/>
        <v>0</v>
      </c>
      <c r="K71" s="2"/>
      <c r="L71" s="7">
        <f t="shared" si="64"/>
        <v>0</v>
      </c>
      <c r="M71" s="2"/>
      <c r="N71" s="6">
        <f t="shared" si="65"/>
        <v>0</v>
      </c>
      <c r="O71" s="11"/>
      <c r="P71" s="7"/>
      <c r="Q71" s="2"/>
      <c r="R71" s="6">
        <f t="shared" si="66"/>
        <v>0</v>
      </c>
      <c r="S71" s="2"/>
      <c r="T71" s="7">
        <v>0</v>
      </c>
      <c r="U71" s="2"/>
      <c r="V71" s="6">
        <f t="shared" si="67"/>
        <v>0</v>
      </c>
      <c r="W71" s="2"/>
      <c r="X71" s="7">
        <f t="shared" si="68"/>
        <v>0</v>
      </c>
      <c r="Y71" s="2"/>
      <c r="Z71" s="6">
        <f t="shared" si="69"/>
        <v>0</v>
      </c>
    </row>
    <row r="72" spans="1:26" s="24" customFormat="1" hidden="1" outlineLevel="2" x14ac:dyDescent="0.25">
      <c r="A72" s="29"/>
      <c r="B72" s="11" t="str">
        <f>CONCATENATE("          ", "6244", " - ", "SAFETY SUPPLY EXPENSE")</f>
        <v xml:space="preserve">          6244 - SAFETY SUPPLY EXPENSE</v>
      </c>
      <c r="C72" s="11"/>
      <c r="D72" s="7"/>
      <c r="E72" s="2"/>
      <c r="F72" s="6">
        <f t="shared" si="62"/>
        <v>0</v>
      </c>
      <c r="G72" s="2"/>
      <c r="H72" s="7">
        <v>0</v>
      </c>
      <c r="I72" s="2"/>
      <c r="J72" s="6">
        <f t="shared" si="63"/>
        <v>0</v>
      </c>
      <c r="K72" s="2"/>
      <c r="L72" s="7">
        <f t="shared" si="64"/>
        <v>0</v>
      </c>
      <c r="M72" s="2"/>
      <c r="N72" s="6">
        <f t="shared" si="65"/>
        <v>0</v>
      </c>
      <c r="O72" s="11"/>
      <c r="P72" s="7"/>
      <c r="Q72" s="2"/>
      <c r="R72" s="6">
        <f t="shared" si="66"/>
        <v>0</v>
      </c>
      <c r="S72" s="2"/>
      <c r="T72" s="7">
        <v>0</v>
      </c>
      <c r="U72" s="2"/>
      <c r="V72" s="6">
        <f t="shared" si="67"/>
        <v>0</v>
      </c>
      <c r="W72" s="2"/>
      <c r="X72" s="7">
        <f t="shared" si="68"/>
        <v>0</v>
      </c>
      <c r="Y72" s="2"/>
      <c r="Z72" s="6">
        <f t="shared" si="69"/>
        <v>0</v>
      </c>
    </row>
    <row r="73" spans="1:26" s="24" customFormat="1" hidden="1" outlineLevel="2" x14ac:dyDescent="0.25">
      <c r="A73" s="29"/>
      <c r="B73" s="11" t="str">
        <f>CONCATENATE("          ", "6245", " - ", "PRINTING")</f>
        <v xml:space="preserve">          6245 - PRINTING</v>
      </c>
      <c r="C73" s="11"/>
      <c r="D73" s="7"/>
      <c r="E73" s="2"/>
      <c r="F73" s="6">
        <f t="shared" si="62"/>
        <v>0</v>
      </c>
      <c r="G73" s="2"/>
      <c r="H73" s="7">
        <v>0</v>
      </c>
      <c r="I73" s="2"/>
      <c r="J73" s="6">
        <f t="shared" si="63"/>
        <v>0</v>
      </c>
      <c r="K73" s="2"/>
      <c r="L73" s="7">
        <f t="shared" si="64"/>
        <v>0</v>
      </c>
      <c r="M73" s="2"/>
      <c r="N73" s="6">
        <f t="shared" si="65"/>
        <v>0</v>
      </c>
      <c r="O73" s="11"/>
      <c r="P73" s="7"/>
      <c r="Q73" s="2"/>
      <c r="R73" s="6">
        <f t="shared" si="66"/>
        <v>0</v>
      </c>
      <c r="S73" s="2"/>
      <c r="T73" s="7">
        <v>0</v>
      </c>
      <c r="U73" s="2"/>
      <c r="V73" s="6">
        <f t="shared" si="67"/>
        <v>0</v>
      </c>
      <c r="W73" s="2"/>
      <c r="X73" s="7">
        <f t="shared" si="68"/>
        <v>0</v>
      </c>
      <c r="Y73" s="2"/>
      <c r="Z73" s="6">
        <f t="shared" si="69"/>
        <v>0</v>
      </c>
    </row>
    <row r="74" spans="1:26" s="24" customFormat="1" hidden="1" outlineLevel="2" x14ac:dyDescent="0.25">
      <c r="A74" s="29"/>
      <c r="B74" s="11" t="str">
        <f>CONCATENATE("          ", "6246", " - ", "REPLACEMENTS")</f>
        <v xml:space="preserve">          6246 - REPLACEMENTS</v>
      </c>
      <c r="C74" s="11"/>
      <c r="D74" s="7"/>
      <c r="E74" s="2"/>
      <c r="F74" s="6">
        <f t="shared" si="62"/>
        <v>0</v>
      </c>
      <c r="G74" s="2"/>
      <c r="H74" s="7"/>
      <c r="I74" s="2"/>
      <c r="J74" s="6">
        <f t="shared" si="63"/>
        <v>0</v>
      </c>
      <c r="K74" s="2"/>
      <c r="L74" s="7">
        <f t="shared" si="64"/>
        <v>0</v>
      </c>
      <c r="M74" s="2"/>
      <c r="N74" s="6">
        <f t="shared" si="65"/>
        <v>0</v>
      </c>
      <c r="O74" s="11"/>
      <c r="P74" s="7"/>
      <c r="Q74" s="2"/>
      <c r="R74" s="6">
        <f t="shared" si="66"/>
        <v>0</v>
      </c>
      <c r="S74" s="2"/>
      <c r="T74" s="7">
        <v>0</v>
      </c>
      <c r="U74" s="2"/>
      <c r="V74" s="6">
        <f t="shared" si="67"/>
        <v>0</v>
      </c>
      <c r="W74" s="2"/>
      <c r="X74" s="7">
        <f t="shared" si="68"/>
        <v>0</v>
      </c>
      <c r="Y74" s="2"/>
      <c r="Z74" s="6">
        <f t="shared" si="69"/>
        <v>0</v>
      </c>
    </row>
    <row r="75" spans="1:26" s="24" customFormat="1" hidden="1" outlineLevel="2" x14ac:dyDescent="0.25">
      <c r="A75" s="29"/>
      <c r="B75" s="11" t="str">
        <f>CONCATENATE("          ", "6248", " - ", "UNIFORMS")</f>
        <v xml:space="preserve">          6248 - UNIFORMS</v>
      </c>
      <c r="C75" s="11"/>
      <c r="D75" s="7"/>
      <c r="E75" s="2"/>
      <c r="F75" s="6">
        <f t="shared" si="62"/>
        <v>0</v>
      </c>
      <c r="G75" s="2"/>
      <c r="H75" s="7"/>
      <c r="I75" s="2"/>
      <c r="J75" s="6">
        <f t="shared" si="63"/>
        <v>0</v>
      </c>
      <c r="K75" s="2"/>
      <c r="L75" s="7">
        <f t="shared" si="64"/>
        <v>0</v>
      </c>
      <c r="M75" s="2"/>
      <c r="N75" s="6">
        <f t="shared" si="65"/>
        <v>0</v>
      </c>
      <c r="O75" s="11"/>
      <c r="P75" s="7"/>
      <c r="Q75" s="2"/>
      <c r="R75" s="6">
        <f t="shared" si="66"/>
        <v>0</v>
      </c>
      <c r="S75" s="2"/>
      <c r="T75" s="7">
        <v>0</v>
      </c>
      <c r="U75" s="2"/>
      <c r="V75" s="6">
        <f t="shared" si="67"/>
        <v>0</v>
      </c>
      <c r="W75" s="2"/>
      <c r="X75" s="7">
        <f t="shared" si="68"/>
        <v>0</v>
      </c>
      <c r="Y75" s="2"/>
      <c r="Z75" s="6">
        <f t="shared" si="69"/>
        <v>0</v>
      </c>
    </row>
    <row r="76" spans="1:26" s="28" customFormat="1" outlineLevel="1" collapsed="1" x14ac:dyDescent="0.25">
      <c r="A76" s="27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SUM(OSRRefD22_12x_0)</f>
        <v>0</v>
      </c>
      <c r="E76" s="1"/>
      <c r="F76" s="5">
        <f t="shared" ref="F76:F78" si="70">IF(D$12=0,0,D76/D$12)</f>
        <v>0</v>
      </c>
      <c r="G76" s="1"/>
      <c r="H76" s="1">
        <f>SUM(OSRRefH22_12x_0)</f>
        <v>0</v>
      </c>
      <c r="I76" s="1"/>
      <c r="J76" s="5">
        <f t="shared" ref="J76:J78" si="71">IF(H$12=0,0,H76/H$12)</f>
        <v>0</v>
      </c>
      <c r="K76" s="1"/>
      <c r="L76" s="1">
        <f t="shared" ref="L76:L78" si="72">+D76-H76</f>
        <v>0</v>
      </c>
      <c r="M76" s="1"/>
      <c r="N76" s="5">
        <f t="shared" ref="N76:N78" si="73">IF(H76=0,0,L76/H76)</f>
        <v>0</v>
      </c>
      <c r="O76" s="14"/>
      <c r="P76" s="1">
        <f>SUM(OSRRefP22_12x_0)</f>
        <v>250.87</v>
      </c>
      <c r="Q76" s="1"/>
      <c r="R76" s="5">
        <f t="shared" ref="R76:R78" si="74">IF(P$12=0,0,P76/P$12)</f>
        <v>0</v>
      </c>
      <c r="S76" s="1"/>
      <c r="T76" s="1">
        <f>SUM(OSRRefT22_12x_0)</f>
        <v>0</v>
      </c>
      <c r="U76" s="1"/>
      <c r="V76" s="5">
        <f t="shared" ref="V76:V78" si="75">IF(T$12=0,0,T76/T$12)</f>
        <v>0</v>
      </c>
      <c r="W76" s="1"/>
      <c r="X76" s="1">
        <f t="shared" ref="X76:X78" si="76">+P76-T76</f>
        <v>250.87</v>
      </c>
      <c r="Y76" s="1"/>
      <c r="Z76" s="5">
        <f t="shared" ref="Z76:Z78" si="77">IF(T76=0,0,X76/T76)</f>
        <v>0</v>
      </c>
    </row>
    <row r="77" spans="1:26" s="24" customFormat="1" hidden="1" outlineLevel="2" x14ac:dyDescent="0.25">
      <c r="A77" s="29"/>
      <c r="B77" s="11" t="str">
        <f>CONCATENATE("          ", "6303", " - ", "DATA PHONE LINES")</f>
        <v xml:space="preserve">          6303 - DATA PHONE LINES</v>
      </c>
      <c r="C77" s="11"/>
      <c r="D77" s="7"/>
      <c r="E77" s="2"/>
      <c r="F77" s="6">
        <f t="shared" si="70"/>
        <v>0</v>
      </c>
      <c r="G77" s="2"/>
      <c r="H77" s="7">
        <v>0</v>
      </c>
      <c r="I77" s="2"/>
      <c r="J77" s="6">
        <f t="shared" si="71"/>
        <v>0</v>
      </c>
      <c r="K77" s="2"/>
      <c r="L77" s="7">
        <f t="shared" si="72"/>
        <v>0</v>
      </c>
      <c r="M77" s="2"/>
      <c r="N77" s="6">
        <f t="shared" si="73"/>
        <v>0</v>
      </c>
      <c r="O77" s="11"/>
      <c r="P77" s="7"/>
      <c r="Q77" s="2"/>
      <c r="R77" s="6">
        <f t="shared" si="74"/>
        <v>0</v>
      </c>
      <c r="S77" s="2"/>
      <c r="T77" s="7">
        <v>0</v>
      </c>
      <c r="U77" s="2"/>
      <c r="V77" s="6">
        <f t="shared" si="75"/>
        <v>0</v>
      </c>
      <c r="W77" s="2"/>
      <c r="X77" s="7">
        <f t="shared" si="76"/>
        <v>0</v>
      </c>
      <c r="Y77" s="2"/>
      <c r="Z77" s="6">
        <f t="shared" si="77"/>
        <v>0</v>
      </c>
    </row>
    <row r="78" spans="1:26" s="24" customFormat="1" hidden="1" outlineLevel="2" x14ac:dyDescent="0.25">
      <c r="A78" s="29"/>
      <c r="B78" s="11" t="str">
        <f>CONCATENATE("          ", "6309", " - ", "TELEPHONE")</f>
        <v xml:space="preserve">          6309 - TELEPHONE</v>
      </c>
      <c r="C78" s="11"/>
      <c r="D78" s="7"/>
      <c r="E78" s="2"/>
      <c r="F78" s="6">
        <f t="shared" si="70"/>
        <v>0</v>
      </c>
      <c r="G78" s="2"/>
      <c r="H78" s="7"/>
      <c r="I78" s="2"/>
      <c r="J78" s="6">
        <f t="shared" si="71"/>
        <v>0</v>
      </c>
      <c r="K78" s="2"/>
      <c r="L78" s="7">
        <f t="shared" si="72"/>
        <v>0</v>
      </c>
      <c r="M78" s="2"/>
      <c r="N78" s="6">
        <f t="shared" si="73"/>
        <v>0</v>
      </c>
      <c r="O78" s="11"/>
      <c r="P78" s="7">
        <v>250.87</v>
      </c>
      <c r="Q78" s="2"/>
      <c r="R78" s="6">
        <f t="shared" si="74"/>
        <v>0</v>
      </c>
      <c r="S78" s="2"/>
      <c r="T78" s="7"/>
      <c r="U78" s="2"/>
      <c r="V78" s="6">
        <f t="shared" si="75"/>
        <v>0</v>
      </c>
      <c r="W78" s="2"/>
      <c r="X78" s="7">
        <f t="shared" si="76"/>
        <v>250.87</v>
      </c>
      <c r="Y78" s="2"/>
      <c r="Z78" s="6">
        <f t="shared" si="77"/>
        <v>0</v>
      </c>
    </row>
    <row r="79" spans="1:26" s="28" customFormat="1" outlineLevel="1" collapsed="1" x14ac:dyDescent="0.25">
      <c r="A79" s="27"/>
      <c r="B79" s="14" t="str">
        <f>CONCATENATE("     ","Training                                          ")</f>
        <v xml:space="preserve">     Training                                          </v>
      </c>
      <c r="C79" s="14"/>
      <c r="D79" s="1">
        <f>SUM(OSRRefD22_13x_0)</f>
        <v>0</v>
      </c>
      <c r="E79" s="1"/>
      <c r="F79" s="5">
        <f t="shared" ref="F79:F80" si="78">IF(D$12=0,0,D79/D$12)</f>
        <v>0</v>
      </c>
      <c r="G79" s="1"/>
      <c r="H79" s="1">
        <f>SUM(OSRRefH22_13x_0)</f>
        <v>0</v>
      </c>
      <c r="I79" s="1"/>
      <c r="J79" s="5">
        <f t="shared" ref="J79:J80" si="79">IF(H$12=0,0,H79/H$12)</f>
        <v>0</v>
      </c>
      <c r="K79" s="1"/>
      <c r="L79" s="1">
        <f t="shared" ref="L79:L80" si="80">+D79-H79</f>
        <v>0</v>
      </c>
      <c r="M79" s="1"/>
      <c r="N79" s="5">
        <f t="shared" ref="N79:N80" si="81">IF(H79=0,0,L79/H79)</f>
        <v>0</v>
      </c>
      <c r="O79" s="14"/>
      <c r="P79" s="1">
        <f>SUM(OSRRefP22_13x_0)</f>
        <v>0</v>
      </c>
      <c r="Q79" s="1"/>
      <c r="R79" s="5">
        <f t="shared" ref="R79:R80" si="82">IF(P$12=0,0,P79/P$12)</f>
        <v>0</v>
      </c>
      <c r="S79" s="1"/>
      <c r="T79" s="1">
        <f>SUM(OSRRefT22_13x_0)</f>
        <v>0</v>
      </c>
      <c r="U79" s="1"/>
      <c r="V79" s="5">
        <f t="shared" ref="V79:V80" si="83">IF(T$12=0,0,T79/T$12)</f>
        <v>0</v>
      </c>
      <c r="W79" s="1"/>
      <c r="X79" s="1">
        <f t="shared" ref="X79:X80" si="84">+P79-T79</f>
        <v>0</v>
      </c>
      <c r="Y79" s="1"/>
      <c r="Z79" s="5">
        <f t="shared" ref="Z79:Z80" si="85">IF(T79=0,0,X79/T79)</f>
        <v>0</v>
      </c>
    </row>
    <row r="80" spans="1:26" s="24" customFormat="1" hidden="1" outlineLevel="2" x14ac:dyDescent="0.25">
      <c r="A80" s="29"/>
      <c r="B80" s="11" t="str">
        <f>CONCATENATE("          ", "6376", " - ", "TRAINING")</f>
        <v xml:space="preserve">          6376 - TRAINING</v>
      </c>
      <c r="C80" s="11"/>
      <c r="D80" s="7"/>
      <c r="E80" s="2"/>
      <c r="F80" s="6">
        <f t="shared" si="78"/>
        <v>0</v>
      </c>
      <c r="G80" s="2"/>
      <c r="H80" s="7">
        <v>0</v>
      </c>
      <c r="I80" s="2"/>
      <c r="J80" s="6">
        <f t="shared" si="79"/>
        <v>0</v>
      </c>
      <c r="K80" s="2"/>
      <c r="L80" s="7">
        <f t="shared" si="80"/>
        <v>0</v>
      </c>
      <c r="M80" s="2"/>
      <c r="N80" s="6">
        <f t="shared" si="81"/>
        <v>0</v>
      </c>
      <c r="O80" s="11"/>
      <c r="P80" s="7"/>
      <c r="Q80" s="2"/>
      <c r="R80" s="6">
        <f t="shared" si="82"/>
        <v>0</v>
      </c>
      <c r="S80" s="2"/>
      <c r="T80" s="7">
        <v>0</v>
      </c>
      <c r="U80" s="2"/>
      <c r="V80" s="6">
        <f t="shared" si="83"/>
        <v>0</v>
      </c>
      <c r="W80" s="2"/>
      <c r="X80" s="7">
        <f t="shared" si="84"/>
        <v>0</v>
      </c>
      <c r="Y80" s="2"/>
      <c r="Z80" s="6">
        <f t="shared" si="85"/>
        <v>0</v>
      </c>
    </row>
    <row r="81" spans="1:26" s="53" customFormat="1" x14ac:dyDescent="0.25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collapsed="1" x14ac:dyDescent="0.25">
      <c r="A82" s="10"/>
      <c r="B82" s="26" t="s">
        <v>0</v>
      </c>
      <c r="C82" s="10"/>
      <c r="D82" s="4">
        <f>SUM(OSRRefD25x_0)</f>
        <v>0</v>
      </c>
      <c r="E82" s="4"/>
      <c r="F82" s="12">
        <f t="shared" ref="F82:F83" si="86">IF(D$12=0,0,D82/D$12)</f>
        <v>0</v>
      </c>
      <c r="G82" s="4"/>
      <c r="H82" s="4">
        <f>SUM(OSRRefH25x_0)</f>
        <v>0</v>
      </c>
      <c r="I82" s="4"/>
      <c r="J82" s="12">
        <f t="shared" ref="J82:J83" si="87">IF(H$12=0,0,H82/H$12)</f>
        <v>0</v>
      </c>
      <c r="K82" s="4"/>
      <c r="L82" s="4">
        <f t="shared" ref="L82:L83" si="88">+D82-H82</f>
        <v>0</v>
      </c>
      <c r="M82" s="4"/>
      <c r="N82" s="12">
        <f t="shared" ref="N82:N83" si="89">IF(H82=0,0,L82/H82)</f>
        <v>0</v>
      </c>
      <c r="O82" s="10"/>
      <c r="P82" s="4">
        <f>SUM(OSRRefP25x_0)</f>
        <v>111.42</v>
      </c>
      <c r="Q82" s="4"/>
      <c r="R82" s="12">
        <f t="shared" ref="R82:R83" si="90">IF(P$12=0,0,P82/P$12)</f>
        <v>0</v>
      </c>
      <c r="S82" s="4"/>
      <c r="T82" s="4">
        <f>SUM(OSRRefT25x_0)</f>
        <v>0</v>
      </c>
      <c r="U82" s="4"/>
      <c r="V82" s="12">
        <f t="shared" ref="V82:V83" si="91">IF(T$12=0,0,T82/T$12)</f>
        <v>0</v>
      </c>
      <c r="W82" s="4"/>
      <c r="X82" s="4">
        <f t="shared" ref="X82:X83" si="92">+P82-T82</f>
        <v>111.42</v>
      </c>
      <c r="Y82" s="4"/>
      <c r="Z82" s="12">
        <f t="shared" ref="Z82:Z83" si="93">IF(T82=0,0,X82/T82)</f>
        <v>0</v>
      </c>
    </row>
    <row r="83" spans="1:26" s="24" customFormat="1" hidden="1" outlineLevel="1" x14ac:dyDescent="0.25">
      <c r="A83" s="51"/>
      <c r="B83" s="11" t="str">
        <f>CONCATENATE("          ", "9150", " - ", "MISC. INCOME")</f>
        <v xml:space="preserve">          9150 - MISC. INCOME</v>
      </c>
      <c r="C83" s="11"/>
      <c r="D83" s="2">
        <f>0</f>
        <v>0</v>
      </c>
      <c r="E83" s="2"/>
      <c r="F83" s="22">
        <f t="shared" si="86"/>
        <v>0</v>
      </c>
      <c r="G83" s="2"/>
      <c r="H83" s="2"/>
      <c r="I83" s="2"/>
      <c r="J83" s="22">
        <f t="shared" si="87"/>
        <v>0</v>
      </c>
      <c r="K83" s="2"/>
      <c r="L83" s="2">
        <f t="shared" si="88"/>
        <v>0</v>
      </c>
      <c r="M83" s="2"/>
      <c r="N83" s="22">
        <f t="shared" si="89"/>
        <v>0</v>
      </c>
      <c r="O83" s="11"/>
      <c r="P83" s="2">
        <f>--111.42</f>
        <v>111.42</v>
      </c>
      <c r="Q83" s="2"/>
      <c r="R83" s="22">
        <f t="shared" si="90"/>
        <v>0</v>
      </c>
      <c r="S83" s="2"/>
      <c r="T83" s="2"/>
      <c r="U83" s="2"/>
      <c r="V83" s="22">
        <f t="shared" si="91"/>
        <v>0</v>
      </c>
      <c r="W83" s="2"/>
      <c r="X83" s="2">
        <f t="shared" si="92"/>
        <v>111.42</v>
      </c>
      <c r="Y83" s="2"/>
      <c r="Z83" s="22">
        <f t="shared" si="93"/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5" t="s">
        <v>3</v>
      </c>
      <c r="C85" s="25"/>
      <c r="D85" s="21">
        <f>+D19-D21+D82</f>
        <v>-6944.03</v>
      </c>
      <c r="E85" s="13"/>
      <c r="F85" s="19">
        <f>IF(D$12=0,0,D85/D$12)</f>
        <v>0</v>
      </c>
      <c r="G85" s="13"/>
      <c r="H85" s="21">
        <f>+H19-H21+H82</f>
        <v>-6745</v>
      </c>
      <c r="I85" s="13"/>
      <c r="J85" s="19">
        <f>IF(H$12=0,0,H85/H$12)</f>
        <v>0</v>
      </c>
      <c r="K85" s="16"/>
      <c r="L85" s="21">
        <f>+D85-H85</f>
        <v>-199.02999999999975</v>
      </c>
      <c r="M85" s="16"/>
      <c r="N85" s="19">
        <f>IF(H85=0,0,L85/H85)</f>
        <v>2.9507783543365418E-2</v>
      </c>
      <c r="O85" s="26"/>
      <c r="P85" s="21">
        <f>+P19-P21+P82</f>
        <v>-52170.230000000018</v>
      </c>
      <c r="Q85" s="13"/>
      <c r="R85" s="19">
        <f>IF(P$12=0,0,P85/P$12)</f>
        <v>0</v>
      </c>
      <c r="S85" s="13"/>
      <c r="T85" s="21">
        <f>+T19-T21+T82</f>
        <v>-41769</v>
      </c>
      <c r="U85" s="13"/>
      <c r="V85" s="19">
        <f>IF(T$12=0,0,T85/T$12)</f>
        <v>0</v>
      </c>
      <c r="W85" s="16"/>
      <c r="X85" s="21">
        <f>+P85-T85</f>
        <v>-10401.230000000018</v>
      </c>
      <c r="Y85" s="16"/>
      <c r="Z85" s="19">
        <f>IF(T85=0,0,X85/T85)</f>
        <v>0.24901793195910885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2"/>
      <c r="B87" s="10" t="s">
        <v>14</v>
      </c>
      <c r="C87" s="10"/>
      <c r="D87" s="4"/>
      <c r="E87" s="4"/>
      <c r="F87" s="12">
        <f>IF(D$12=0,0,D87/D$12)</f>
        <v>0</v>
      </c>
      <c r="G87" s="4"/>
      <c r="H87" s="4"/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/>
      <c r="Q87" s="4"/>
      <c r="R87" s="12">
        <f>IF(P$12=0,0,P87/P$12)</f>
        <v>0</v>
      </c>
      <c r="S87" s="4"/>
      <c r="T87" s="4"/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5" t="s">
        <v>4</v>
      </c>
      <c r="C89" s="25"/>
      <c r="D89" s="34">
        <f>+D85-D87</f>
        <v>-6944.03</v>
      </c>
      <c r="E89" s="13"/>
      <c r="F89" s="31">
        <f>IF(D$12=0,0,D89/D$12)</f>
        <v>0</v>
      </c>
      <c r="G89" s="13"/>
      <c r="H89" s="34">
        <f>+H85-H87</f>
        <v>-6745</v>
      </c>
      <c r="I89" s="13"/>
      <c r="J89" s="31">
        <f>IF(H$12=0,0,H89/H$12)</f>
        <v>0</v>
      </c>
      <c r="K89" s="16"/>
      <c r="L89" s="34">
        <f>D89-H89</f>
        <v>-199.02999999999975</v>
      </c>
      <c r="M89" s="16"/>
      <c r="N89" s="31">
        <f>IF(H89=0,0,L89/H89)</f>
        <v>2.9507783543365418E-2</v>
      </c>
      <c r="O89" s="26"/>
      <c r="P89" s="34">
        <f>+P85-P87</f>
        <v>-52170.230000000018</v>
      </c>
      <c r="Q89" s="13"/>
      <c r="R89" s="31">
        <f>IF(P$12=0,0,P89/P$12)</f>
        <v>0</v>
      </c>
      <c r="S89" s="13"/>
      <c r="T89" s="34">
        <f>+T85-T87</f>
        <v>-41769</v>
      </c>
      <c r="U89" s="13"/>
      <c r="V89" s="31">
        <f>IF(T$12=0,0,T89/T$12)</f>
        <v>0</v>
      </c>
      <c r="W89" s="16"/>
      <c r="X89" s="34">
        <f>P89-T89</f>
        <v>-10401.230000000018</v>
      </c>
      <c r="Y89" s="16"/>
      <c r="Z89" s="31">
        <f>IF(T89=0,0,X89/T89)</f>
        <v>0.24901793195910885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5" t="s">
        <v>5</v>
      </c>
      <c r="C92" s="25"/>
      <c r="D92" s="33">
        <f>SUM(D89:D91)</f>
        <v>-6944.03</v>
      </c>
      <c r="E92" s="13"/>
      <c r="F92" s="32">
        <f>IF(D$12=0,0,D92/D$12)</f>
        <v>0</v>
      </c>
      <c r="G92" s="13"/>
      <c r="H92" s="33">
        <f>SUM(H89:H91)</f>
        <v>-6745</v>
      </c>
      <c r="I92" s="13"/>
      <c r="J92" s="32">
        <f>IF(H$12=0,0,H92/H$12)</f>
        <v>0</v>
      </c>
      <c r="K92" s="16"/>
      <c r="L92" s="33">
        <f>+D92-H92</f>
        <v>-199.02999999999975</v>
      </c>
      <c r="M92" s="16"/>
      <c r="N92" s="32">
        <f>IF(H92=0,0,L92/H92)</f>
        <v>2.9507783543365418E-2</v>
      </c>
      <c r="O92" s="26"/>
      <c r="P92" s="33">
        <f>SUM(P89:P91)</f>
        <v>-52170.230000000018</v>
      </c>
      <c r="Q92" s="13"/>
      <c r="R92" s="32">
        <f>IF(P$12=0,0,P92/P$12)</f>
        <v>0</v>
      </c>
      <c r="S92" s="13"/>
      <c r="T92" s="33">
        <f>SUM(T89:T91)</f>
        <v>-41769</v>
      </c>
      <c r="U92" s="13"/>
      <c r="V92" s="32">
        <f>IF(T$12=0,0,T92/T$12)</f>
        <v>0</v>
      </c>
      <c r="W92" s="16"/>
      <c r="X92" s="33">
        <f>+P92-T92</f>
        <v>-10401.230000000018</v>
      </c>
      <c r="Y92" s="16"/>
      <c r="Z92" s="32">
        <f>IF(T92=0,0,X92/T92)</f>
        <v>0.24901793195910885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63">
        <v>44209.518811956019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60" t="s">
        <v>314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58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4:24" x14ac:dyDescent="0.25"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","420", " - ", "Catering")</f>
        <v>Department 420 - Catering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62378.23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62378.23</v>
      </c>
      <c r="M12" s="4"/>
      <c r="N12" s="12">
        <f t="shared" ref="N12:N13" si="1">IF(H12=0,0,L12/H12)</f>
        <v>0</v>
      </c>
      <c r="O12" s="10"/>
      <c r="P12" s="4">
        <f>SUM(OSRRefP13x_0)</f>
        <v>148103.39000000001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148103.39000000001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"4052", " - ", "TAXABLE SALES-FOOD")</f>
        <v xml:space="preserve">          4052 - TAXABLE SALES-FOOD</v>
      </c>
      <c r="C13" s="11"/>
      <c r="D13" s="2">
        <f>--62378.23</f>
        <v>62378.23</v>
      </c>
      <c r="E13" s="2"/>
      <c r="F13" s="22"/>
      <c r="G13" s="2"/>
      <c r="H13" s="2"/>
      <c r="I13" s="2"/>
      <c r="J13" s="22"/>
      <c r="K13" s="2"/>
      <c r="L13" s="2">
        <f t="shared" si="0"/>
        <v>62378.23</v>
      </c>
      <c r="M13" s="2"/>
      <c r="N13" s="22">
        <f t="shared" si="1"/>
        <v>0</v>
      </c>
      <c r="O13" s="11"/>
      <c r="P13" s="2">
        <f>--148103.39</f>
        <v>148103.39000000001</v>
      </c>
      <c r="Q13" s="2"/>
      <c r="R13" s="22"/>
      <c r="S13" s="2"/>
      <c r="T13" s="2"/>
      <c r="U13" s="2"/>
      <c r="V13" s="22"/>
      <c r="W13" s="2"/>
      <c r="X13" s="2">
        <f t="shared" si="2"/>
        <v>148103.39000000001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21">
        <f>D12-D15</f>
        <v>62378.23</v>
      </c>
      <c r="E17" s="13"/>
      <c r="F17" s="19">
        <f>IF(D$12=0,0,D17/D$12)</f>
        <v>1</v>
      </c>
      <c r="G17" s="13"/>
      <c r="H17" s="21">
        <f>H12-H15</f>
        <v>0</v>
      </c>
      <c r="I17" s="13"/>
      <c r="J17" s="19">
        <f>IF(H$12=0,0,H17/H$12)</f>
        <v>0</v>
      </c>
      <c r="K17" s="16"/>
      <c r="L17" s="21">
        <f>+D17-H17</f>
        <v>62378.23</v>
      </c>
      <c r="M17" s="16"/>
      <c r="N17" s="19">
        <f>IF(H17=0,0,L17/H17)</f>
        <v>0</v>
      </c>
      <c r="O17" s="26"/>
      <c r="P17" s="21">
        <f>P12-P15</f>
        <v>148103.39000000001</v>
      </c>
      <c r="Q17" s="13"/>
      <c r="R17" s="19">
        <f>IF(P$12=0,0,P17/P$12)</f>
        <v>1</v>
      </c>
      <c r="S17" s="13"/>
      <c r="T17" s="21">
        <f>T12-T15</f>
        <v>0</v>
      </c>
      <c r="U17" s="13"/>
      <c r="V17" s="19">
        <f>IF(T$12=0,0,T17/T$12)</f>
        <v>0</v>
      </c>
      <c r="W17" s="16"/>
      <c r="X17" s="21">
        <f>+P17-T17</f>
        <v>148103.39000000001</v>
      </c>
      <c r="Y17" s="16"/>
      <c r="Z17" s="19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20">
        <f>SUM(OSRRefD22x_0)</f>
        <v>0</v>
      </c>
      <c r="E19" s="20"/>
      <c r="F19" s="30">
        <f t="shared" ref="F19:F21" si="4">IF(D$12=0,0,D19/D$12)</f>
        <v>0</v>
      </c>
      <c r="G19" s="20"/>
      <c r="H19" s="20">
        <f>SUM(OSRRefH22x_0)</f>
        <v>0</v>
      </c>
      <c r="I19" s="20"/>
      <c r="J19" s="30">
        <f t="shared" ref="J19:J21" si="5">IF(H$12=0,0,H19/H$12)</f>
        <v>0</v>
      </c>
      <c r="K19" s="4"/>
      <c r="L19" s="20">
        <f t="shared" ref="L19:L21" si="6">+D19-H19</f>
        <v>0</v>
      </c>
      <c r="M19" s="4"/>
      <c r="N19" s="30">
        <f t="shared" ref="N19:N21" si="7">IF(H19=0,0,L19/H19)</f>
        <v>0</v>
      </c>
      <c r="O19" s="10"/>
      <c r="P19" s="20">
        <f>SUM(OSRRefP22x_0)</f>
        <v>7.86</v>
      </c>
      <c r="Q19" s="20"/>
      <c r="R19" s="30">
        <f t="shared" ref="R19:R21" si="8">IF(P$12=0,0,P19/P$12)</f>
        <v>5.3071033688020236E-5</v>
      </c>
      <c r="S19" s="20"/>
      <c r="T19" s="20">
        <f>SUM(OSRRefT22x_0)</f>
        <v>0</v>
      </c>
      <c r="U19" s="20"/>
      <c r="V19" s="30">
        <f t="shared" ref="V19:V21" si="9">IF(T$12=0,0,T19/T$12)</f>
        <v>0</v>
      </c>
      <c r="W19" s="4"/>
      <c r="X19" s="20">
        <f t="shared" ref="X19:X21" si="10">+P19-T19</f>
        <v>7.86</v>
      </c>
      <c r="Y19" s="4"/>
      <c r="Z19" s="30">
        <f t="shared" ref="Z19:Z21" si="11">IF(T19=0,0,X19/T19)</f>
        <v>0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4"/>
        <v>0</v>
      </c>
      <c r="G20" s="1"/>
      <c r="H20" s="1">
        <f>SUM(OSRRefH22_0x_0)</f>
        <v>0</v>
      </c>
      <c r="I20" s="1"/>
      <c r="J20" s="5">
        <f t="shared" si="5"/>
        <v>0</v>
      </c>
      <c r="K20" s="1"/>
      <c r="L20" s="1">
        <f t="shared" si="6"/>
        <v>0</v>
      </c>
      <c r="M20" s="1"/>
      <c r="N20" s="5">
        <f t="shared" si="7"/>
        <v>0</v>
      </c>
      <c r="O20" s="14"/>
      <c r="P20" s="1">
        <f>SUM(OSRRefP22_0x_0)</f>
        <v>7.86</v>
      </c>
      <c r="Q20" s="1"/>
      <c r="R20" s="5">
        <f t="shared" si="8"/>
        <v>5.3071033688020236E-5</v>
      </c>
      <c r="S20" s="1"/>
      <c r="T20" s="1">
        <f>SUM(OSRRefT22_0x_0)</f>
        <v>0</v>
      </c>
      <c r="U20" s="1"/>
      <c r="V20" s="5">
        <f t="shared" si="9"/>
        <v>0</v>
      </c>
      <c r="W20" s="1"/>
      <c r="X20" s="1">
        <f t="shared" si="10"/>
        <v>7.86</v>
      </c>
      <c r="Y20" s="1"/>
      <c r="Z20" s="5">
        <f t="shared" si="11"/>
        <v>0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7"/>
      <c r="E21" s="2"/>
      <c r="F21" s="6">
        <f t="shared" si="4"/>
        <v>0</v>
      </c>
      <c r="G21" s="2"/>
      <c r="H21" s="7"/>
      <c r="I21" s="2"/>
      <c r="J21" s="6">
        <f t="shared" si="5"/>
        <v>0</v>
      </c>
      <c r="K21" s="2"/>
      <c r="L21" s="7">
        <f t="shared" si="6"/>
        <v>0</v>
      </c>
      <c r="M21" s="2"/>
      <c r="N21" s="6">
        <f t="shared" si="7"/>
        <v>0</v>
      </c>
      <c r="O21" s="11"/>
      <c r="P21" s="7">
        <v>7.86</v>
      </c>
      <c r="Q21" s="2"/>
      <c r="R21" s="6">
        <f t="shared" si="8"/>
        <v>5.3071033688020236E-5</v>
      </c>
      <c r="S21" s="2"/>
      <c r="T21" s="7"/>
      <c r="U21" s="2"/>
      <c r="V21" s="6">
        <f t="shared" si="9"/>
        <v>0</v>
      </c>
      <c r="W21" s="2"/>
      <c r="X21" s="7">
        <f t="shared" si="10"/>
        <v>7.86</v>
      </c>
      <c r="Y21" s="2"/>
      <c r="Z21" s="6">
        <f t="shared" si="11"/>
        <v>0</v>
      </c>
    </row>
    <row r="22" spans="1:26" s="53" customFormat="1" x14ac:dyDescent="0.25">
      <c r="A22" s="36"/>
      <c r="B22" s="36"/>
      <c r="C22" s="36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0</v>
      </c>
      <c r="C23" s="10"/>
      <c r="D23" s="4">
        <f>SUM(0)</f>
        <v>0</v>
      </c>
      <c r="E23" s="4"/>
      <c r="F23" s="12">
        <f>IF(D$12=0,0,D23/D$12)</f>
        <v>0</v>
      </c>
      <c r="G23" s="4"/>
      <c r="H23" s="4">
        <f>SUM(0)</f>
        <v>0</v>
      </c>
      <c r="I23" s="4"/>
      <c r="J23" s="12">
        <f>IF(H$12=0,0,H23/H$12)</f>
        <v>0</v>
      </c>
      <c r="K23" s="4"/>
      <c r="L23" s="4">
        <f>+D23-H23</f>
        <v>0</v>
      </c>
      <c r="M23" s="4"/>
      <c r="N23" s="12">
        <f>IF(H23=0,0,L23/H23)</f>
        <v>0</v>
      </c>
      <c r="O23" s="10"/>
      <c r="P23" s="4">
        <f>SUM(0)</f>
        <v>0</v>
      </c>
      <c r="Q23" s="4"/>
      <c r="R23" s="12">
        <f>IF(P$12=0,0,P23/P$12)</f>
        <v>0</v>
      </c>
      <c r="S23" s="4"/>
      <c r="T23" s="4">
        <f>SUM(0)</f>
        <v>0</v>
      </c>
      <c r="U23" s="4"/>
      <c r="V23" s="12">
        <f>IF(T$12=0,0,T23/T$12)</f>
        <v>0</v>
      </c>
      <c r="W23" s="4"/>
      <c r="X23" s="4">
        <f>+P23-T23</f>
        <v>0</v>
      </c>
      <c r="Y23" s="4"/>
      <c r="Z23" s="12">
        <f>IF(T23=0,0,X23/T23)</f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5" t="s">
        <v>3</v>
      </c>
      <c r="C25" s="25"/>
      <c r="D25" s="21">
        <f>+D17-D19+D23</f>
        <v>62378.23</v>
      </c>
      <c r="E25" s="13"/>
      <c r="F25" s="19">
        <f>IF(D$12=0,0,D25/D$12)</f>
        <v>1</v>
      </c>
      <c r="G25" s="13"/>
      <c r="H25" s="21">
        <f>+H17-H19+H23</f>
        <v>0</v>
      </c>
      <c r="I25" s="13"/>
      <c r="J25" s="19">
        <f>IF(H$12=0,0,H25/H$12)</f>
        <v>0</v>
      </c>
      <c r="K25" s="16"/>
      <c r="L25" s="21">
        <f>+D25-H25</f>
        <v>62378.23</v>
      </c>
      <c r="M25" s="16"/>
      <c r="N25" s="19">
        <f>IF(H25=0,0,L25/H25)</f>
        <v>0</v>
      </c>
      <c r="O25" s="26"/>
      <c r="P25" s="21">
        <f>+P17-P19+P23</f>
        <v>148095.53000000003</v>
      </c>
      <c r="Q25" s="13"/>
      <c r="R25" s="19">
        <f>IF(P$12=0,0,P25/P$12)</f>
        <v>0.9999469289663121</v>
      </c>
      <c r="S25" s="13"/>
      <c r="T25" s="21">
        <f>+T17-T19+T23</f>
        <v>0</v>
      </c>
      <c r="U25" s="13"/>
      <c r="V25" s="19">
        <f>IF(T$12=0,0,T25/T$12)</f>
        <v>0</v>
      </c>
      <c r="W25" s="16"/>
      <c r="X25" s="21">
        <f>+P25-T25</f>
        <v>148095.53000000003</v>
      </c>
      <c r="Y25" s="16"/>
      <c r="Z25" s="19">
        <f>IF(T25=0,0,X25/T25)</f>
        <v>0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52"/>
      <c r="B27" s="10" t="s">
        <v>14</v>
      </c>
      <c r="C27" s="10"/>
      <c r="D27" s="4">
        <v>13780.53</v>
      </c>
      <c r="E27" s="4"/>
      <c r="F27" s="12">
        <f>IF(D$12=0,0,D27/D$12)</f>
        <v>0.22091890071263645</v>
      </c>
      <c r="G27" s="4"/>
      <c r="H27" s="4"/>
      <c r="I27" s="4"/>
      <c r="J27" s="12">
        <f>IF(H$12=0,0,H27/H$12)</f>
        <v>0</v>
      </c>
      <c r="K27" s="4"/>
      <c r="L27" s="4">
        <f>+D27-H27</f>
        <v>13780.53</v>
      </c>
      <c r="M27" s="4"/>
      <c r="N27" s="12">
        <f>IF(H27=0,0,L27/H27)</f>
        <v>0</v>
      </c>
      <c r="O27" s="10"/>
      <c r="P27" s="4">
        <v>27402.26</v>
      </c>
      <c r="Q27" s="4"/>
      <c r="R27" s="12">
        <f>IF(P$12=0,0,P27/P$12)</f>
        <v>0.1850211531282302</v>
      </c>
      <c r="S27" s="4"/>
      <c r="T27" s="4"/>
      <c r="U27" s="4"/>
      <c r="V27" s="12">
        <f>IF(T$12=0,0,T27/T$12)</f>
        <v>0</v>
      </c>
      <c r="W27" s="4"/>
      <c r="X27" s="4">
        <f>+P27-T27</f>
        <v>27402.26</v>
      </c>
      <c r="Y27" s="4"/>
      <c r="Z27" s="12">
        <f>IF(T27=0,0,X27/T27)</f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5" t="s">
        <v>4</v>
      </c>
      <c r="C29" s="25"/>
      <c r="D29" s="34">
        <f>+D25-D27</f>
        <v>48597.700000000004</v>
      </c>
      <c r="E29" s="13"/>
      <c r="F29" s="31">
        <f>IF(D$12=0,0,D29/D$12)</f>
        <v>0.77908109928736358</v>
      </c>
      <c r="G29" s="13"/>
      <c r="H29" s="34">
        <f>+H25-H27</f>
        <v>0</v>
      </c>
      <c r="I29" s="13"/>
      <c r="J29" s="31">
        <f>IF(H$12=0,0,H29/H$12)</f>
        <v>0</v>
      </c>
      <c r="K29" s="16"/>
      <c r="L29" s="34">
        <f>D29-H29</f>
        <v>48597.700000000004</v>
      </c>
      <c r="M29" s="16"/>
      <c r="N29" s="31">
        <f>IF(H29=0,0,L29/H29)</f>
        <v>0</v>
      </c>
      <c r="O29" s="26"/>
      <c r="P29" s="34">
        <f>+P25-P27</f>
        <v>120693.27000000003</v>
      </c>
      <c r="Q29" s="13"/>
      <c r="R29" s="31">
        <f>IF(P$12=0,0,P29/P$12)</f>
        <v>0.8149257758380819</v>
      </c>
      <c r="S29" s="13"/>
      <c r="T29" s="34">
        <f>+T25-T27</f>
        <v>0</v>
      </c>
      <c r="U29" s="13"/>
      <c r="V29" s="31">
        <f>IF(T$12=0,0,T29/T$12)</f>
        <v>0</v>
      </c>
      <c r="W29" s="16"/>
      <c r="X29" s="34">
        <f>P29-T29</f>
        <v>120693.27000000003</v>
      </c>
      <c r="Y29" s="16"/>
      <c r="Z29" s="31">
        <f>IF(T29=0,0,X29/T29)</f>
        <v>0</v>
      </c>
    </row>
    <row r="30" spans="1:26" ht="15.75" thickTop="1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x14ac:dyDescent="0.25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5" t="s">
        <v>5</v>
      </c>
      <c r="C32" s="25"/>
      <c r="D32" s="33">
        <f>SUM(D29:D31)</f>
        <v>48597.700000000004</v>
      </c>
      <c r="E32" s="13"/>
      <c r="F32" s="32">
        <f>IF(D$12=0,0,D32/D$12)</f>
        <v>0.77908109928736358</v>
      </c>
      <c r="G32" s="13"/>
      <c r="H32" s="33">
        <f>SUM(H29:H31)</f>
        <v>0</v>
      </c>
      <c r="I32" s="13"/>
      <c r="J32" s="32">
        <f>IF(H$12=0,0,H32/H$12)</f>
        <v>0</v>
      </c>
      <c r="K32" s="16"/>
      <c r="L32" s="33">
        <f>+D32-H32</f>
        <v>48597.700000000004</v>
      </c>
      <c r="M32" s="16"/>
      <c r="N32" s="32">
        <f>IF(H32=0,0,L32/H32)</f>
        <v>0</v>
      </c>
      <c r="O32" s="26"/>
      <c r="P32" s="33">
        <f>SUM(P29:P31)</f>
        <v>120693.27000000003</v>
      </c>
      <c r="Q32" s="13"/>
      <c r="R32" s="32">
        <f>IF(P$12=0,0,P32/P$12)</f>
        <v>0.8149257758380819</v>
      </c>
      <c r="S32" s="13"/>
      <c r="T32" s="33">
        <f>SUM(T29:T31)</f>
        <v>0</v>
      </c>
      <c r="U32" s="13"/>
      <c r="V32" s="32">
        <f>IF(T$12=0,0,T32/T$12)</f>
        <v>0</v>
      </c>
      <c r="W32" s="16"/>
      <c r="X32" s="33">
        <f>+P32-T32</f>
        <v>120693.27000000003</v>
      </c>
      <c r="Y32" s="16"/>
      <c r="Z32" s="32">
        <f>IF(T32=0,0,X32/T32)</f>
        <v>0</v>
      </c>
    </row>
    <row r="33" spans="1:24" ht="15.75" thickTop="1" x14ac:dyDescent="0.25">
      <c r="A33" s="9"/>
      <c r="C33" s="9"/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63">
        <v>44209.518828935186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60" t="s">
        <v>314</v>
      </c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A36" s="9"/>
      <c r="B36" s="58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4" x14ac:dyDescent="0.25"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","423", " - ", "Contract Revenue")</f>
        <v>Department 423 - Contract Revenue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6"/>
      <c r="L16" s="21">
        <f>+D16-H16</f>
        <v>0</v>
      </c>
      <c r="M16" s="16"/>
      <c r="N16" s="19">
        <f>IF(H16=0,0,L16/H16)</f>
        <v>0</v>
      </c>
      <c r="O16" s="26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6"/>
      <c r="X16" s="21">
        <f>+P16-T16</f>
        <v>0</v>
      </c>
      <c r="Y16" s="16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191.5</v>
      </c>
      <c r="E18" s="20"/>
      <c r="F18" s="30">
        <f t="shared" ref="F18:F27" si="0">IF(D$12=0,0,D18/D$12)</f>
        <v>0</v>
      </c>
      <c r="G18" s="20"/>
      <c r="H18" s="20">
        <f>SUM(OSRRefH22x_0)</f>
        <v>14543.621307692309</v>
      </c>
      <c r="I18" s="20"/>
      <c r="J18" s="30">
        <f t="shared" ref="J18:J27" si="1">IF(H$12=0,0,H18/H$12)</f>
        <v>0</v>
      </c>
      <c r="K18" s="4"/>
      <c r="L18" s="20">
        <f t="shared" ref="L18:L27" si="2">+D18-H18</f>
        <v>-14352.121307692309</v>
      </c>
      <c r="M18" s="4"/>
      <c r="N18" s="30">
        <f t="shared" ref="N18:N27" si="3">IF(H18=0,0,L18/H18)</f>
        <v>-0.98683271546002693</v>
      </c>
      <c r="O18" s="10"/>
      <c r="P18" s="20">
        <f>SUM(OSRRefP22x_0)</f>
        <v>3132.93</v>
      </c>
      <c r="Q18" s="20"/>
      <c r="R18" s="30">
        <f t="shared" ref="R18:R27" si="4">IF(P$12=0,0,P18/P$12)</f>
        <v>0</v>
      </c>
      <c r="S18" s="20"/>
      <c r="T18" s="20">
        <f>SUM(OSRRefT22x_0)</f>
        <v>96128.538499999981</v>
      </c>
      <c r="U18" s="20"/>
      <c r="V18" s="30">
        <f t="shared" ref="V18:V27" si="5">IF(T$12=0,0,T18/T$12)</f>
        <v>0</v>
      </c>
      <c r="W18" s="4"/>
      <c r="X18" s="20">
        <f t="shared" ref="X18:X27" si="6">+P18-T18</f>
        <v>-92995.608499999988</v>
      </c>
      <c r="Y18" s="4"/>
      <c r="Z18" s="30">
        <f t="shared" ref="Z18:Z27" si="7">IF(T18=0,0,X18/T18)</f>
        <v>-0.96740895004868932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4356.313615384619</v>
      </c>
      <c r="I19" s="1"/>
      <c r="J19" s="5">
        <f t="shared" si="1"/>
        <v>0</v>
      </c>
      <c r="K19" s="1"/>
      <c r="L19" s="1">
        <f t="shared" si="2"/>
        <v>-4356.313615384619</v>
      </c>
      <c r="M19" s="1"/>
      <c r="N19" s="5">
        <f t="shared" si="3"/>
        <v>-1</v>
      </c>
      <c r="O19" s="14"/>
      <c r="P19" s="1">
        <f>SUM(OSRRefP22_0x_0)</f>
        <v>2478.73</v>
      </c>
      <c r="Q19" s="1"/>
      <c r="R19" s="5">
        <f t="shared" si="4"/>
        <v>0</v>
      </c>
      <c r="S19" s="1"/>
      <c r="T19" s="1">
        <f>SUM(OSRRefT22_0x_0)</f>
        <v>27623.538500000024</v>
      </c>
      <c r="U19" s="1"/>
      <c r="V19" s="5">
        <f t="shared" si="5"/>
        <v>0</v>
      </c>
      <c r="W19" s="1"/>
      <c r="X19" s="1">
        <f t="shared" si="6"/>
        <v>-25144.808500000025</v>
      </c>
      <c r="Y19" s="1"/>
      <c r="Z19" s="5">
        <f t="shared" si="7"/>
        <v>-0.91026746989709528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>
        <v>847.12823076923098</v>
      </c>
      <c r="I20" s="2"/>
      <c r="J20" s="6">
        <f t="shared" si="1"/>
        <v>0</v>
      </c>
      <c r="K20" s="2"/>
      <c r="L20" s="7">
        <f t="shared" si="2"/>
        <v>-847.12823076923098</v>
      </c>
      <c r="M20" s="2"/>
      <c r="N20" s="6">
        <f t="shared" si="3"/>
        <v>-1</v>
      </c>
      <c r="O20" s="11"/>
      <c r="P20" s="7"/>
      <c r="Q20" s="2"/>
      <c r="R20" s="6">
        <f t="shared" si="4"/>
        <v>0</v>
      </c>
      <c r="S20" s="2"/>
      <c r="T20" s="7">
        <v>5506.3335000000034</v>
      </c>
      <c r="U20" s="2"/>
      <c r="V20" s="6">
        <f t="shared" si="5"/>
        <v>0</v>
      </c>
      <c r="W20" s="2"/>
      <c r="X20" s="7">
        <f t="shared" si="6"/>
        <v>-5506.3335000000034</v>
      </c>
      <c r="Y20" s="2"/>
      <c r="Z20" s="6">
        <f t="shared" si="7"/>
        <v>-1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/>
      <c r="E21" s="2"/>
      <c r="F21" s="6">
        <f t="shared" si="0"/>
        <v>0</v>
      </c>
      <c r="G21" s="2"/>
      <c r="H21" s="7">
        <v>36.528461538461499</v>
      </c>
      <c r="I21" s="2"/>
      <c r="J21" s="6">
        <f t="shared" si="1"/>
        <v>0</v>
      </c>
      <c r="K21" s="2"/>
      <c r="L21" s="7">
        <f t="shared" si="2"/>
        <v>-36.528461538461499</v>
      </c>
      <c r="M21" s="2"/>
      <c r="N21" s="6">
        <f t="shared" si="3"/>
        <v>-1</v>
      </c>
      <c r="O21" s="11"/>
      <c r="P21" s="7"/>
      <c r="Q21" s="2"/>
      <c r="R21" s="6">
        <f t="shared" si="4"/>
        <v>0</v>
      </c>
      <c r="S21" s="2"/>
      <c r="T21" s="7">
        <v>237.4349999999998</v>
      </c>
      <c r="U21" s="2"/>
      <c r="V21" s="6">
        <f t="shared" si="5"/>
        <v>0</v>
      </c>
      <c r="W21" s="2"/>
      <c r="X21" s="7">
        <f t="shared" si="6"/>
        <v>-237.4349999999998</v>
      </c>
      <c r="Y21" s="2"/>
      <c r="Z21" s="6">
        <f t="shared" si="7"/>
        <v>-1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0"/>
        <v>0</v>
      </c>
      <c r="G22" s="2"/>
      <c r="H22" s="7">
        <v>1385</v>
      </c>
      <c r="I22" s="2"/>
      <c r="J22" s="6">
        <f t="shared" si="1"/>
        <v>0</v>
      </c>
      <c r="K22" s="2"/>
      <c r="L22" s="7">
        <f t="shared" si="2"/>
        <v>-1385</v>
      </c>
      <c r="M22" s="2"/>
      <c r="N22" s="6">
        <f t="shared" si="3"/>
        <v>-1</v>
      </c>
      <c r="O22" s="11"/>
      <c r="P22" s="7">
        <v>1868.2</v>
      </c>
      <c r="Q22" s="2"/>
      <c r="R22" s="6">
        <f t="shared" si="4"/>
        <v>0</v>
      </c>
      <c r="S22" s="2"/>
      <c r="T22" s="7">
        <v>8310</v>
      </c>
      <c r="U22" s="2"/>
      <c r="V22" s="6">
        <f t="shared" si="5"/>
        <v>0</v>
      </c>
      <c r="W22" s="2"/>
      <c r="X22" s="7">
        <f t="shared" si="6"/>
        <v>-6441.8</v>
      </c>
      <c r="Y22" s="2"/>
      <c r="Z22" s="6">
        <f t="shared" si="7"/>
        <v>-0.77518652226233453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28.78</v>
      </c>
      <c r="I23" s="2"/>
      <c r="J23" s="6">
        <f t="shared" si="1"/>
        <v>0</v>
      </c>
      <c r="K23" s="2"/>
      <c r="L23" s="7">
        <f t="shared" si="2"/>
        <v>-28.78</v>
      </c>
      <c r="M23" s="2"/>
      <c r="N23" s="6">
        <f t="shared" si="3"/>
        <v>-1</v>
      </c>
      <c r="O23" s="11"/>
      <c r="P23" s="7"/>
      <c r="Q23" s="2"/>
      <c r="R23" s="6">
        <f t="shared" si="4"/>
        <v>0</v>
      </c>
      <c r="S23" s="2"/>
      <c r="T23" s="7">
        <v>187.07</v>
      </c>
      <c r="U23" s="2"/>
      <c r="V23" s="6">
        <f t="shared" si="5"/>
        <v>0</v>
      </c>
      <c r="W23" s="2"/>
      <c r="X23" s="7">
        <f t="shared" si="6"/>
        <v>-187.07</v>
      </c>
      <c r="Y23" s="2"/>
      <c r="Z23" s="6">
        <f t="shared" si="7"/>
        <v>-1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951.95384615384592</v>
      </c>
      <c r="I24" s="2"/>
      <c r="J24" s="6">
        <f t="shared" si="1"/>
        <v>0</v>
      </c>
      <c r="K24" s="2"/>
      <c r="L24" s="7">
        <f t="shared" si="2"/>
        <v>-951.95384615384592</v>
      </c>
      <c r="M24" s="2"/>
      <c r="N24" s="6">
        <f t="shared" si="3"/>
        <v>-1</v>
      </c>
      <c r="O24" s="11"/>
      <c r="P24" s="7">
        <v>610.53</v>
      </c>
      <c r="Q24" s="2"/>
      <c r="R24" s="6">
        <f t="shared" si="4"/>
        <v>0</v>
      </c>
      <c r="S24" s="2"/>
      <c r="T24" s="7">
        <v>6187.7000000000044</v>
      </c>
      <c r="U24" s="2"/>
      <c r="V24" s="6">
        <f t="shared" si="5"/>
        <v>0</v>
      </c>
      <c r="W24" s="2"/>
      <c r="X24" s="7">
        <f t="shared" si="6"/>
        <v>-5577.1700000000046</v>
      </c>
      <c r="Y24" s="2"/>
      <c r="Z24" s="6">
        <f t="shared" si="7"/>
        <v>-0.9013316741277051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/>
      <c r="E26" s="2"/>
      <c r="F26" s="6">
        <f t="shared" si="0"/>
        <v>0</v>
      </c>
      <c r="G26" s="2"/>
      <c r="H26" s="7">
        <v>1106.9230769230799</v>
      </c>
      <c r="I26" s="2"/>
      <c r="J26" s="6">
        <f t="shared" si="1"/>
        <v>0</v>
      </c>
      <c r="K26" s="2"/>
      <c r="L26" s="7">
        <f t="shared" si="2"/>
        <v>-1106.9230769230799</v>
      </c>
      <c r="M26" s="2"/>
      <c r="N26" s="6">
        <f t="shared" si="3"/>
        <v>-1</v>
      </c>
      <c r="O26" s="11"/>
      <c r="P26" s="7"/>
      <c r="Q26" s="2"/>
      <c r="R26" s="6">
        <f t="shared" si="4"/>
        <v>0</v>
      </c>
      <c r="S26" s="2"/>
      <c r="T26" s="7">
        <v>7195.00000000002</v>
      </c>
      <c r="U26" s="2"/>
      <c r="V26" s="6">
        <f t="shared" si="5"/>
        <v>0</v>
      </c>
      <c r="W26" s="2"/>
      <c r="X26" s="7">
        <f t="shared" si="6"/>
        <v>-7195.00000000002</v>
      </c>
      <c r="Y26" s="2"/>
      <c r="Z26" s="6">
        <f t="shared" si="7"/>
        <v>-1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/>
      <c r="E27" s="2"/>
      <c r="F27" s="6">
        <f t="shared" si="0"/>
        <v>0</v>
      </c>
      <c r="G27" s="2"/>
      <c r="H27" s="7">
        <v>0</v>
      </c>
      <c r="I27" s="2"/>
      <c r="J27" s="6">
        <f t="shared" si="1"/>
        <v>0</v>
      </c>
      <c r="K27" s="2"/>
      <c r="L27" s="7">
        <f t="shared" si="2"/>
        <v>0</v>
      </c>
      <c r="M27" s="2"/>
      <c r="N27" s="6">
        <f t="shared" si="3"/>
        <v>0</v>
      </c>
      <c r="O27" s="11"/>
      <c r="P27" s="7"/>
      <c r="Q27" s="2"/>
      <c r="R27" s="6">
        <f t="shared" si="4"/>
        <v>0</v>
      </c>
      <c r="S27" s="2"/>
      <c r="T27" s="7">
        <v>0</v>
      </c>
      <c r="U27" s="2"/>
      <c r="V27" s="6">
        <f t="shared" si="5"/>
        <v>0</v>
      </c>
      <c r="W27" s="2"/>
      <c r="X27" s="7">
        <f t="shared" si="6"/>
        <v>0</v>
      </c>
      <c r="Y27" s="2"/>
      <c r="Z27" s="6">
        <f t="shared" si="7"/>
        <v>0</v>
      </c>
    </row>
    <row r="28" spans="1:26" s="28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9962.3076923076896</v>
      </c>
      <c r="I28" s="1"/>
      <c r="J28" s="5">
        <f t="shared" ref="J28:J38" si="9">IF(H$12=0,0,H28/H$12)</f>
        <v>0</v>
      </c>
      <c r="K28" s="1"/>
      <c r="L28" s="1">
        <f t="shared" ref="L28:L38" si="10">+D28-H28</f>
        <v>-9962.3076923076896</v>
      </c>
      <c r="M28" s="1"/>
      <c r="N28" s="5">
        <f t="shared" ref="N28:N38" si="11">IF(H28=0,0,L28/H28)</f>
        <v>-1</v>
      </c>
      <c r="O28" s="14"/>
      <c r="P28" s="1">
        <f>SUM(OSRRefP22_1x_0)</f>
        <v>0</v>
      </c>
      <c r="Q28" s="1"/>
      <c r="R28" s="5">
        <f t="shared" ref="R28:R38" si="12">IF(P$12=0,0,P28/P$12)</f>
        <v>0</v>
      </c>
      <c r="S28" s="1"/>
      <c r="T28" s="1">
        <f>SUM(OSRRefT22_1x_0)</f>
        <v>64754.999999999956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-64754.999999999956</v>
      </c>
      <c r="Y28" s="1"/>
      <c r="Z28" s="5">
        <f t="shared" ref="Z28:Z38" si="15">IF(T28=0,0,X28/T28)</f>
        <v>-1</v>
      </c>
    </row>
    <row r="29" spans="1:26" s="24" customFormat="1" hidden="1" outlineLevel="2" x14ac:dyDescent="0.25">
      <c r="A29" s="29"/>
      <c r="B29" s="11" t="str">
        <f>CONCATENATE("          ", "6001", " - ", "ADMINISTRATIVE SALARIES")</f>
        <v xml:space="preserve">          6001 - ADMINISTRATIVE SALARIES</v>
      </c>
      <c r="C29" s="11"/>
      <c r="D29" s="7"/>
      <c r="E29" s="2"/>
      <c r="F29" s="6">
        <f t="shared" si="8"/>
        <v>0</v>
      </c>
      <c r="G29" s="2"/>
      <c r="H29" s="7">
        <v>9962.3076923076896</v>
      </c>
      <c r="I29" s="2"/>
      <c r="J29" s="6">
        <f t="shared" si="9"/>
        <v>0</v>
      </c>
      <c r="K29" s="2"/>
      <c r="L29" s="7">
        <f t="shared" si="10"/>
        <v>-9962.3076923076896</v>
      </c>
      <c r="M29" s="2"/>
      <c r="N29" s="6">
        <f t="shared" si="11"/>
        <v>-1</v>
      </c>
      <c r="O29" s="11"/>
      <c r="P29" s="7"/>
      <c r="Q29" s="2"/>
      <c r="R29" s="6">
        <f t="shared" si="12"/>
        <v>0</v>
      </c>
      <c r="S29" s="2"/>
      <c r="T29" s="7">
        <v>64754.999999999956</v>
      </c>
      <c r="U29" s="2"/>
      <c r="V29" s="6">
        <f t="shared" si="13"/>
        <v>0</v>
      </c>
      <c r="W29" s="2"/>
      <c r="X29" s="7">
        <f t="shared" si="14"/>
        <v>-64754.999999999956</v>
      </c>
      <c r="Y29" s="2"/>
      <c r="Z29" s="6">
        <f t="shared" si="15"/>
        <v>-1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7"/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/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0</v>
      </c>
      <c r="Y30" s="2"/>
      <c r="Z30" s="6">
        <f t="shared" si="15"/>
        <v>0</v>
      </c>
    </row>
    <row r="31" spans="1:26" s="24" customFormat="1" hidden="1" outlineLevel="2" x14ac:dyDescent="0.25">
      <c r="A31" s="29"/>
      <c r="B31" s="11" t="str">
        <f>CONCATENATE("          ", "6003", " - ", "STAFF HOURLY-9 MONTH")</f>
        <v xml:space="preserve">          6003 - STAFF HOURLY-9 MONTH</v>
      </c>
      <c r="C31" s="11"/>
      <c r="D31" s="7"/>
      <c r="E31" s="2"/>
      <c r="F31" s="6">
        <f t="shared" si="8"/>
        <v>0</v>
      </c>
      <c r="G31" s="2"/>
      <c r="H31" s="7">
        <v>0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0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4" customFormat="1" hidden="1" outlineLevel="2" x14ac:dyDescent="0.25">
      <c r="A32" s="29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9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"6009", " - ", "TEMPORARY-SEASONAL")</f>
        <v xml:space="preserve">          6009 - TEMPORARY-SEASONAL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"6010", " - ", "GRATUITY")</f>
        <v xml:space="preserve">          6010 - GRATUITY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8" customFormat="1" outlineLevel="1" collapsed="1" x14ac:dyDescent="0.25">
      <c r="A39" s="27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SUM(OSRRefD22_2x_0)</f>
        <v>0</v>
      </c>
      <c r="E39" s="1"/>
      <c r="F39" s="5">
        <f t="shared" ref="F39:F43" si="16">IF(D$12=0,0,D39/D$12)</f>
        <v>0</v>
      </c>
      <c r="G39" s="1"/>
      <c r="H39" s="1">
        <f>SUM(OSRRefH22_2x_0)</f>
        <v>0</v>
      </c>
      <c r="I39" s="1"/>
      <c r="J39" s="5">
        <f t="shared" ref="J39:J43" si="17">IF(H$12=0,0,H39/H$12)</f>
        <v>0</v>
      </c>
      <c r="K39" s="1"/>
      <c r="L39" s="1">
        <f t="shared" ref="L39:L43" si="18">+D39-H39</f>
        <v>0</v>
      </c>
      <c r="M39" s="1"/>
      <c r="N39" s="5">
        <f t="shared" ref="N39:N43" si="19">IF(H39=0,0,L39/H39)</f>
        <v>0</v>
      </c>
      <c r="O39" s="14"/>
      <c r="P39" s="1">
        <f>SUM(OSRRefP22_2x_0)</f>
        <v>0</v>
      </c>
      <c r="Q39" s="1"/>
      <c r="R39" s="5">
        <f t="shared" ref="R39:R43" si="20">IF(P$12=0,0,P39/P$12)</f>
        <v>0</v>
      </c>
      <c r="S39" s="1"/>
      <c r="T39" s="1">
        <f>SUM(OSRRefT22_2x_0)</f>
        <v>3000</v>
      </c>
      <c r="U39" s="1"/>
      <c r="V39" s="5">
        <f t="shared" ref="V39:V43" si="21">IF(T$12=0,0,T39/T$12)</f>
        <v>0</v>
      </c>
      <c r="W39" s="1"/>
      <c r="X39" s="1">
        <f t="shared" ref="X39:X43" si="22">+P39-T39</f>
        <v>-3000</v>
      </c>
      <c r="Y39" s="1"/>
      <c r="Z39" s="5">
        <f t="shared" ref="Z39:Z43" si="23">IF(T39=0,0,X39/T39)</f>
        <v>-1</v>
      </c>
    </row>
    <row r="40" spans="1:26" s="24" customFormat="1" hidden="1" outlineLevel="2" x14ac:dyDescent="0.25">
      <c r="A40" s="29"/>
      <c r="B40" s="11" t="str">
        <f>CONCATENATE("          ", "6279", " - ", "GENERAL EXPENSE")</f>
        <v xml:space="preserve">          6279 - GENERAL EXPENSE</v>
      </c>
      <c r="C40" s="11"/>
      <c r="D40" s="7"/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/>
      <c r="Q40" s="2"/>
      <c r="R40" s="6">
        <f t="shared" si="20"/>
        <v>0</v>
      </c>
      <c r="S40" s="2"/>
      <c r="T40" s="7">
        <v>3000</v>
      </c>
      <c r="U40" s="2"/>
      <c r="V40" s="6">
        <f t="shared" si="21"/>
        <v>0</v>
      </c>
      <c r="W40" s="2"/>
      <c r="X40" s="7">
        <f t="shared" si="22"/>
        <v>-3000</v>
      </c>
      <c r="Y40" s="2"/>
      <c r="Z40" s="6">
        <f t="shared" si="23"/>
        <v>-1</v>
      </c>
    </row>
    <row r="41" spans="1:26" s="28" customFormat="1" outlineLevel="1" collapsed="1" x14ac:dyDescent="0.25">
      <c r="A41" s="27"/>
      <c r="B41" s="14" t="str">
        <f>CONCATENATE("     ","Services                                          ")</f>
        <v xml:space="preserve">     Services                                          </v>
      </c>
      <c r="C41" s="14"/>
      <c r="D41" s="1">
        <f>SUM(OSRRefD22_3x_0)</f>
        <v>0</v>
      </c>
      <c r="E41" s="1"/>
      <c r="F41" s="5">
        <f t="shared" si="16"/>
        <v>0</v>
      </c>
      <c r="G41" s="1"/>
      <c r="H41" s="1">
        <f>SUM(OSRRefH22_3x_0)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4"/>
      <c r="P41" s="1">
        <f>SUM(OSRRefP22_3x_0)</f>
        <v>0</v>
      </c>
      <c r="Q41" s="1"/>
      <c r="R41" s="5">
        <f t="shared" si="20"/>
        <v>0</v>
      </c>
      <c r="S41" s="1"/>
      <c r="T41" s="1">
        <f>SUM(OSRRefT22_3x_0)</f>
        <v>0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9"/>
      <c r="B42" s="11" t="str">
        <f>CONCATENATE("          ", "6282", " - ", "JANITORIAL/EXTERMINATOR EXPENS")</f>
        <v xml:space="preserve">          6282 - JANITORIAL/EXTERMINATOR EXPENS</v>
      </c>
      <c r="C42" s="11"/>
      <c r="D42" s="7"/>
      <c r="E42" s="2"/>
      <c r="F42" s="6">
        <f t="shared" si="16"/>
        <v>0</v>
      </c>
      <c r="G42" s="2"/>
      <c r="H42" s="7">
        <v>0</v>
      </c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/>
      <c r="Q42" s="2"/>
      <c r="R42" s="6">
        <f t="shared" si="20"/>
        <v>0</v>
      </c>
      <c r="S42" s="2"/>
      <c r="T42" s="7">
        <v>0</v>
      </c>
      <c r="U42" s="2"/>
      <c r="V42" s="6">
        <f t="shared" si="21"/>
        <v>0</v>
      </c>
      <c r="W42" s="2"/>
      <c r="X42" s="7">
        <f t="shared" si="22"/>
        <v>0</v>
      </c>
      <c r="Y42" s="2"/>
      <c r="Z42" s="6">
        <f t="shared" si="23"/>
        <v>0</v>
      </c>
    </row>
    <row r="43" spans="1:26" s="24" customFormat="1" hidden="1" outlineLevel="2" x14ac:dyDescent="0.25">
      <c r="A43" s="29"/>
      <c r="B43" s="11" t="str">
        <f>CONCATENATE("          ", "6285", " - ", "JANITORIAL SERVICES")</f>
        <v xml:space="preserve">          6285 - JANITORIAL SERVICES</v>
      </c>
      <c r="C43" s="11"/>
      <c r="D43" s="7"/>
      <c r="E43" s="2"/>
      <c r="F43" s="6">
        <f t="shared" si="16"/>
        <v>0</v>
      </c>
      <c r="G43" s="2"/>
      <c r="H43" s="7">
        <v>0</v>
      </c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/>
      <c r="Q43" s="2"/>
      <c r="R43" s="6">
        <f t="shared" si="20"/>
        <v>0</v>
      </c>
      <c r="S43" s="2"/>
      <c r="T43" s="7">
        <v>0</v>
      </c>
      <c r="U43" s="2"/>
      <c r="V43" s="6">
        <f t="shared" si="21"/>
        <v>0</v>
      </c>
      <c r="W43" s="2"/>
      <c r="X43" s="7">
        <f t="shared" si="22"/>
        <v>0</v>
      </c>
      <c r="Y43" s="2"/>
      <c r="Z43" s="6">
        <f t="shared" si="23"/>
        <v>0</v>
      </c>
    </row>
    <row r="44" spans="1:26" s="28" customFormat="1" outlineLevel="1" collapsed="1" x14ac:dyDescent="0.25">
      <c r="A44" s="27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SUM(OSRRefD22_4x_0)</f>
        <v>5.5</v>
      </c>
      <c r="E44" s="1"/>
      <c r="F44" s="5">
        <f t="shared" ref="F44:F49" si="24">IF(D$12=0,0,D44/D$12)</f>
        <v>0</v>
      </c>
      <c r="G44" s="1"/>
      <c r="H44" s="1">
        <f>SUM(OSRRefH22_4x_0)</f>
        <v>25</v>
      </c>
      <c r="I44" s="1"/>
      <c r="J44" s="5">
        <f t="shared" ref="J44:J49" si="25">IF(H$12=0,0,H44/H$12)</f>
        <v>0</v>
      </c>
      <c r="K44" s="1"/>
      <c r="L44" s="1">
        <f t="shared" ref="L44:L49" si="26">+D44-H44</f>
        <v>-19.5</v>
      </c>
      <c r="M44" s="1"/>
      <c r="N44" s="5">
        <f t="shared" ref="N44:N49" si="27">IF(H44=0,0,L44/H44)</f>
        <v>-0.78</v>
      </c>
      <c r="O44" s="14"/>
      <c r="P44" s="1">
        <f>SUM(OSRRefP22_4x_0)</f>
        <v>-50.8</v>
      </c>
      <c r="Q44" s="1"/>
      <c r="R44" s="5">
        <f t="shared" ref="R44:R49" si="28">IF(P$12=0,0,P44/P$12)</f>
        <v>0</v>
      </c>
      <c r="S44" s="1"/>
      <c r="T44" s="1">
        <f>SUM(OSRRefT22_4x_0)</f>
        <v>150</v>
      </c>
      <c r="U44" s="1"/>
      <c r="V44" s="5">
        <f t="shared" ref="V44:V49" si="29">IF(T$12=0,0,T44/T$12)</f>
        <v>0</v>
      </c>
      <c r="W44" s="1"/>
      <c r="X44" s="1">
        <f t="shared" ref="X44:X49" si="30">+P44-T44</f>
        <v>-200.8</v>
      </c>
      <c r="Y44" s="1"/>
      <c r="Z44" s="5">
        <f t="shared" ref="Z44:Z49" si="31">IF(T44=0,0,X44/T44)</f>
        <v>-1.3386666666666667</v>
      </c>
    </row>
    <row r="45" spans="1:26" s="24" customFormat="1" hidden="1" outlineLevel="2" x14ac:dyDescent="0.25">
      <c r="A45" s="29"/>
      <c r="B45" s="11" t="str">
        <f>CONCATENATE("          ", "6241", " - ", "OFFICE EXPENSE")</f>
        <v xml:space="preserve">          6241 - OFFICE EXPENSE</v>
      </c>
      <c r="C45" s="11"/>
      <c r="D45" s="7">
        <v>5.5</v>
      </c>
      <c r="E45" s="2"/>
      <c r="F45" s="6">
        <f t="shared" si="24"/>
        <v>0</v>
      </c>
      <c r="G45" s="2"/>
      <c r="H45" s="7">
        <v>25</v>
      </c>
      <c r="I45" s="2"/>
      <c r="J45" s="6">
        <f t="shared" si="25"/>
        <v>0</v>
      </c>
      <c r="K45" s="2"/>
      <c r="L45" s="7">
        <f t="shared" si="26"/>
        <v>-19.5</v>
      </c>
      <c r="M45" s="2"/>
      <c r="N45" s="6">
        <f t="shared" si="27"/>
        <v>-0.78</v>
      </c>
      <c r="O45" s="11"/>
      <c r="P45" s="7">
        <v>-50.8</v>
      </c>
      <c r="Q45" s="2"/>
      <c r="R45" s="6">
        <f t="shared" si="28"/>
        <v>0</v>
      </c>
      <c r="S45" s="2"/>
      <c r="T45" s="7">
        <v>150</v>
      </c>
      <c r="U45" s="2"/>
      <c r="V45" s="6">
        <f t="shared" si="29"/>
        <v>0</v>
      </c>
      <c r="W45" s="2"/>
      <c r="X45" s="7">
        <f t="shared" si="30"/>
        <v>-200.8</v>
      </c>
      <c r="Y45" s="2"/>
      <c r="Z45" s="6">
        <f t="shared" si="31"/>
        <v>-1.3386666666666667</v>
      </c>
    </row>
    <row r="46" spans="1:26" s="28" customFormat="1" outlineLevel="1" collapsed="1" x14ac:dyDescent="0.25">
      <c r="A46" s="27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SUM(OSRRefD22_5x_0)</f>
        <v>186</v>
      </c>
      <c r="E46" s="1"/>
      <c r="F46" s="5">
        <f t="shared" si="24"/>
        <v>0</v>
      </c>
      <c r="G46" s="1"/>
      <c r="H46" s="1">
        <f>SUM(OSRRefH22_5x_0)</f>
        <v>200</v>
      </c>
      <c r="I46" s="1"/>
      <c r="J46" s="5">
        <f t="shared" si="25"/>
        <v>0</v>
      </c>
      <c r="K46" s="1"/>
      <c r="L46" s="1">
        <f t="shared" si="26"/>
        <v>-14</v>
      </c>
      <c r="M46" s="1"/>
      <c r="N46" s="5">
        <f t="shared" si="27"/>
        <v>-7.0000000000000007E-2</v>
      </c>
      <c r="O46" s="14"/>
      <c r="P46" s="1">
        <f>SUM(OSRRefP22_5x_0)</f>
        <v>705</v>
      </c>
      <c r="Q46" s="1"/>
      <c r="R46" s="5">
        <f t="shared" si="28"/>
        <v>0</v>
      </c>
      <c r="S46" s="1"/>
      <c r="T46" s="1">
        <f>SUM(OSRRefT22_5x_0)</f>
        <v>600</v>
      </c>
      <c r="U46" s="1"/>
      <c r="V46" s="5">
        <f t="shared" si="29"/>
        <v>0</v>
      </c>
      <c r="W46" s="1"/>
      <c r="X46" s="1">
        <f t="shared" si="30"/>
        <v>105</v>
      </c>
      <c r="Y46" s="1"/>
      <c r="Z46" s="5">
        <f t="shared" si="31"/>
        <v>0.17499999999999999</v>
      </c>
    </row>
    <row r="47" spans="1:26" s="24" customFormat="1" hidden="1" outlineLevel="2" x14ac:dyDescent="0.25">
      <c r="A47" s="29"/>
      <c r="B47" s="11" t="str">
        <f>CONCATENATE("          ", "6309", " - ", "TELEPHONE")</f>
        <v xml:space="preserve">          6309 - TELEPHONE</v>
      </c>
      <c r="C47" s="11"/>
      <c r="D47" s="7">
        <v>186</v>
      </c>
      <c r="E47" s="2"/>
      <c r="F47" s="6">
        <f t="shared" si="24"/>
        <v>0</v>
      </c>
      <c r="G47" s="2"/>
      <c r="H47" s="7">
        <v>200</v>
      </c>
      <c r="I47" s="2"/>
      <c r="J47" s="6">
        <f t="shared" si="25"/>
        <v>0</v>
      </c>
      <c r="K47" s="2"/>
      <c r="L47" s="7">
        <f t="shared" si="26"/>
        <v>-14</v>
      </c>
      <c r="M47" s="2"/>
      <c r="N47" s="6">
        <f t="shared" si="27"/>
        <v>-7.0000000000000007E-2</v>
      </c>
      <c r="O47" s="11"/>
      <c r="P47" s="7">
        <v>705</v>
      </c>
      <c r="Q47" s="2"/>
      <c r="R47" s="6">
        <f t="shared" si="28"/>
        <v>0</v>
      </c>
      <c r="S47" s="2"/>
      <c r="T47" s="7">
        <v>600</v>
      </c>
      <c r="U47" s="2"/>
      <c r="V47" s="6">
        <f t="shared" si="29"/>
        <v>0</v>
      </c>
      <c r="W47" s="2"/>
      <c r="X47" s="7">
        <f t="shared" si="30"/>
        <v>105</v>
      </c>
      <c r="Y47" s="2"/>
      <c r="Z47" s="6">
        <f t="shared" si="31"/>
        <v>0.17499999999999999</v>
      </c>
    </row>
    <row r="48" spans="1:26" s="28" customFormat="1" outlineLevel="1" collapsed="1" x14ac:dyDescent="0.25">
      <c r="A48" s="27"/>
      <c r="B48" s="14" t="str">
        <f>CONCATENATE("     ","Utilities                                         ")</f>
        <v xml:space="preserve">     Utilities                                         </v>
      </c>
      <c r="C48" s="14"/>
      <c r="D48" s="1">
        <f>SUM(OSRRefD22_6x_0)</f>
        <v>0</v>
      </c>
      <c r="E48" s="1"/>
      <c r="F48" s="5">
        <f t="shared" si="24"/>
        <v>0</v>
      </c>
      <c r="G48" s="1"/>
      <c r="H48" s="1">
        <f>SUM(OSRRefH22_6x_0)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4"/>
      <c r="P48" s="1">
        <f>SUM(OSRRefP22_6x_0)</f>
        <v>0</v>
      </c>
      <c r="Q48" s="1"/>
      <c r="R48" s="5">
        <f t="shared" si="28"/>
        <v>0</v>
      </c>
      <c r="S48" s="1"/>
      <c r="T48" s="1">
        <f>SUM(OSRRefT22_6x_0)</f>
        <v>0</v>
      </c>
      <c r="U48" s="1"/>
      <c r="V48" s="5">
        <f t="shared" si="29"/>
        <v>0</v>
      </c>
      <c r="W48" s="1"/>
      <c r="X48" s="1">
        <f t="shared" si="30"/>
        <v>0</v>
      </c>
      <c r="Y48" s="1"/>
      <c r="Z48" s="5">
        <f t="shared" si="31"/>
        <v>0</v>
      </c>
    </row>
    <row r="49" spans="1:26" s="24" customFormat="1" hidden="1" outlineLevel="2" x14ac:dyDescent="0.25">
      <c r="A49" s="29"/>
      <c r="B49" s="11" t="str">
        <f>CONCATENATE("          ", "6274", " - ", "UTILITIES")</f>
        <v xml:space="preserve">          6274 - UTILITIES</v>
      </c>
      <c r="C49" s="11"/>
      <c r="D49" s="7"/>
      <c r="E49" s="2"/>
      <c r="F49" s="6">
        <f t="shared" si="24"/>
        <v>0</v>
      </c>
      <c r="G49" s="2"/>
      <c r="H49" s="7">
        <v>0</v>
      </c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/>
      <c r="Q49" s="2"/>
      <c r="R49" s="6">
        <f t="shared" si="28"/>
        <v>0</v>
      </c>
      <c r="S49" s="2"/>
      <c r="T49" s="7">
        <v>0</v>
      </c>
      <c r="U49" s="2"/>
      <c r="V49" s="6">
        <f t="shared" si="29"/>
        <v>0</v>
      </c>
      <c r="W49" s="2"/>
      <c r="X49" s="7">
        <f t="shared" si="30"/>
        <v>0</v>
      </c>
      <c r="Y49" s="2"/>
      <c r="Z49" s="6">
        <f t="shared" si="31"/>
        <v>0</v>
      </c>
    </row>
    <row r="50" spans="1:26" s="53" customFormat="1" x14ac:dyDescent="0.25">
      <c r="A50" s="36"/>
      <c r="B50" s="36"/>
      <c r="C50" s="36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collapsed="1" x14ac:dyDescent="0.25">
      <c r="A51" s="10"/>
      <c r="B51" s="26" t="s">
        <v>0</v>
      </c>
      <c r="C51" s="10"/>
      <c r="D51" s="4">
        <f>SUM(OSRRefD25x_0)</f>
        <v>0</v>
      </c>
      <c r="E51" s="4"/>
      <c r="F51" s="12">
        <f t="shared" ref="F51:F54" si="32">IF(D$12=0,0,D51/D$12)</f>
        <v>0</v>
      </c>
      <c r="G51" s="4"/>
      <c r="H51" s="4">
        <f>SUM(OSRRefH25x_0)</f>
        <v>8053</v>
      </c>
      <c r="I51" s="4"/>
      <c r="J51" s="12">
        <f t="shared" ref="J51:J54" si="33">IF(H$12=0,0,H51/H$12)</f>
        <v>0</v>
      </c>
      <c r="K51" s="4"/>
      <c r="L51" s="4">
        <f t="shared" ref="L51:L54" si="34">+D51-H51</f>
        <v>-8053</v>
      </c>
      <c r="M51" s="4"/>
      <c r="N51" s="12">
        <f t="shared" ref="N51:N54" si="35">IF(H51=0,0,L51/H51)</f>
        <v>-1</v>
      </c>
      <c r="O51" s="10"/>
      <c r="P51" s="4">
        <f>SUM(OSRRefP25x_0)</f>
        <v>0</v>
      </c>
      <c r="Q51" s="4"/>
      <c r="R51" s="12">
        <f t="shared" ref="R51:R54" si="36">IF(P$12=0,0,P51/P$12)</f>
        <v>0</v>
      </c>
      <c r="S51" s="4"/>
      <c r="T51" s="4">
        <f>SUM(OSRRefT25x_0)</f>
        <v>27403</v>
      </c>
      <c r="U51" s="4"/>
      <c r="V51" s="12">
        <f t="shared" ref="V51:V54" si="37">IF(T$12=0,0,T51/T$12)</f>
        <v>0</v>
      </c>
      <c r="W51" s="4"/>
      <c r="X51" s="4">
        <f t="shared" ref="X51:X54" si="38">+P51-T51</f>
        <v>-27403</v>
      </c>
      <c r="Y51" s="4"/>
      <c r="Z51" s="12">
        <f t="shared" ref="Z51:Z54" si="39">IF(T51=0,0,X51/T51)</f>
        <v>-1</v>
      </c>
    </row>
    <row r="52" spans="1:26" s="24" customFormat="1" hidden="1" outlineLevel="1" x14ac:dyDescent="0.25">
      <c r="A52" s="51"/>
      <c r="B52" s="11" t="str">
        <f>CONCATENATE("          ", "9150", " - ", "MISC. INCOME")</f>
        <v xml:space="preserve">          9150 - MISC. INCOME</v>
      </c>
      <c r="C52" s="11"/>
      <c r="D52" s="2">
        <f t="shared" ref="D52:D54" si="40">0</f>
        <v>0</v>
      </c>
      <c r="E52" s="2"/>
      <c r="F52" s="22">
        <f t="shared" si="32"/>
        <v>0</v>
      </c>
      <c r="G52" s="2"/>
      <c r="H52" s="2">
        <v>2164</v>
      </c>
      <c r="I52" s="2"/>
      <c r="J52" s="22">
        <f t="shared" si="33"/>
        <v>0</v>
      </c>
      <c r="K52" s="2"/>
      <c r="L52" s="2">
        <f t="shared" si="34"/>
        <v>-2164</v>
      </c>
      <c r="M52" s="2"/>
      <c r="N52" s="22">
        <f t="shared" si="35"/>
        <v>-1</v>
      </c>
      <c r="O52" s="11"/>
      <c r="P52" s="2">
        <f t="shared" ref="P52:P54" si="41">0</f>
        <v>0</v>
      </c>
      <c r="Q52" s="2"/>
      <c r="R52" s="22">
        <f t="shared" si="36"/>
        <v>0</v>
      </c>
      <c r="S52" s="2"/>
      <c r="T52" s="2">
        <v>11350</v>
      </c>
      <c r="U52" s="2"/>
      <c r="V52" s="22">
        <f t="shared" si="37"/>
        <v>0</v>
      </c>
      <c r="W52" s="2"/>
      <c r="X52" s="2">
        <f t="shared" si="38"/>
        <v>-11350</v>
      </c>
      <c r="Y52" s="2"/>
      <c r="Z52" s="22">
        <f t="shared" si="39"/>
        <v>-1</v>
      </c>
    </row>
    <row r="53" spans="1:26" s="24" customFormat="1" hidden="1" outlineLevel="1" x14ac:dyDescent="0.25">
      <c r="A53" s="51"/>
      <c r="B53" s="11" t="str">
        <f>CONCATENATE("          ", "9151", " - ", "MISC. INCOME")</f>
        <v xml:space="preserve">          9151 - MISC. INCOME</v>
      </c>
      <c r="C53" s="11"/>
      <c r="D53" s="2">
        <f t="shared" si="40"/>
        <v>0</v>
      </c>
      <c r="E53" s="2"/>
      <c r="F53" s="22">
        <f t="shared" si="32"/>
        <v>0</v>
      </c>
      <c r="G53" s="2"/>
      <c r="H53" s="2">
        <v>2712</v>
      </c>
      <c r="I53" s="2"/>
      <c r="J53" s="22">
        <f t="shared" si="33"/>
        <v>0</v>
      </c>
      <c r="K53" s="2"/>
      <c r="L53" s="2">
        <f t="shared" si="34"/>
        <v>-2712</v>
      </c>
      <c r="M53" s="2"/>
      <c r="N53" s="22">
        <f t="shared" si="35"/>
        <v>-1</v>
      </c>
      <c r="O53" s="11"/>
      <c r="P53" s="2">
        <f t="shared" si="41"/>
        <v>0</v>
      </c>
      <c r="Q53" s="2"/>
      <c r="R53" s="22">
        <f t="shared" si="36"/>
        <v>0</v>
      </c>
      <c r="S53" s="2"/>
      <c r="T53" s="2">
        <v>11130</v>
      </c>
      <c r="U53" s="2"/>
      <c r="V53" s="22">
        <f t="shared" si="37"/>
        <v>0</v>
      </c>
      <c r="W53" s="2"/>
      <c r="X53" s="2">
        <f t="shared" si="38"/>
        <v>-11130</v>
      </c>
      <c r="Y53" s="2"/>
      <c r="Z53" s="22">
        <f t="shared" si="39"/>
        <v>-1</v>
      </c>
    </row>
    <row r="54" spans="1:26" s="24" customFormat="1" hidden="1" outlineLevel="1" x14ac:dyDescent="0.25">
      <c r="A54" s="51"/>
      <c r="B54" s="11" t="str">
        <f>CONCATENATE("          ", "9160", " - ", "MISC. INCOME")</f>
        <v xml:space="preserve">          9160 - MISC. INCOME</v>
      </c>
      <c r="C54" s="11"/>
      <c r="D54" s="2">
        <f t="shared" si="40"/>
        <v>0</v>
      </c>
      <c r="E54" s="2"/>
      <c r="F54" s="22">
        <f t="shared" si="32"/>
        <v>0</v>
      </c>
      <c r="G54" s="2"/>
      <c r="H54" s="2">
        <v>3177</v>
      </c>
      <c r="I54" s="2"/>
      <c r="J54" s="22">
        <f t="shared" si="33"/>
        <v>0</v>
      </c>
      <c r="K54" s="2"/>
      <c r="L54" s="2">
        <f t="shared" si="34"/>
        <v>-3177</v>
      </c>
      <c r="M54" s="2"/>
      <c r="N54" s="22">
        <f t="shared" si="35"/>
        <v>-1</v>
      </c>
      <c r="O54" s="11"/>
      <c r="P54" s="2">
        <f t="shared" si="41"/>
        <v>0</v>
      </c>
      <c r="Q54" s="2"/>
      <c r="R54" s="22">
        <f t="shared" si="36"/>
        <v>0</v>
      </c>
      <c r="S54" s="2"/>
      <c r="T54" s="2">
        <v>4923</v>
      </c>
      <c r="U54" s="2"/>
      <c r="V54" s="22">
        <f t="shared" si="37"/>
        <v>0</v>
      </c>
      <c r="W54" s="2"/>
      <c r="X54" s="2">
        <f t="shared" si="38"/>
        <v>-4923</v>
      </c>
      <c r="Y54" s="2"/>
      <c r="Z54" s="22">
        <f t="shared" si="39"/>
        <v>-1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5" t="s">
        <v>3</v>
      </c>
      <c r="C56" s="25"/>
      <c r="D56" s="21">
        <f>+D16-D18+D51</f>
        <v>-191.5</v>
      </c>
      <c r="E56" s="13"/>
      <c r="F56" s="19">
        <f>IF(D$12=0,0,D56/D$12)</f>
        <v>0</v>
      </c>
      <c r="G56" s="13"/>
      <c r="H56" s="21">
        <f>+H16-H18+H51</f>
        <v>-6490.6213076923086</v>
      </c>
      <c r="I56" s="13"/>
      <c r="J56" s="19">
        <f>IF(H$12=0,0,H56/H$12)</f>
        <v>0</v>
      </c>
      <c r="K56" s="16"/>
      <c r="L56" s="21">
        <f>+D56-H56</f>
        <v>6299.1213076923086</v>
      </c>
      <c r="M56" s="16"/>
      <c r="N56" s="19">
        <f>IF(H56=0,0,L56/H56)</f>
        <v>-0.97049589077504106</v>
      </c>
      <c r="O56" s="26"/>
      <c r="P56" s="21">
        <f>+P16-P18+P51</f>
        <v>-3132.93</v>
      </c>
      <c r="Q56" s="13"/>
      <c r="R56" s="19">
        <f>IF(P$12=0,0,P56/P$12)</f>
        <v>0</v>
      </c>
      <c r="S56" s="13"/>
      <c r="T56" s="21">
        <f>+T16-T18+T51</f>
        <v>-68725.538499999981</v>
      </c>
      <c r="U56" s="13"/>
      <c r="V56" s="19">
        <f>IF(T$12=0,0,T56/T$12)</f>
        <v>0</v>
      </c>
      <c r="W56" s="16"/>
      <c r="X56" s="21">
        <f>+P56-T56</f>
        <v>65592.608499999988</v>
      </c>
      <c r="Y56" s="16"/>
      <c r="Z56" s="19">
        <f>IF(T56=0,0,X56/T56)</f>
        <v>-0.95441388938698535</v>
      </c>
    </row>
    <row r="57" spans="1:26" x14ac:dyDescent="0.25">
      <c r="A57" s="9"/>
      <c r="B57" s="10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52"/>
      <c r="B58" s="10" t="s">
        <v>14</v>
      </c>
      <c r="C58" s="10"/>
      <c r="D58" s="4"/>
      <c r="E58" s="4"/>
      <c r="F58" s="12">
        <f>IF(D$12=0,0,D58/D$12)</f>
        <v>0</v>
      </c>
      <c r="G58" s="4"/>
      <c r="H58" s="4"/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/>
      <c r="Q58" s="4"/>
      <c r="R58" s="12">
        <f>IF(P$12=0,0,P58/P$12)</f>
        <v>0</v>
      </c>
      <c r="S58" s="4"/>
      <c r="T58" s="4"/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5" t="s">
        <v>4</v>
      </c>
      <c r="C60" s="25"/>
      <c r="D60" s="34">
        <f>+D56-D58</f>
        <v>-191.5</v>
      </c>
      <c r="E60" s="13"/>
      <c r="F60" s="31">
        <f>IF(D$12=0,0,D60/D$12)</f>
        <v>0</v>
      </c>
      <c r="G60" s="13"/>
      <c r="H60" s="34">
        <f>+H56-H58</f>
        <v>-6490.6213076923086</v>
      </c>
      <c r="I60" s="13"/>
      <c r="J60" s="31">
        <f>IF(H$12=0,0,H60/H$12)</f>
        <v>0</v>
      </c>
      <c r="K60" s="16"/>
      <c r="L60" s="34">
        <f>D60-H60</f>
        <v>6299.1213076923086</v>
      </c>
      <c r="M60" s="16"/>
      <c r="N60" s="31">
        <f>IF(H60=0,0,L60/H60)</f>
        <v>-0.97049589077504106</v>
      </c>
      <c r="O60" s="26"/>
      <c r="P60" s="34">
        <f>+P56-P58</f>
        <v>-3132.93</v>
      </c>
      <c r="Q60" s="13"/>
      <c r="R60" s="31">
        <f>IF(P$12=0,0,P60/P$12)</f>
        <v>0</v>
      </c>
      <c r="S60" s="13"/>
      <c r="T60" s="34">
        <f>+T56-T58</f>
        <v>-68725.538499999981</v>
      </c>
      <c r="U60" s="13"/>
      <c r="V60" s="31">
        <f>IF(T$12=0,0,T60/T$12)</f>
        <v>0</v>
      </c>
      <c r="W60" s="16"/>
      <c r="X60" s="34">
        <f>P60-T60</f>
        <v>65592.608499999988</v>
      </c>
      <c r="Y60" s="16"/>
      <c r="Z60" s="31">
        <f>IF(T60=0,0,X60/T60)</f>
        <v>-0.95441388938698535</v>
      </c>
    </row>
    <row r="61" spans="1:26" ht="15.75" thickTop="1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x14ac:dyDescent="0.2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5" t="s">
        <v>5</v>
      </c>
      <c r="C63" s="25"/>
      <c r="D63" s="33">
        <f>SUM(D60:D62)</f>
        <v>-191.5</v>
      </c>
      <c r="E63" s="13"/>
      <c r="F63" s="32">
        <f>IF(D$12=0,0,D63/D$12)</f>
        <v>0</v>
      </c>
      <c r="G63" s="13"/>
      <c r="H63" s="33">
        <f>SUM(H60:H62)</f>
        <v>-6490.6213076923086</v>
      </c>
      <c r="I63" s="13"/>
      <c r="J63" s="32">
        <f>IF(H$12=0,0,H63/H$12)</f>
        <v>0</v>
      </c>
      <c r="K63" s="16"/>
      <c r="L63" s="33">
        <f>+D63-H63</f>
        <v>6299.1213076923086</v>
      </c>
      <c r="M63" s="16"/>
      <c r="N63" s="32">
        <f>IF(H63=0,0,L63/H63)</f>
        <v>-0.97049589077504106</v>
      </c>
      <c r="O63" s="26"/>
      <c r="P63" s="33">
        <f>SUM(P60:P62)</f>
        <v>-3132.93</v>
      </c>
      <c r="Q63" s="13"/>
      <c r="R63" s="32">
        <f>IF(P$12=0,0,P63/P$12)</f>
        <v>0</v>
      </c>
      <c r="S63" s="13"/>
      <c r="T63" s="33">
        <f>SUM(T60:T62)</f>
        <v>-68725.538499999981</v>
      </c>
      <c r="U63" s="13"/>
      <c r="V63" s="32">
        <f>IF(T$12=0,0,T63/T$12)</f>
        <v>0</v>
      </c>
      <c r="W63" s="16"/>
      <c r="X63" s="33">
        <f>+P63-T63</f>
        <v>65592.608499999988</v>
      </c>
      <c r="Y63" s="16"/>
      <c r="Z63" s="32">
        <f>IF(T63=0,0,X63/T63)</f>
        <v>-0.95441388938698535</v>
      </c>
    </row>
    <row r="64" spans="1:26" ht="15.75" thickTop="1" x14ac:dyDescent="0.25">
      <c r="A64" s="9"/>
      <c r="C64" s="9"/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1:24" x14ac:dyDescent="0.25">
      <c r="A65" s="9"/>
      <c r="B65" s="63">
        <v>44209.518846064813</v>
      </c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25">
      <c r="A66" s="9"/>
      <c r="B66" s="60" t="s">
        <v>314</v>
      </c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4" x14ac:dyDescent="0.25">
      <c r="A67" s="9"/>
      <c r="B67" s="58"/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4" x14ac:dyDescent="0.25"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","424", " - ", "Blair Field")</f>
        <v>Department 424 - Blair Field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6"/>
      <c r="L16" s="21">
        <f>+D16-H16</f>
        <v>0</v>
      </c>
      <c r="M16" s="16"/>
      <c r="N16" s="19">
        <f>IF(H16=0,0,L16/H16)</f>
        <v>0</v>
      </c>
      <c r="O16" s="26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6"/>
      <c r="X16" s="21">
        <f>+P16-T16</f>
        <v>0</v>
      </c>
      <c r="Y16" s="16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483.29</v>
      </c>
      <c r="E18" s="20"/>
      <c r="F18" s="30">
        <f t="shared" ref="F18:F26" si="0">IF(D$12=0,0,D18/D$12)</f>
        <v>0</v>
      </c>
      <c r="G18" s="20"/>
      <c r="H18" s="20">
        <f>SUM(OSRRefH22x_0)</f>
        <v>479</v>
      </c>
      <c r="I18" s="20"/>
      <c r="J18" s="30">
        <f t="shared" ref="J18:J26" si="1">IF(H$12=0,0,H18/H$12)</f>
        <v>0</v>
      </c>
      <c r="K18" s="4"/>
      <c r="L18" s="20">
        <f t="shared" ref="L18:L26" si="2">+D18-H18</f>
        <v>4.2900000000000205</v>
      </c>
      <c r="M18" s="4"/>
      <c r="N18" s="30">
        <f t="shared" ref="N18:N26" si="3">IF(H18=0,0,L18/H18)</f>
        <v>8.956158663883133E-3</v>
      </c>
      <c r="O18" s="10"/>
      <c r="P18" s="20">
        <f>SUM(OSRRefP22x_0)</f>
        <v>3780.5899999999997</v>
      </c>
      <c r="Q18" s="20"/>
      <c r="R18" s="30">
        <f t="shared" ref="R18:R26" si="4">IF(P$12=0,0,P18/P$12)</f>
        <v>0</v>
      </c>
      <c r="S18" s="20"/>
      <c r="T18" s="20">
        <f>SUM(OSRRefT22x_0)</f>
        <v>2874</v>
      </c>
      <c r="U18" s="20"/>
      <c r="V18" s="30">
        <f t="shared" ref="V18:V26" si="5">IF(T$12=0,0,T18/T$12)</f>
        <v>0</v>
      </c>
      <c r="W18" s="4"/>
      <c r="X18" s="20">
        <f t="shared" ref="X18:X26" si="6">+P18-T18</f>
        <v>906.58999999999969</v>
      </c>
      <c r="Y18" s="4"/>
      <c r="Z18" s="30">
        <f t="shared" ref="Z18:Z26" si="7">IF(T18=0,0,X18/T18)</f>
        <v>0.3154453723034098</v>
      </c>
    </row>
    <row r="19" spans="1:26" s="28" customFormat="1" outlineLevel="1" collapsed="1" x14ac:dyDescent="0.25">
      <c r="A19" s="27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</v>
      </c>
      <c r="I19" s="1"/>
      <c r="J19" s="5">
        <f t="shared" si="1"/>
        <v>0</v>
      </c>
      <c r="K19" s="1"/>
      <c r="L19" s="1">
        <f t="shared" si="2"/>
        <v>0.29000000000002046</v>
      </c>
      <c r="M19" s="1"/>
      <c r="N19" s="5">
        <f t="shared" si="3"/>
        <v>6.054279749478506E-4</v>
      </c>
      <c r="O19" s="14"/>
      <c r="P19" s="1">
        <f>SUM(OSRRefP22_0x_0)</f>
        <v>2875.74</v>
      </c>
      <c r="Q19" s="1"/>
      <c r="R19" s="5">
        <f t="shared" si="4"/>
        <v>0</v>
      </c>
      <c r="S19" s="1"/>
      <c r="T19" s="1">
        <f>SUM(OSRRefT22_0x_0)</f>
        <v>2874</v>
      </c>
      <c r="U19" s="1"/>
      <c r="V19" s="5">
        <f t="shared" si="5"/>
        <v>0</v>
      </c>
      <c r="W19" s="1"/>
      <c r="X19" s="1">
        <f t="shared" si="6"/>
        <v>1.7399999999997817</v>
      </c>
      <c r="Y19" s="1"/>
      <c r="Z19" s="5">
        <f t="shared" si="7"/>
        <v>6.0542797494773199E-4</v>
      </c>
    </row>
    <row r="20" spans="1:26" s="24" customFormat="1" hidden="1" outlineLevel="2" x14ac:dyDescent="0.25">
      <c r="A20" s="29"/>
      <c r="B20" s="11" t="str">
        <f>CONCATENATE("          ", "6322", " - ", "EQUIPMENT DEPRECIATION EXPENSE")</f>
        <v xml:space="preserve">          6322 - EQUIPMENT DEPRECIATION EXPENSE</v>
      </c>
      <c r="C20" s="11"/>
      <c r="D20" s="7">
        <v>479.29</v>
      </c>
      <c r="E20" s="2"/>
      <c r="F20" s="6">
        <f t="shared" si="0"/>
        <v>0</v>
      </c>
      <c r="G20" s="2"/>
      <c r="H20" s="7">
        <v>479</v>
      </c>
      <c r="I20" s="2"/>
      <c r="J20" s="6">
        <f t="shared" si="1"/>
        <v>0</v>
      </c>
      <c r="K20" s="2"/>
      <c r="L20" s="7">
        <f t="shared" si="2"/>
        <v>0.29000000000002046</v>
      </c>
      <c r="M20" s="2"/>
      <c r="N20" s="6">
        <f t="shared" si="3"/>
        <v>6.054279749478506E-4</v>
      </c>
      <c r="O20" s="11"/>
      <c r="P20" s="7">
        <v>2875.74</v>
      </c>
      <c r="Q20" s="2"/>
      <c r="R20" s="6">
        <f t="shared" si="4"/>
        <v>0</v>
      </c>
      <c r="S20" s="2"/>
      <c r="T20" s="7">
        <v>2874</v>
      </c>
      <c r="U20" s="2"/>
      <c r="V20" s="6">
        <f t="shared" si="5"/>
        <v>0</v>
      </c>
      <c r="W20" s="2"/>
      <c r="X20" s="7">
        <f t="shared" si="6"/>
        <v>1.7399999999997817</v>
      </c>
      <c r="Y20" s="2"/>
      <c r="Z20" s="6">
        <f t="shared" si="7"/>
        <v>6.0542797494773199E-4</v>
      </c>
    </row>
    <row r="21" spans="1:26" s="28" customFormat="1" outlineLevel="1" collapsed="1" x14ac:dyDescent="0.25">
      <c r="A21" s="27"/>
      <c r="B21" s="14" t="str">
        <f>CONCATENATE("     ","General                                           ")</f>
        <v xml:space="preserve">     General                                           </v>
      </c>
      <c r="C21" s="14"/>
      <c r="D21" s="1">
        <f>SUM(OSRRefD22_1x_0)</f>
        <v>4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4</v>
      </c>
      <c r="M21" s="1"/>
      <c r="N21" s="5">
        <f t="shared" si="3"/>
        <v>0</v>
      </c>
      <c r="O21" s="14"/>
      <c r="P21" s="1">
        <f>SUM(OSRRefP22_1x_0)</f>
        <v>523.54999999999995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523.54999999999995</v>
      </c>
      <c r="Y21" s="1"/>
      <c r="Z21" s="5">
        <f t="shared" si="7"/>
        <v>0</v>
      </c>
    </row>
    <row r="22" spans="1:26" s="24" customFormat="1" hidden="1" outlineLevel="2" x14ac:dyDescent="0.25">
      <c r="A22" s="29"/>
      <c r="B22" s="11" t="str">
        <f>CONCATENATE("          ", "6279", " - ", "GENERAL EXPENSE")</f>
        <v xml:space="preserve">          6279 - GENERAL EXPENSE</v>
      </c>
      <c r="C22" s="11"/>
      <c r="D22" s="7">
        <v>4</v>
      </c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4</v>
      </c>
      <c r="M22" s="2"/>
      <c r="N22" s="6">
        <f t="shared" si="3"/>
        <v>0</v>
      </c>
      <c r="O22" s="11"/>
      <c r="P22" s="7">
        <v>523.54999999999995</v>
      </c>
      <c r="Q22" s="2"/>
      <c r="R22" s="6">
        <f t="shared" si="4"/>
        <v>0</v>
      </c>
      <c r="S22" s="2"/>
      <c r="T22" s="7"/>
      <c r="U22" s="2"/>
      <c r="V22" s="6">
        <f t="shared" si="5"/>
        <v>0</v>
      </c>
      <c r="W22" s="2"/>
      <c r="X22" s="7">
        <f t="shared" si="6"/>
        <v>523.54999999999995</v>
      </c>
      <c r="Y22" s="2"/>
      <c r="Z22" s="6">
        <f t="shared" si="7"/>
        <v>0</v>
      </c>
    </row>
    <row r="23" spans="1:26" s="28" customFormat="1" outlineLevel="1" collapsed="1" x14ac:dyDescent="0.25">
      <c r="A23" s="27"/>
      <c r="B23" s="14" t="str">
        <f>CONCATENATE("     ","Repair and Maintenance                            ")</f>
        <v xml:space="preserve">     Repair and Maintenance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154.33000000000001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154.33000000000001</v>
      </c>
      <c r="Y23" s="1"/>
      <c r="Z23" s="5">
        <f t="shared" si="7"/>
        <v>0</v>
      </c>
    </row>
    <row r="24" spans="1:26" s="24" customFormat="1" hidden="1" outlineLevel="2" x14ac:dyDescent="0.25">
      <c r="A24" s="29"/>
      <c r="B24" s="11" t="str">
        <f>CONCATENATE("          ", "6373", " - ", "MAINTENANCE CONTRACTS")</f>
        <v xml:space="preserve">          6373 - MAINTENANCE CONTRACTS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154.33000000000001</v>
      </c>
      <c r="Q24" s="2"/>
      <c r="R24" s="6">
        <f t="shared" si="4"/>
        <v>0</v>
      </c>
      <c r="S24" s="2"/>
      <c r="T24" s="7"/>
      <c r="U24" s="2"/>
      <c r="V24" s="6">
        <f t="shared" si="5"/>
        <v>0</v>
      </c>
      <c r="W24" s="2"/>
      <c r="X24" s="7">
        <f t="shared" si="6"/>
        <v>154.33000000000001</v>
      </c>
      <c r="Y24" s="2"/>
      <c r="Z24" s="6">
        <f t="shared" si="7"/>
        <v>0</v>
      </c>
    </row>
    <row r="25" spans="1:26" s="28" customFormat="1" outlineLevel="1" collapsed="1" x14ac:dyDescent="0.25">
      <c r="A25" s="27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226.97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226.97</v>
      </c>
      <c r="Y25" s="1"/>
      <c r="Z25" s="5">
        <f t="shared" si="7"/>
        <v>0</v>
      </c>
    </row>
    <row r="26" spans="1:26" s="24" customFormat="1" hidden="1" outlineLevel="2" x14ac:dyDescent="0.25">
      <c r="A26" s="29"/>
      <c r="B26" s="11" t="str">
        <f>CONCATENATE("          ", "6309", " - ", "TELEPHONE")</f>
        <v xml:space="preserve">          6309 - TELEPHONE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226.97</v>
      </c>
      <c r="Q26" s="2"/>
      <c r="R26" s="6">
        <f t="shared" si="4"/>
        <v>0</v>
      </c>
      <c r="S26" s="2"/>
      <c r="T26" s="7"/>
      <c r="U26" s="2"/>
      <c r="V26" s="6">
        <f t="shared" si="5"/>
        <v>0</v>
      </c>
      <c r="W26" s="2"/>
      <c r="X26" s="7">
        <f t="shared" si="6"/>
        <v>226.97</v>
      </c>
      <c r="Y26" s="2"/>
      <c r="Z26" s="6">
        <f t="shared" si="7"/>
        <v>0</v>
      </c>
    </row>
    <row r="27" spans="1:26" s="53" customFormat="1" x14ac:dyDescent="0.25">
      <c r="A27" s="36"/>
      <c r="B27" s="36"/>
      <c r="C27" s="36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6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5" t="s">
        <v>3</v>
      </c>
      <c r="C30" s="25"/>
      <c r="D30" s="21">
        <f>+D16-D18+D28</f>
        <v>-483.29</v>
      </c>
      <c r="E30" s="13"/>
      <c r="F30" s="19">
        <f>IF(D$12=0,0,D30/D$12)</f>
        <v>0</v>
      </c>
      <c r="G30" s="13"/>
      <c r="H30" s="21">
        <f>+H16-H18+H28</f>
        <v>-479</v>
      </c>
      <c r="I30" s="13"/>
      <c r="J30" s="19">
        <f>IF(H$12=0,0,H30/H$12)</f>
        <v>0</v>
      </c>
      <c r="K30" s="16"/>
      <c r="L30" s="21">
        <f>+D30-H30</f>
        <v>-4.2900000000000205</v>
      </c>
      <c r="M30" s="16"/>
      <c r="N30" s="19">
        <f>IF(H30=0,0,L30/H30)</f>
        <v>8.956158663883133E-3</v>
      </c>
      <c r="O30" s="26"/>
      <c r="P30" s="21">
        <f>+P16-P18+P28</f>
        <v>-3780.5899999999997</v>
      </c>
      <c r="Q30" s="13"/>
      <c r="R30" s="19">
        <f>IF(P$12=0,0,P30/P$12)</f>
        <v>0</v>
      </c>
      <c r="S30" s="13"/>
      <c r="T30" s="21">
        <f>+T16-T18+T28</f>
        <v>-2874</v>
      </c>
      <c r="U30" s="13"/>
      <c r="V30" s="19">
        <f>IF(T$12=0,0,T30/T$12)</f>
        <v>0</v>
      </c>
      <c r="W30" s="16"/>
      <c r="X30" s="21">
        <f>+P30-T30</f>
        <v>-906.58999999999969</v>
      </c>
      <c r="Y30" s="16"/>
      <c r="Z30" s="19">
        <f>IF(T30=0,0,X30/T30)</f>
        <v>0.3154453723034098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2"/>
      <c r="B32" s="10" t="s">
        <v>14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5" t="s">
        <v>4</v>
      </c>
      <c r="C34" s="25"/>
      <c r="D34" s="34">
        <f>+D30-D32</f>
        <v>-483.29</v>
      </c>
      <c r="E34" s="13"/>
      <c r="F34" s="31">
        <f>IF(D$12=0,0,D34/D$12)</f>
        <v>0</v>
      </c>
      <c r="G34" s="13"/>
      <c r="H34" s="34">
        <f>+H30-H32</f>
        <v>-479</v>
      </c>
      <c r="I34" s="13"/>
      <c r="J34" s="31">
        <f>IF(H$12=0,0,H34/H$12)</f>
        <v>0</v>
      </c>
      <c r="K34" s="16"/>
      <c r="L34" s="34">
        <f>D34-H34</f>
        <v>-4.2900000000000205</v>
      </c>
      <c r="M34" s="16"/>
      <c r="N34" s="31">
        <f>IF(H34=0,0,L34/H34)</f>
        <v>8.956158663883133E-3</v>
      </c>
      <c r="O34" s="26"/>
      <c r="P34" s="34">
        <f>+P30-P32</f>
        <v>-3780.5899999999997</v>
      </c>
      <c r="Q34" s="13"/>
      <c r="R34" s="31">
        <f>IF(P$12=0,0,P34/P$12)</f>
        <v>0</v>
      </c>
      <c r="S34" s="13"/>
      <c r="T34" s="34">
        <f>+T30-T32</f>
        <v>-2874</v>
      </c>
      <c r="U34" s="13"/>
      <c r="V34" s="31">
        <f>IF(T$12=0,0,T34/T$12)</f>
        <v>0</v>
      </c>
      <c r="W34" s="16"/>
      <c r="X34" s="34">
        <f>P34-T34</f>
        <v>-906.58999999999969</v>
      </c>
      <c r="Y34" s="16"/>
      <c r="Z34" s="31">
        <f>IF(T34=0,0,X34/T34)</f>
        <v>0.3154453723034098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5" t="s">
        <v>5</v>
      </c>
      <c r="C37" s="25"/>
      <c r="D37" s="33">
        <f>SUM(D34:D36)</f>
        <v>-483.29</v>
      </c>
      <c r="E37" s="13"/>
      <c r="F37" s="32">
        <f>IF(D$12=0,0,D37/D$12)</f>
        <v>0</v>
      </c>
      <c r="G37" s="13"/>
      <c r="H37" s="33">
        <f>SUM(H34:H36)</f>
        <v>-479</v>
      </c>
      <c r="I37" s="13"/>
      <c r="J37" s="32">
        <f>IF(H$12=0,0,H37/H$12)</f>
        <v>0</v>
      </c>
      <c r="K37" s="16"/>
      <c r="L37" s="33">
        <f>+D37-H37</f>
        <v>-4.2900000000000205</v>
      </c>
      <c r="M37" s="16"/>
      <c r="N37" s="32">
        <f>IF(H37=0,0,L37/H37)</f>
        <v>8.956158663883133E-3</v>
      </c>
      <c r="O37" s="26"/>
      <c r="P37" s="33">
        <f>SUM(P34:P36)</f>
        <v>-3780.5899999999997</v>
      </c>
      <c r="Q37" s="13"/>
      <c r="R37" s="32">
        <f>IF(P$12=0,0,P37/P$12)</f>
        <v>0</v>
      </c>
      <c r="S37" s="13"/>
      <c r="T37" s="33">
        <f>SUM(T34:T36)</f>
        <v>-2874</v>
      </c>
      <c r="U37" s="13"/>
      <c r="V37" s="32">
        <f>IF(T$12=0,0,T37/T$12)</f>
        <v>0</v>
      </c>
      <c r="W37" s="16"/>
      <c r="X37" s="33">
        <f>+P37-T37</f>
        <v>-906.58999999999969</v>
      </c>
      <c r="Y37" s="16"/>
      <c r="Z37" s="32">
        <f>IF(T37=0,0,X37/T37)</f>
        <v>0.3154453723034098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3">
        <v>44209.518856249997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0" t="s">
        <v>314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58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","425", " - ", "Events Center")</f>
        <v>Department 425 - Events Center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6"/>
      <c r="L16" s="21">
        <f>+D16-H16</f>
        <v>0</v>
      </c>
      <c r="M16" s="16"/>
      <c r="N16" s="19">
        <f>IF(H16=0,0,L16/H16)</f>
        <v>0</v>
      </c>
      <c r="O16" s="26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6"/>
      <c r="X16" s="21">
        <f>+P16-T16</f>
        <v>0</v>
      </c>
      <c r="Y16" s="16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1000.91</v>
      </c>
      <c r="E18" s="20"/>
      <c r="F18" s="30">
        <f t="shared" ref="F18:F24" si="0">IF(D$12=0,0,D18/D$12)</f>
        <v>0</v>
      </c>
      <c r="G18" s="20"/>
      <c r="H18" s="20">
        <f>SUM(OSRRefH22x_0)</f>
        <v>1001</v>
      </c>
      <c r="I18" s="20"/>
      <c r="J18" s="30">
        <f t="shared" ref="J18:J24" si="1">IF(H$12=0,0,H18/H$12)</f>
        <v>0</v>
      </c>
      <c r="K18" s="4"/>
      <c r="L18" s="20">
        <f t="shared" ref="L18:L24" si="2">+D18-H18</f>
        <v>-9.0000000000031832E-2</v>
      </c>
      <c r="M18" s="4"/>
      <c r="N18" s="30">
        <f t="shared" ref="N18:N24" si="3">IF(H18=0,0,L18/H18)</f>
        <v>-8.9910089910121704E-5</v>
      </c>
      <c r="O18" s="10"/>
      <c r="P18" s="20">
        <f>SUM(OSRRefP22x_0)</f>
        <v>9634.14</v>
      </c>
      <c r="Q18" s="20"/>
      <c r="R18" s="30">
        <f t="shared" ref="R18:R24" si="4">IF(P$12=0,0,P18/P$12)</f>
        <v>0</v>
      </c>
      <c r="S18" s="20"/>
      <c r="T18" s="20">
        <f>SUM(OSRRefT22x_0)</f>
        <v>6006</v>
      </c>
      <c r="U18" s="20"/>
      <c r="V18" s="30">
        <f t="shared" ref="V18:V24" si="5">IF(T$12=0,0,T18/T$12)</f>
        <v>0</v>
      </c>
      <c r="W18" s="4"/>
      <c r="X18" s="20">
        <f t="shared" ref="X18:X24" si="6">+P18-T18</f>
        <v>3628.1399999999994</v>
      </c>
      <c r="Y18" s="4"/>
      <c r="Z18" s="30">
        <f t="shared" ref="Z18:Z24" si="7">IF(T18=0,0,X18/T18)</f>
        <v>0.60408591408591394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1420.5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1420.5</v>
      </c>
      <c r="Y19" s="1"/>
      <c r="Z19" s="5">
        <f t="shared" si="7"/>
        <v>0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171.54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171.54</v>
      </c>
      <c r="Y20" s="2"/>
      <c r="Z20" s="6">
        <f t="shared" si="7"/>
        <v>0</v>
      </c>
    </row>
    <row r="21" spans="1:26" s="24" customFormat="1" hidden="1" outlineLevel="2" x14ac:dyDescent="0.25">
      <c r="A21" s="29"/>
      <c r="B21" s="11" t="str">
        <f>CONCATENATE("          ", "6113", " - ", "GROUP INSURANCE")</f>
        <v xml:space="preserve">          6113 - GROUP INSURANCE</v>
      </c>
      <c r="C21" s="11"/>
      <c r="D21" s="7"/>
      <c r="E21" s="2"/>
      <c r="F21" s="6">
        <f t="shared" si="0"/>
        <v>0</v>
      </c>
      <c r="G21" s="2"/>
      <c r="H21" s="7"/>
      <c r="I21" s="2"/>
      <c r="J21" s="6">
        <f t="shared" si="1"/>
        <v>0</v>
      </c>
      <c r="K21" s="2"/>
      <c r="L21" s="7">
        <f t="shared" si="2"/>
        <v>0</v>
      </c>
      <c r="M21" s="2"/>
      <c r="N21" s="6">
        <f t="shared" si="3"/>
        <v>0</v>
      </c>
      <c r="O21" s="11"/>
      <c r="P21" s="7">
        <v>699.3</v>
      </c>
      <c r="Q21" s="2"/>
      <c r="R21" s="6">
        <f t="shared" si="4"/>
        <v>0</v>
      </c>
      <c r="S21" s="2"/>
      <c r="T21" s="7"/>
      <c r="U21" s="2"/>
      <c r="V21" s="6">
        <f t="shared" si="5"/>
        <v>0</v>
      </c>
      <c r="W21" s="2"/>
      <c r="X21" s="7">
        <f t="shared" si="6"/>
        <v>699.3</v>
      </c>
      <c r="Y21" s="2"/>
      <c r="Z21" s="6">
        <f t="shared" si="7"/>
        <v>0</v>
      </c>
    </row>
    <row r="22" spans="1:26" s="24" customFormat="1" hidden="1" outlineLevel="2" x14ac:dyDescent="0.25">
      <c r="A22" s="29"/>
      <c r="B22" s="11" t="str">
        <f>CONCATENATE("          ", "6115", " - ", "P.E.R.S.")</f>
        <v xml:space="preserve">          6115 - P.E.R.S.</v>
      </c>
      <c r="C22" s="11"/>
      <c r="D22" s="7"/>
      <c r="E22" s="2"/>
      <c r="F22" s="6">
        <f t="shared" si="0"/>
        <v>0</v>
      </c>
      <c r="G22" s="2"/>
      <c r="H22" s="7"/>
      <c r="I22" s="2"/>
      <c r="J22" s="6">
        <f t="shared" si="1"/>
        <v>0</v>
      </c>
      <c r="K22" s="2"/>
      <c r="L22" s="7">
        <f t="shared" si="2"/>
        <v>0</v>
      </c>
      <c r="M22" s="2"/>
      <c r="N22" s="6">
        <f t="shared" si="3"/>
        <v>0</v>
      </c>
      <c r="O22" s="11"/>
      <c r="P22" s="7">
        <v>355.22</v>
      </c>
      <c r="Q22" s="2"/>
      <c r="R22" s="6">
        <f t="shared" si="4"/>
        <v>0</v>
      </c>
      <c r="S22" s="2"/>
      <c r="T22" s="7"/>
      <c r="U22" s="2"/>
      <c r="V22" s="6">
        <f t="shared" si="5"/>
        <v>0</v>
      </c>
      <c r="W22" s="2"/>
      <c r="X22" s="7">
        <f t="shared" si="6"/>
        <v>355.22</v>
      </c>
      <c r="Y22" s="2"/>
      <c r="Z22" s="6">
        <f t="shared" si="7"/>
        <v>0</v>
      </c>
    </row>
    <row r="23" spans="1:26" s="24" customFormat="1" hidden="1" outlineLevel="2" x14ac:dyDescent="0.25">
      <c r="A23" s="29"/>
      <c r="B23" s="11" t="str">
        <f>CONCATENATE("          ", "6118", " - ", "VACATION")</f>
        <v xml:space="preserve">          6118 - VACATION</v>
      </c>
      <c r="C23" s="11"/>
      <c r="D23" s="7"/>
      <c r="E23" s="2"/>
      <c r="F23" s="6">
        <f t="shared" si="0"/>
        <v>0</v>
      </c>
      <c r="G23" s="2"/>
      <c r="H23" s="7"/>
      <c r="I23" s="2"/>
      <c r="J23" s="6">
        <f t="shared" si="1"/>
        <v>0</v>
      </c>
      <c r="K23" s="2"/>
      <c r="L23" s="7">
        <f t="shared" si="2"/>
        <v>0</v>
      </c>
      <c r="M23" s="2"/>
      <c r="N23" s="6">
        <f t="shared" si="3"/>
        <v>0</v>
      </c>
      <c r="O23" s="11"/>
      <c r="P23" s="7">
        <v>88.46</v>
      </c>
      <c r="Q23" s="2"/>
      <c r="R23" s="6">
        <f t="shared" si="4"/>
        <v>0</v>
      </c>
      <c r="S23" s="2"/>
      <c r="T23" s="7"/>
      <c r="U23" s="2"/>
      <c r="V23" s="6">
        <f t="shared" si="5"/>
        <v>0</v>
      </c>
      <c r="W23" s="2"/>
      <c r="X23" s="7">
        <f t="shared" si="6"/>
        <v>88.46</v>
      </c>
      <c r="Y23" s="2"/>
      <c r="Z23" s="6">
        <f t="shared" si="7"/>
        <v>0</v>
      </c>
    </row>
    <row r="24" spans="1:26" s="24" customFormat="1" hidden="1" outlineLevel="2" x14ac:dyDescent="0.25">
      <c r="A24" s="29"/>
      <c r="B24" s="11" t="str">
        <f>CONCATENATE("          ", "6119", " - ", "SICK LEAVE")</f>
        <v xml:space="preserve">          6119 - SICK LEAVE</v>
      </c>
      <c r="C24" s="11"/>
      <c r="D24" s="7"/>
      <c r="E24" s="2"/>
      <c r="F24" s="6">
        <f t="shared" si="0"/>
        <v>0</v>
      </c>
      <c r="G24" s="2"/>
      <c r="H24" s="7"/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105.98</v>
      </c>
      <c r="Q24" s="2"/>
      <c r="R24" s="6">
        <f t="shared" si="4"/>
        <v>0</v>
      </c>
      <c r="S24" s="2"/>
      <c r="T24" s="7"/>
      <c r="U24" s="2"/>
      <c r="V24" s="6">
        <f t="shared" si="5"/>
        <v>0</v>
      </c>
      <c r="W24" s="2"/>
      <c r="X24" s="7">
        <f t="shared" si="6"/>
        <v>105.98</v>
      </c>
      <c r="Y24" s="2"/>
      <c r="Z24" s="6">
        <f t="shared" si="7"/>
        <v>0</v>
      </c>
    </row>
    <row r="25" spans="1:26" s="28" customFormat="1" outlineLevel="1" collapsed="1" x14ac:dyDescent="0.25">
      <c r="A25" s="27"/>
      <c r="B25" s="14" t="str">
        <f>CONCATENATE("     ","*Payroll                                          ")</f>
        <v xml:space="preserve">     *Payroll                                          </v>
      </c>
      <c r="C25" s="14"/>
      <c r="D25" s="1">
        <f>SUM(OSRRefD22_1x_0)</f>
        <v>0</v>
      </c>
      <c r="E25" s="1"/>
      <c r="F25" s="5">
        <f t="shared" ref="F25:F33" si="8">IF(D$12=0,0,D25/D$12)</f>
        <v>0</v>
      </c>
      <c r="G25" s="1"/>
      <c r="H25" s="1">
        <f>SUM(OSRRefH22_1x_0)</f>
        <v>0</v>
      </c>
      <c r="I25" s="1"/>
      <c r="J25" s="5">
        <f t="shared" ref="J25:J33" si="9">IF(H$12=0,0,H25/H$12)</f>
        <v>0</v>
      </c>
      <c r="K25" s="1"/>
      <c r="L25" s="1">
        <f t="shared" ref="L25:L33" si="10">+D25-H25</f>
        <v>0</v>
      </c>
      <c r="M25" s="1"/>
      <c r="N25" s="5">
        <f t="shared" ref="N25:N33" si="11">IF(H25=0,0,L25/H25)</f>
        <v>0</v>
      </c>
      <c r="O25" s="14"/>
      <c r="P25" s="1">
        <f>SUM(OSRRefP22_1x_0)</f>
        <v>1378.61</v>
      </c>
      <c r="Q25" s="1"/>
      <c r="R25" s="5">
        <f t="shared" ref="R25:R33" si="12">IF(P$12=0,0,P25/P$12)</f>
        <v>0</v>
      </c>
      <c r="S25" s="1"/>
      <c r="T25" s="1">
        <f>SUM(OSRRefT22_1x_0)</f>
        <v>0</v>
      </c>
      <c r="U25" s="1"/>
      <c r="V25" s="5">
        <f t="shared" ref="V25:V33" si="13">IF(T$12=0,0,T25/T$12)</f>
        <v>0</v>
      </c>
      <c r="W25" s="1"/>
      <c r="X25" s="1">
        <f t="shared" ref="X25:X33" si="14">+P25-T25</f>
        <v>1378.61</v>
      </c>
      <c r="Y25" s="1"/>
      <c r="Z25" s="5">
        <f t="shared" ref="Z25:Z33" si="15">IF(T25=0,0,X25/T25)</f>
        <v>0</v>
      </c>
    </row>
    <row r="26" spans="1:26" s="24" customFormat="1" hidden="1" outlineLevel="2" x14ac:dyDescent="0.25">
      <c r="A26" s="29"/>
      <c r="B26" s="11" t="str">
        <f>CONCATENATE("          ", "6002", " - ", "STAFF SALARIES")</f>
        <v xml:space="preserve">          6002 - STAFF SALARIES</v>
      </c>
      <c r="C26" s="11"/>
      <c r="D26" s="7"/>
      <c r="E26" s="2"/>
      <c r="F26" s="6">
        <f t="shared" si="8"/>
        <v>0</v>
      </c>
      <c r="G26" s="2"/>
      <c r="H26" s="7"/>
      <c r="I26" s="2"/>
      <c r="J26" s="6">
        <f t="shared" si="9"/>
        <v>0</v>
      </c>
      <c r="K26" s="2"/>
      <c r="L26" s="7">
        <f t="shared" si="10"/>
        <v>0</v>
      </c>
      <c r="M26" s="2"/>
      <c r="N26" s="6">
        <f t="shared" si="11"/>
        <v>0</v>
      </c>
      <c r="O26" s="11"/>
      <c r="P26" s="7">
        <v>1378.61</v>
      </c>
      <c r="Q26" s="2"/>
      <c r="R26" s="6">
        <f t="shared" si="12"/>
        <v>0</v>
      </c>
      <c r="S26" s="2"/>
      <c r="T26" s="7"/>
      <c r="U26" s="2"/>
      <c r="V26" s="6">
        <f t="shared" si="13"/>
        <v>0</v>
      </c>
      <c r="W26" s="2"/>
      <c r="X26" s="7">
        <f t="shared" si="14"/>
        <v>1378.61</v>
      </c>
      <c r="Y26" s="2"/>
      <c r="Z26" s="6">
        <f t="shared" si="15"/>
        <v>0</v>
      </c>
    </row>
    <row r="27" spans="1:26" s="28" customFormat="1" outlineLevel="1" collapsed="1" x14ac:dyDescent="0.25">
      <c r="A27" s="27"/>
      <c r="B27" s="14" t="str">
        <f>CONCATENATE("     ","Depreciation                                      ")</f>
        <v xml:space="preserve">     Depreciation                                      </v>
      </c>
      <c r="C27" s="14"/>
      <c r="D27" s="1">
        <f>SUM(OSRRefD22_2x_0)</f>
        <v>1000.91</v>
      </c>
      <c r="E27" s="1"/>
      <c r="F27" s="5">
        <f t="shared" si="8"/>
        <v>0</v>
      </c>
      <c r="G27" s="1"/>
      <c r="H27" s="1">
        <f>SUM(OSRRefH22_2x_0)</f>
        <v>1001</v>
      </c>
      <c r="I27" s="1"/>
      <c r="J27" s="5">
        <f t="shared" si="9"/>
        <v>0</v>
      </c>
      <c r="K27" s="1"/>
      <c r="L27" s="1">
        <f t="shared" si="10"/>
        <v>-9.0000000000031832E-2</v>
      </c>
      <c r="M27" s="1"/>
      <c r="N27" s="5">
        <f t="shared" si="11"/>
        <v>-8.9910089910121704E-5</v>
      </c>
      <c r="O27" s="14"/>
      <c r="P27" s="1">
        <f>SUM(OSRRefP22_2x_0)</f>
        <v>6005.46</v>
      </c>
      <c r="Q27" s="1"/>
      <c r="R27" s="5">
        <f t="shared" si="12"/>
        <v>0</v>
      </c>
      <c r="S27" s="1"/>
      <c r="T27" s="1">
        <f>SUM(OSRRefT22_2x_0)</f>
        <v>6006</v>
      </c>
      <c r="U27" s="1"/>
      <c r="V27" s="5">
        <f t="shared" si="13"/>
        <v>0</v>
      </c>
      <c r="W27" s="1"/>
      <c r="X27" s="1">
        <f t="shared" si="14"/>
        <v>-0.53999999999996362</v>
      </c>
      <c r="Y27" s="1"/>
      <c r="Z27" s="5">
        <f t="shared" si="15"/>
        <v>-8.9910089910083852E-5</v>
      </c>
    </row>
    <row r="28" spans="1:26" s="24" customFormat="1" hidden="1" outlineLevel="2" x14ac:dyDescent="0.25">
      <c r="A28" s="29"/>
      <c r="B28" s="11" t="str">
        <f>CONCATENATE("          ", "6322", " - ", "EQUIPMENT DEPRECIATION EXPENSE")</f>
        <v xml:space="preserve">          6322 - EQUIPMENT DEPRECIATION EXPENSE</v>
      </c>
      <c r="C28" s="11"/>
      <c r="D28" s="7">
        <v>1000.91</v>
      </c>
      <c r="E28" s="2"/>
      <c r="F28" s="6">
        <f t="shared" si="8"/>
        <v>0</v>
      </c>
      <c r="G28" s="2"/>
      <c r="H28" s="7">
        <v>1001</v>
      </c>
      <c r="I28" s="2"/>
      <c r="J28" s="6">
        <f t="shared" si="9"/>
        <v>0</v>
      </c>
      <c r="K28" s="2"/>
      <c r="L28" s="7">
        <f t="shared" si="10"/>
        <v>-9.0000000000031832E-2</v>
      </c>
      <c r="M28" s="2"/>
      <c r="N28" s="6">
        <f t="shared" si="11"/>
        <v>-8.9910089910121704E-5</v>
      </c>
      <c r="O28" s="11"/>
      <c r="P28" s="7">
        <v>6005.46</v>
      </c>
      <c r="Q28" s="2"/>
      <c r="R28" s="6">
        <f t="shared" si="12"/>
        <v>0</v>
      </c>
      <c r="S28" s="2"/>
      <c r="T28" s="7">
        <v>6006</v>
      </c>
      <c r="U28" s="2"/>
      <c r="V28" s="6">
        <f t="shared" si="13"/>
        <v>0</v>
      </c>
      <c r="W28" s="2"/>
      <c r="X28" s="7">
        <f t="shared" si="14"/>
        <v>-0.53999999999996362</v>
      </c>
      <c r="Y28" s="2"/>
      <c r="Z28" s="6">
        <f t="shared" si="15"/>
        <v>-8.9910089910083852E-5</v>
      </c>
    </row>
    <row r="29" spans="1:26" s="28" customFormat="1" outlineLevel="1" collapsed="1" x14ac:dyDescent="0.25">
      <c r="A29" s="27"/>
      <c r="B29" s="14" t="str">
        <f>CONCATENATE("     ","General                                           ")</f>
        <v xml:space="preserve">     General                                           </v>
      </c>
      <c r="C29" s="14"/>
      <c r="D29" s="1">
        <f>SUM(OSRRefD22_3x_0)</f>
        <v>0</v>
      </c>
      <c r="E29" s="1"/>
      <c r="F29" s="5">
        <f t="shared" si="8"/>
        <v>0</v>
      </c>
      <c r="G29" s="1"/>
      <c r="H29" s="1">
        <f>SUM(OSRRefH22_3x_0)</f>
        <v>0</v>
      </c>
      <c r="I29" s="1"/>
      <c r="J29" s="5">
        <f t="shared" si="9"/>
        <v>0</v>
      </c>
      <c r="K29" s="1"/>
      <c r="L29" s="1">
        <f t="shared" si="10"/>
        <v>0</v>
      </c>
      <c r="M29" s="1"/>
      <c r="N29" s="5">
        <f t="shared" si="11"/>
        <v>0</v>
      </c>
      <c r="O29" s="14"/>
      <c r="P29" s="1">
        <f>SUM(OSRRefP22_3x_0)</f>
        <v>455</v>
      </c>
      <c r="Q29" s="1"/>
      <c r="R29" s="5">
        <f t="shared" si="12"/>
        <v>0</v>
      </c>
      <c r="S29" s="1"/>
      <c r="T29" s="1">
        <f>SUM(OSRRefT22_3x_0)</f>
        <v>0</v>
      </c>
      <c r="U29" s="1"/>
      <c r="V29" s="5">
        <f t="shared" si="13"/>
        <v>0</v>
      </c>
      <c r="W29" s="1"/>
      <c r="X29" s="1">
        <f t="shared" si="14"/>
        <v>455</v>
      </c>
      <c r="Y29" s="1"/>
      <c r="Z29" s="5">
        <f t="shared" si="15"/>
        <v>0</v>
      </c>
    </row>
    <row r="30" spans="1:26" s="24" customFormat="1" hidden="1" outlineLevel="2" x14ac:dyDescent="0.25">
      <c r="A30" s="29"/>
      <c r="B30" s="11" t="str">
        <f>CONCATENATE("          ", "6279", " - ", "GENERAL EXPENSE")</f>
        <v xml:space="preserve">          6279 - GENERAL EXPENSE</v>
      </c>
      <c r="C30" s="11"/>
      <c r="D30" s="7"/>
      <c r="E30" s="2"/>
      <c r="F30" s="6">
        <f t="shared" si="8"/>
        <v>0</v>
      </c>
      <c r="G30" s="2"/>
      <c r="H30" s="7"/>
      <c r="I30" s="2"/>
      <c r="J30" s="6">
        <f t="shared" si="9"/>
        <v>0</v>
      </c>
      <c r="K30" s="2"/>
      <c r="L30" s="7">
        <f t="shared" si="10"/>
        <v>0</v>
      </c>
      <c r="M30" s="2"/>
      <c r="N30" s="6">
        <f t="shared" si="11"/>
        <v>0</v>
      </c>
      <c r="O30" s="11"/>
      <c r="P30" s="7">
        <v>455</v>
      </c>
      <c r="Q30" s="2"/>
      <c r="R30" s="6">
        <f t="shared" si="12"/>
        <v>0</v>
      </c>
      <c r="S30" s="2"/>
      <c r="T30" s="7"/>
      <c r="U30" s="2"/>
      <c r="V30" s="6">
        <f t="shared" si="13"/>
        <v>0</v>
      </c>
      <c r="W30" s="2"/>
      <c r="X30" s="7">
        <f t="shared" si="14"/>
        <v>455</v>
      </c>
      <c r="Y30" s="2"/>
      <c r="Z30" s="6">
        <f t="shared" si="15"/>
        <v>0</v>
      </c>
    </row>
    <row r="31" spans="1:26" s="28" customFormat="1" outlineLevel="1" collapsed="1" x14ac:dyDescent="0.25">
      <c r="A31" s="27"/>
      <c r="B31" s="14" t="str">
        <f>CONCATENATE("     ","Repair and Maintenance                            ")</f>
        <v xml:space="preserve">     Repair and Maintenance                            </v>
      </c>
      <c r="C31" s="14"/>
      <c r="D31" s="1">
        <f>SUM(OSRRefD22_4x_0)</f>
        <v>0</v>
      </c>
      <c r="E31" s="1"/>
      <c r="F31" s="5">
        <f t="shared" si="8"/>
        <v>0</v>
      </c>
      <c r="G31" s="1"/>
      <c r="H31" s="1">
        <f>SUM(OSRRefH22_4x_0)</f>
        <v>0</v>
      </c>
      <c r="I31" s="1"/>
      <c r="J31" s="5">
        <f t="shared" si="9"/>
        <v>0</v>
      </c>
      <c r="K31" s="1"/>
      <c r="L31" s="1">
        <f t="shared" si="10"/>
        <v>0</v>
      </c>
      <c r="M31" s="1"/>
      <c r="N31" s="5">
        <f t="shared" si="11"/>
        <v>0</v>
      </c>
      <c r="O31" s="14"/>
      <c r="P31" s="1">
        <f>SUM(OSRRefP22_4x_0)</f>
        <v>242.03</v>
      </c>
      <c r="Q31" s="1"/>
      <c r="R31" s="5">
        <f t="shared" si="12"/>
        <v>0</v>
      </c>
      <c r="S31" s="1"/>
      <c r="T31" s="1">
        <f>SUM(OSRRefT22_4x_0)</f>
        <v>0</v>
      </c>
      <c r="U31" s="1"/>
      <c r="V31" s="5">
        <f t="shared" si="13"/>
        <v>0</v>
      </c>
      <c r="W31" s="1"/>
      <c r="X31" s="1">
        <f t="shared" si="14"/>
        <v>242.03</v>
      </c>
      <c r="Y31" s="1"/>
      <c r="Z31" s="5">
        <f t="shared" si="15"/>
        <v>0</v>
      </c>
    </row>
    <row r="32" spans="1:26" s="24" customFormat="1" hidden="1" outlineLevel="2" x14ac:dyDescent="0.25">
      <c r="A32" s="29"/>
      <c r="B32" s="11" t="str">
        <f>CONCATENATE("          ", "6373", " - ", "MAINTENANCE CONTRACTS")</f>
        <v xml:space="preserve">          6373 - MAINTENANCE CONTRACTS</v>
      </c>
      <c r="C32" s="11"/>
      <c r="D32" s="7"/>
      <c r="E32" s="2"/>
      <c r="F32" s="6">
        <f t="shared" si="8"/>
        <v>0</v>
      </c>
      <c r="G32" s="2"/>
      <c r="H32" s="7"/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>
        <v>235.8</v>
      </c>
      <c r="Q32" s="2"/>
      <c r="R32" s="6">
        <f t="shared" si="12"/>
        <v>0</v>
      </c>
      <c r="S32" s="2"/>
      <c r="T32" s="7"/>
      <c r="U32" s="2"/>
      <c r="V32" s="6">
        <f t="shared" si="13"/>
        <v>0</v>
      </c>
      <c r="W32" s="2"/>
      <c r="X32" s="7">
        <f t="shared" si="14"/>
        <v>235.8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"6375", " - ", "OUTSIDE REPAIRS &amp; MAINTENANCE")</f>
        <v xml:space="preserve">          6375 - OUTSIDE REPAIRS &amp; MAINTENANCE</v>
      </c>
      <c r="C33" s="11"/>
      <c r="D33" s="7"/>
      <c r="E33" s="2"/>
      <c r="F33" s="6">
        <f t="shared" si="8"/>
        <v>0</v>
      </c>
      <c r="G33" s="2"/>
      <c r="H33" s="7"/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>
        <v>6.23</v>
      </c>
      <c r="Q33" s="2"/>
      <c r="R33" s="6">
        <f t="shared" si="12"/>
        <v>0</v>
      </c>
      <c r="S33" s="2"/>
      <c r="T33" s="7"/>
      <c r="U33" s="2"/>
      <c r="V33" s="6">
        <f t="shared" si="13"/>
        <v>0</v>
      </c>
      <c r="W33" s="2"/>
      <c r="X33" s="7">
        <f t="shared" si="14"/>
        <v>6.23</v>
      </c>
      <c r="Y33" s="2"/>
      <c r="Z33" s="6">
        <f t="shared" si="15"/>
        <v>0</v>
      </c>
    </row>
    <row r="34" spans="1:26" s="28" customFormat="1" outlineLevel="1" collapsed="1" x14ac:dyDescent="0.25">
      <c r="A34" s="27"/>
      <c r="B34" s="14" t="str">
        <f>CONCATENATE("     ","Telephone/Data Lines                              ")</f>
        <v xml:space="preserve">     Telephone/Data Lines                              </v>
      </c>
      <c r="C34" s="14"/>
      <c r="D34" s="1">
        <f>SUM(OSRRefD22_5x_0)</f>
        <v>0</v>
      </c>
      <c r="E34" s="1"/>
      <c r="F34" s="5">
        <f t="shared" ref="F34:F35" si="16">IF(D$12=0,0,D34/D$12)</f>
        <v>0</v>
      </c>
      <c r="G34" s="1"/>
      <c r="H34" s="1">
        <f>SUM(OSRRefH22_5x_0)</f>
        <v>0</v>
      </c>
      <c r="I34" s="1"/>
      <c r="J34" s="5">
        <f t="shared" ref="J34:J35" si="17">IF(H$12=0,0,H34/H$12)</f>
        <v>0</v>
      </c>
      <c r="K34" s="1"/>
      <c r="L34" s="1">
        <f t="shared" ref="L34:L35" si="18">+D34-H34</f>
        <v>0</v>
      </c>
      <c r="M34" s="1"/>
      <c r="N34" s="5">
        <f t="shared" ref="N34:N35" si="19">IF(H34=0,0,L34/H34)</f>
        <v>0</v>
      </c>
      <c r="O34" s="14"/>
      <c r="P34" s="1">
        <f>SUM(OSRRefP22_5x_0)</f>
        <v>132.54</v>
      </c>
      <c r="Q34" s="1"/>
      <c r="R34" s="5">
        <f t="shared" ref="R34:R35" si="20">IF(P$12=0,0,P34/P$12)</f>
        <v>0</v>
      </c>
      <c r="S34" s="1"/>
      <c r="T34" s="1">
        <f>SUM(OSRRefT22_5x_0)</f>
        <v>0</v>
      </c>
      <c r="U34" s="1"/>
      <c r="V34" s="5">
        <f t="shared" ref="V34:V35" si="21">IF(T$12=0,0,T34/T$12)</f>
        <v>0</v>
      </c>
      <c r="W34" s="1"/>
      <c r="X34" s="1">
        <f t="shared" ref="X34:X35" si="22">+P34-T34</f>
        <v>132.54</v>
      </c>
      <c r="Y34" s="1"/>
      <c r="Z34" s="5">
        <f t="shared" ref="Z34:Z35" si="23">IF(T34=0,0,X34/T34)</f>
        <v>0</v>
      </c>
    </row>
    <row r="35" spans="1:26" s="24" customFormat="1" hidden="1" outlineLevel="2" x14ac:dyDescent="0.25">
      <c r="A35" s="29"/>
      <c r="B35" s="11" t="str">
        <f>CONCATENATE("          ", "6309", " - ", "TELEPHONE")</f>
        <v xml:space="preserve">          6309 - TELEPHONE</v>
      </c>
      <c r="C35" s="11"/>
      <c r="D35" s="7"/>
      <c r="E35" s="2"/>
      <c r="F35" s="6">
        <f t="shared" si="16"/>
        <v>0</v>
      </c>
      <c r="G35" s="2"/>
      <c r="H35" s="7"/>
      <c r="I35" s="2"/>
      <c r="J35" s="6">
        <f t="shared" si="17"/>
        <v>0</v>
      </c>
      <c r="K35" s="2"/>
      <c r="L35" s="7">
        <f t="shared" si="18"/>
        <v>0</v>
      </c>
      <c r="M35" s="2"/>
      <c r="N35" s="6">
        <f t="shared" si="19"/>
        <v>0</v>
      </c>
      <c r="O35" s="11"/>
      <c r="P35" s="7">
        <v>132.54</v>
      </c>
      <c r="Q35" s="2"/>
      <c r="R35" s="6">
        <f t="shared" si="20"/>
        <v>0</v>
      </c>
      <c r="S35" s="2"/>
      <c r="T35" s="7"/>
      <c r="U35" s="2"/>
      <c r="V35" s="6">
        <f t="shared" si="21"/>
        <v>0</v>
      </c>
      <c r="W35" s="2"/>
      <c r="X35" s="7">
        <f t="shared" si="22"/>
        <v>132.54</v>
      </c>
      <c r="Y35" s="2"/>
      <c r="Z35" s="6">
        <f t="shared" si="23"/>
        <v>0</v>
      </c>
    </row>
    <row r="36" spans="1:26" s="53" customFormat="1" x14ac:dyDescent="0.25">
      <c r="A36" s="36"/>
      <c r="B36" s="36"/>
      <c r="C36" s="36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6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3" customFormat="1" x14ac:dyDescent="0.25">
      <c r="A37" s="10"/>
      <c r="B37" s="26" t="s">
        <v>0</v>
      </c>
      <c r="C37" s="10"/>
      <c r="D37" s="4">
        <f>SUM(0)</f>
        <v>0</v>
      </c>
      <c r="E37" s="4"/>
      <c r="F37" s="12">
        <f>IF(D$12=0,0,D37/D$12)</f>
        <v>0</v>
      </c>
      <c r="G37" s="4"/>
      <c r="H37" s="4">
        <f>SUM(0)</f>
        <v>0</v>
      </c>
      <c r="I37" s="4"/>
      <c r="J37" s="12">
        <f>IF(H$12=0,0,H37/H$12)</f>
        <v>0</v>
      </c>
      <c r="K37" s="4"/>
      <c r="L37" s="4">
        <f>+D37-H37</f>
        <v>0</v>
      </c>
      <c r="M37" s="4"/>
      <c r="N37" s="12">
        <f>IF(H37=0,0,L37/H37)</f>
        <v>0</v>
      </c>
      <c r="O37" s="10"/>
      <c r="P37" s="4">
        <f>SUM(0)</f>
        <v>0</v>
      </c>
      <c r="Q37" s="4"/>
      <c r="R37" s="12">
        <f>IF(P$12=0,0,P37/P$12)</f>
        <v>0</v>
      </c>
      <c r="S37" s="4"/>
      <c r="T37" s="4">
        <f>SUM(0)</f>
        <v>0</v>
      </c>
      <c r="U37" s="4"/>
      <c r="V37" s="12">
        <f>IF(T$12=0,0,T37/T$12)</f>
        <v>0</v>
      </c>
      <c r="W37" s="4"/>
      <c r="X37" s="4">
        <f>+P37-T37</f>
        <v>0</v>
      </c>
      <c r="Y37" s="4"/>
      <c r="Z37" s="12">
        <f>IF(T37=0,0,X37/T37)</f>
        <v>0</v>
      </c>
    </row>
    <row r="38" spans="1:26" x14ac:dyDescent="0.25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25">
      <c r="A39" s="10"/>
      <c r="B39" s="25" t="s">
        <v>3</v>
      </c>
      <c r="C39" s="25"/>
      <c r="D39" s="21">
        <f>+D16-D18+D37</f>
        <v>-1000.91</v>
      </c>
      <c r="E39" s="13"/>
      <c r="F39" s="19">
        <f>IF(D$12=0,0,D39/D$12)</f>
        <v>0</v>
      </c>
      <c r="G39" s="13"/>
      <c r="H39" s="21">
        <f>+H16-H18+H37</f>
        <v>-1001</v>
      </c>
      <c r="I39" s="13"/>
      <c r="J39" s="19">
        <f>IF(H$12=0,0,H39/H$12)</f>
        <v>0</v>
      </c>
      <c r="K39" s="16"/>
      <c r="L39" s="21">
        <f>+D39-H39</f>
        <v>9.0000000000031832E-2</v>
      </c>
      <c r="M39" s="16"/>
      <c r="N39" s="19">
        <f>IF(H39=0,0,L39/H39)</f>
        <v>-8.9910089910121704E-5</v>
      </c>
      <c r="O39" s="26"/>
      <c r="P39" s="21">
        <f>+P16-P18+P37</f>
        <v>-9634.14</v>
      </c>
      <c r="Q39" s="13"/>
      <c r="R39" s="19">
        <f>IF(P$12=0,0,P39/P$12)</f>
        <v>0</v>
      </c>
      <c r="S39" s="13"/>
      <c r="T39" s="21">
        <f>+T16-T18+T37</f>
        <v>-6006</v>
      </c>
      <c r="U39" s="13"/>
      <c r="V39" s="19">
        <f>IF(T$12=0,0,T39/T$12)</f>
        <v>0</v>
      </c>
      <c r="W39" s="16"/>
      <c r="X39" s="21">
        <f>+P39-T39</f>
        <v>-3628.1399999999994</v>
      </c>
      <c r="Y39" s="16"/>
      <c r="Z39" s="19">
        <f>IF(T39=0,0,X39/T39)</f>
        <v>0.60408591408591394</v>
      </c>
    </row>
    <row r="40" spans="1:26" x14ac:dyDescent="0.25">
      <c r="A40" s="9"/>
      <c r="B40" s="10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x14ac:dyDescent="0.25">
      <c r="A41" s="52"/>
      <c r="B41" s="10" t="s">
        <v>14</v>
      </c>
      <c r="C41" s="10"/>
      <c r="D41" s="4"/>
      <c r="E41" s="4"/>
      <c r="F41" s="12">
        <f>IF(D$12=0,0,D41/D$12)</f>
        <v>0</v>
      </c>
      <c r="G41" s="4"/>
      <c r="H41" s="4"/>
      <c r="I41" s="4"/>
      <c r="J41" s="12">
        <f>IF(H$12=0,0,H41/H$12)</f>
        <v>0</v>
      </c>
      <c r="K41" s="4"/>
      <c r="L41" s="4">
        <f>+D41-H41</f>
        <v>0</v>
      </c>
      <c r="M41" s="4"/>
      <c r="N41" s="12">
        <f>IF(H41=0,0,L41/H41)</f>
        <v>0</v>
      </c>
      <c r="O41" s="10"/>
      <c r="P41" s="4"/>
      <c r="Q41" s="4"/>
      <c r="R41" s="12">
        <f>IF(P$12=0,0,P41/P$12)</f>
        <v>0</v>
      </c>
      <c r="S41" s="4"/>
      <c r="T41" s="4"/>
      <c r="U41" s="4"/>
      <c r="V41" s="12">
        <f>IF(T$12=0,0,T41/T$12)</f>
        <v>0</v>
      </c>
      <c r="W41" s="4"/>
      <c r="X41" s="4">
        <f>+P41-T41</f>
        <v>0</v>
      </c>
      <c r="Y41" s="4"/>
      <c r="Z41" s="12">
        <f>IF(T41=0,0,X41/T41)</f>
        <v>0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ht="15.75" thickBot="1" x14ac:dyDescent="0.3">
      <c r="A43" s="10"/>
      <c r="B43" s="25" t="s">
        <v>4</v>
      </c>
      <c r="C43" s="25"/>
      <c r="D43" s="34">
        <f>+D39-D41</f>
        <v>-1000.91</v>
      </c>
      <c r="E43" s="13"/>
      <c r="F43" s="31">
        <f>IF(D$12=0,0,D43/D$12)</f>
        <v>0</v>
      </c>
      <c r="G43" s="13"/>
      <c r="H43" s="34">
        <f>+H39-H41</f>
        <v>-1001</v>
      </c>
      <c r="I43" s="13"/>
      <c r="J43" s="31">
        <f>IF(H$12=0,0,H43/H$12)</f>
        <v>0</v>
      </c>
      <c r="K43" s="16"/>
      <c r="L43" s="34">
        <f>D43-H43</f>
        <v>9.0000000000031832E-2</v>
      </c>
      <c r="M43" s="16"/>
      <c r="N43" s="31">
        <f>IF(H43=0,0,L43/H43)</f>
        <v>-8.9910089910121704E-5</v>
      </c>
      <c r="O43" s="26"/>
      <c r="P43" s="34">
        <f>+P39-P41</f>
        <v>-9634.14</v>
      </c>
      <c r="Q43" s="13"/>
      <c r="R43" s="31">
        <f>IF(P$12=0,0,P43/P$12)</f>
        <v>0</v>
      </c>
      <c r="S43" s="13"/>
      <c r="T43" s="34">
        <f>+T39-T41</f>
        <v>-6006</v>
      </c>
      <c r="U43" s="13"/>
      <c r="V43" s="31">
        <f>IF(T$12=0,0,T43/T$12)</f>
        <v>0</v>
      </c>
      <c r="W43" s="16"/>
      <c r="X43" s="34">
        <f>P43-T43</f>
        <v>-3628.1399999999994</v>
      </c>
      <c r="Y43" s="16"/>
      <c r="Z43" s="31">
        <f>IF(T43=0,0,X43/T43)</f>
        <v>0.60408591408591394</v>
      </c>
    </row>
    <row r="44" spans="1:26" ht="15.75" thickTop="1" x14ac:dyDescent="0.25">
      <c r="A44" s="9"/>
      <c r="B44" s="9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x14ac:dyDescent="0.25">
      <c r="A45" s="9"/>
      <c r="B45" s="9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ht="15.75" thickBot="1" x14ac:dyDescent="0.3">
      <c r="A46" s="10"/>
      <c r="B46" s="25" t="s">
        <v>5</v>
      </c>
      <c r="C46" s="25"/>
      <c r="D46" s="33">
        <f>SUM(D43:D45)</f>
        <v>-1000.91</v>
      </c>
      <c r="E46" s="13"/>
      <c r="F46" s="32">
        <f>IF(D$12=0,0,D46/D$12)</f>
        <v>0</v>
      </c>
      <c r="G46" s="13"/>
      <c r="H46" s="33">
        <f>SUM(H43:H45)</f>
        <v>-1001</v>
      </c>
      <c r="I46" s="13"/>
      <c r="J46" s="32">
        <f>IF(H$12=0,0,H46/H$12)</f>
        <v>0</v>
      </c>
      <c r="K46" s="16"/>
      <c r="L46" s="33">
        <f>+D46-H46</f>
        <v>9.0000000000031832E-2</v>
      </c>
      <c r="M46" s="16"/>
      <c r="N46" s="32">
        <f>IF(H46=0,0,L46/H46)</f>
        <v>-8.9910089910121704E-5</v>
      </c>
      <c r="O46" s="26"/>
      <c r="P46" s="33">
        <f>SUM(P43:P45)</f>
        <v>-9634.14</v>
      </c>
      <c r="Q46" s="13"/>
      <c r="R46" s="32">
        <f>IF(P$12=0,0,P46/P$12)</f>
        <v>0</v>
      </c>
      <c r="S46" s="13"/>
      <c r="T46" s="33">
        <f>SUM(T43:T45)</f>
        <v>-6006</v>
      </c>
      <c r="U46" s="13"/>
      <c r="V46" s="32">
        <f>IF(T$12=0,0,T46/T$12)</f>
        <v>0</v>
      </c>
      <c r="W46" s="16"/>
      <c r="X46" s="33">
        <f>+P46-T46</f>
        <v>-3628.1399999999994</v>
      </c>
      <c r="Y46" s="16"/>
      <c r="Z46" s="32">
        <f>IF(T46=0,0,X46/T46)</f>
        <v>0.60408591408591394</v>
      </c>
    </row>
    <row r="47" spans="1:26" ht="15.75" thickTop="1" x14ac:dyDescent="0.25">
      <c r="A47" s="9"/>
      <c r="C47" s="9"/>
      <c r="D47" s="18"/>
      <c r="E47" s="18"/>
      <c r="G47" s="18"/>
      <c r="H47" s="18"/>
      <c r="I47" s="18"/>
      <c r="J47" s="43"/>
      <c r="K47" s="18"/>
      <c r="L47" s="18"/>
      <c r="M47" s="18"/>
      <c r="P47" s="18"/>
      <c r="Q47" s="18"/>
      <c r="R47" s="43"/>
      <c r="S47" s="18"/>
      <c r="T47" s="18"/>
      <c r="U47" s="18"/>
      <c r="V47" s="43"/>
      <c r="W47" s="18"/>
      <c r="X47" s="18"/>
    </row>
    <row r="48" spans="1:26" x14ac:dyDescent="0.25">
      <c r="A48" s="9"/>
      <c r="B48" s="63">
        <v>44209.518867476851</v>
      </c>
      <c r="D48" s="18"/>
      <c r="E48" s="18"/>
      <c r="G48" s="18"/>
      <c r="H48" s="18"/>
      <c r="I48" s="18"/>
      <c r="J48" s="43"/>
      <c r="K48" s="18"/>
      <c r="L48" s="18"/>
      <c r="M48" s="18"/>
      <c r="P48" s="18"/>
      <c r="Q48" s="18"/>
      <c r="R48" s="43"/>
      <c r="S48" s="18"/>
      <c r="T48" s="18"/>
      <c r="U48" s="18"/>
      <c r="V48" s="43"/>
      <c r="W48" s="18"/>
      <c r="X48" s="18"/>
    </row>
    <row r="49" spans="1:24" x14ac:dyDescent="0.25">
      <c r="A49" s="9"/>
      <c r="B49" s="60" t="s">
        <v>314</v>
      </c>
      <c r="D49" s="18"/>
      <c r="E49" s="18"/>
      <c r="G49" s="18"/>
      <c r="H49" s="18"/>
      <c r="I49" s="18"/>
      <c r="J49" s="43"/>
      <c r="K49" s="18"/>
      <c r="L49" s="18"/>
      <c r="M49" s="18"/>
      <c r="P49" s="18"/>
      <c r="Q49" s="18"/>
      <c r="R49" s="43"/>
      <c r="S49" s="18"/>
      <c r="T49" s="18"/>
      <c r="U49" s="18"/>
      <c r="V49" s="43"/>
      <c r="W49" s="18"/>
      <c r="X49" s="18"/>
    </row>
    <row r="50" spans="1:24" x14ac:dyDescent="0.25">
      <c r="A50" s="9"/>
      <c r="B50" s="58"/>
      <c r="D50" s="18"/>
      <c r="E50" s="18"/>
      <c r="G50" s="18"/>
      <c r="H50" s="18"/>
      <c r="I50" s="18"/>
      <c r="J50" s="43"/>
      <c r="K50" s="18"/>
      <c r="L50" s="18"/>
      <c r="M50" s="18"/>
      <c r="P50" s="18"/>
      <c r="Q50" s="18"/>
      <c r="R50" s="43"/>
      <c r="S50" s="18"/>
      <c r="T50" s="18"/>
      <c r="U50" s="18"/>
      <c r="V50" s="43"/>
      <c r="W50" s="18"/>
      <c r="X50" s="18"/>
    </row>
    <row r="51" spans="1:24" x14ac:dyDescent="0.25">
      <c r="D51" s="18"/>
      <c r="E51" s="18"/>
      <c r="G51" s="18"/>
      <c r="H51" s="18"/>
      <c r="I51" s="18"/>
      <c r="J51" s="43"/>
      <c r="K51" s="18"/>
      <c r="L51" s="18"/>
      <c r="M51" s="18"/>
      <c r="P51" s="18"/>
      <c r="Q51" s="18"/>
      <c r="R51" s="43"/>
      <c r="S51" s="18"/>
      <c r="T51" s="18"/>
      <c r="U51" s="18"/>
      <c r="V51" s="43"/>
      <c r="W51" s="18"/>
      <c r="X51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","455", " - ", "Vending")</f>
        <v>Department 455 - Vending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6"/>
      <c r="L16" s="21">
        <f>+D16-H16</f>
        <v>0</v>
      </c>
      <c r="M16" s="16"/>
      <c r="N16" s="19">
        <f>IF(H16=0,0,L16/H16)</f>
        <v>0</v>
      </c>
      <c r="O16" s="26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6"/>
      <c r="X16" s="21">
        <f>+P16-T16</f>
        <v>0</v>
      </c>
      <c r="Y16" s="16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SUM(0)</f>
        <v>0</v>
      </c>
      <c r="E18" s="20"/>
      <c r="F18" s="30">
        <f>IF(D$12=0,0,D18/D$12)</f>
        <v>0</v>
      </c>
      <c r="G18" s="20"/>
      <c r="H18" s="20">
        <f>SUM(0)</f>
        <v>0</v>
      </c>
      <c r="I18" s="20"/>
      <c r="J18" s="30">
        <f>IF(H$12=0,0,H18/H$12)</f>
        <v>0</v>
      </c>
      <c r="K18" s="4"/>
      <c r="L18" s="20">
        <f>+D18-H18</f>
        <v>0</v>
      </c>
      <c r="M18" s="4"/>
      <c r="N18" s="30">
        <f>IF(H18=0,0,L18/H18)</f>
        <v>0</v>
      </c>
      <c r="O18" s="10"/>
      <c r="P18" s="20">
        <f>SUM(0)</f>
        <v>0</v>
      </c>
      <c r="Q18" s="20"/>
      <c r="R18" s="30">
        <f>IF(P$12=0,0,P18/P$12)</f>
        <v>0</v>
      </c>
      <c r="S18" s="20"/>
      <c r="T18" s="20">
        <f>SUM(0)</f>
        <v>0</v>
      </c>
      <c r="U18" s="20"/>
      <c r="V18" s="30">
        <f>IF(T$12=0,0,T18/T$12)</f>
        <v>0</v>
      </c>
      <c r="W18" s="4"/>
      <c r="X18" s="20">
        <f>+P18-T18</f>
        <v>0</v>
      </c>
      <c r="Y18" s="4"/>
      <c r="Z18" s="30">
        <f>IF(T18=0,0,X18/T18)</f>
        <v>0</v>
      </c>
    </row>
    <row r="19" spans="1:26" s="5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collapsed="1" x14ac:dyDescent="0.25">
      <c r="A20" s="10"/>
      <c r="B20" s="26" t="s">
        <v>0</v>
      </c>
      <c r="C20" s="10"/>
      <c r="D20" s="4">
        <f>SUM(OSRRefD25x_0)</f>
        <v>10316.52</v>
      </c>
      <c r="E20" s="4"/>
      <c r="F20" s="12">
        <f t="shared" ref="F20:F22" si="0">IF(D$12=0,0,D20/D$12)</f>
        <v>0</v>
      </c>
      <c r="G20" s="4"/>
      <c r="H20" s="4">
        <f>SUM(OSRRefH25x_0)</f>
        <v>0</v>
      </c>
      <c r="I20" s="4"/>
      <c r="J20" s="12">
        <f t="shared" ref="J20:J22" si="1">IF(H$12=0,0,H20/H$12)</f>
        <v>0</v>
      </c>
      <c r="K20" s="4"/>
      <c r="L20" s="4">
        <f t="shared" ref="L20:L22" si="2">+D20-H20</f>
        <v>10316.52</v>
      </c>
      <c r="M20" s="4"/>
      <c r="N20" s="12">
        <f t="shared" ref="N20:N22" si="3">IF(H20=0,0,L20/H20)</f>
        <v>0</v>
      </c>
      <c r="O20" s="10"/>
      <c r="P20" s="4">
        <f>SUM(OSRRefP25x_0)</f>
        <v>13016.99</v>
      </c>
      <c r="Q20" s="4"/>
      <c r="R20" s="12">
        <f t="shared" ref="R20:R22" si="4">IF(P$12=0,0,P20/P$12)</f>
        <v>0</v>
      </c>
      <c r="S20" s="4"/>
      <c r="T20" s="4">
        <f>SUM(OSRRefT25x_0)</f>
        <v>0</v>
      </c>
      <c r="U20" s="4"/>
      <c r="V20" s="12">
        <f t="shared" ref="V20:V22" si="5">IF(T$12=0,0,T20/T$12)</f>
        <v>0</v>
      </c>
      <c r="W20" s="4"/>
      <c r="X20" s="4">
        <f t="shared" ref="X20:X22" si="6">+P20-T20</f>
        <v>13016.99</v>
      </c>
      <c r="Y20" s="4"/>
      <c r="Z20" s="12">
        <f t="shared" ref="Z20:Z22" si="7">IF(T20=0,0,X20/T20)</f>
        <v>0</v>
      </c>
    </row>
    <row r="21" spans="1:26" s="24" customFormat="1" hidden="1" outlineLevel="1" x14ac:dyDescent="0.25">
      <c r="A21" s="51"/>
      <c r="B21" s="11" t="str">
        <f>CONCATENATE("          ", "9160", " - ", "MISC. INCOME")</f>
        <v xml:space="preserve">          9160 - MISC. INCOME</v>
      </c>
      <c r="C21" s="11"/>
      <c r="D21" s="2">
        <f>--10000</f>
        <v>10000</v>
      </c>
      <c r="E21" s="2"/>
      <c r="F21" s="22">
        <f t="shared" si="0"/>
        <v>0</v>
      </c>
      <c r="G21" s="2"/>
      <c r="H21" s="2"/>
      <c r="I21" s="2"/>
      <c r="J21" s="22">
        <f t="shared" si="1"/>
        <v>0</v>
      </c>
      <c r="K21" s="2"/>
      <c r="L21" s="2">
        <f t="shared" si="2"/>
        <v>10000</v>
      </c>
      <c r="M21" s="2"/>
      <c r="N21" s="22">
        <f t="shared" si="3"/>
        <v>0</v>
      </c>
      <c r="O21" s="11"/>
      <c r="P21" s="2">
        <f>--11701.82</f>
        <v>11701.82</v>
      </c>
      <c r="Q21" s="2"/>
      <c r="R21" s="22">
        <f t="shared" si="4"/>
        <v>0</v>
      </c>
      <c r="S21" s="2"/>
      <c r="T21" s="2"/>
      <c r="U21" s="2"/>
      <c r="V21" s="22">
        <f t="shared" si="5"/>
        <v>0</v>
      </c>
      <c r="W21" s="2"/>
      <c r="X21" s="2">
        <f t="shared" si="6"/>
        <v>11701.82</v>
      </c>
      <c r="Y21" s="2"/>
      <c r="Z21" s="22">
        <f t="shared" si="7"/>
        <v>0</v>
      </c>
    </row>
    <row r="22" spans="1:26" s="24" customFormat="1" hidden="1" outlineLevel="1" x14ac:dyDescent="0.25">
      <c r="A22" s="51"/>
      <c r="B22" s="11" t="str">
        <f>CONCATENATE("          ", "9165", " - ", "OTHER INCOME")</f>
        <v xml:space="preserve">          9165 - OTHER INCOME</v>
      </c>
      <c r="C22" s="11"/>
      <c r="D22" s="2">
        <f>--316.52</f>
        <v>316.52</v>
      </c>
      <c r="E22" s="2"/>
      <c r="F22" s="22">
        <f t="shared" si="0"/>
        <v>0</v>
      </c>
      <c r="G22" s="2"/>
      <c r="H22" s="2"/>
      <c r="I22" s="2"/>
      <c r="J22" s="22">
        <f t="shared" si="1"/>
        <v>0</v>
      </c>
      <c r="K22" s="2"/>
      <c r="L22" s="2">
        <f t="shared" si="2"/>
        <v>316.52</v>
      </c>
      <c r="M22" s="2"/>
      <c r="N22" s="22">
        <f t="shared" si="3"/>
        <v>0</v>
      </c>
      <c r="O22" s="11"/>
      <c r="P22" s="2">
        <f>--1315.17</f>
        <v>1315.17</v>
      </c>
      <c r="Q22" s="2"/>
      <c r="R22" s="22">
        <f t="shared" si="4"/>
        <v>0</v>
      </c>
      <c r="S22" s="2"/>
      <c r="T22" s="2"/>
      <c r="U22" s="2"/>
      <c r="V22" s="22">
        <f t="shared" si="5"/>
        <v>0</v>
      </c>
      <c r="W22" s="2"/>
      <c r="X22" s="2">
        <f t="shared" si="6"/>
        <v>1315.17</v>
      </c>
      <c r="Y22" s="2"/>
      <c r="Z22" s="22">
        <f t="shared" si="7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5" t="s">
        <v>3</v>
      </c>
      <c r="C24" s="25"/>
      <c r="D24" s="21">
        <f>+D16-D18+D20</f>
        <v>10316.52</v>
      </c>
      <c r="E24" s="13"/>
      <c r="F24" s="19">
        <f>IF(D$12=0,0,D24/D$12)</f>
        <v>0</v>
      </c>
      <c r="G24" s="13"/>
      <c r="H24" s="21">
        <f>+H16-H18+H20</f>
        <v>0</v>
      </c>
      <c r="I24" s="13"/>
      <c r="J24" s="19">
        <f>IF(H$12=0,0,H24/H$12)</f>
        <v>0</v>
      </c>
      <c r="K24" s="16"/>
      <c r="L24" s="21">
        <f>+D24-H24</f>
        <v>10316.52</v>
      </c>
      <c r="M24" s="16"/>
      <c r="N24" s="19">
        <f>IF(H24=0,0,L24/H24)</f>
        <v>0</v>
      </c>
      <c r="O24" s="26"/>
      <c r="P24" s="21">
        <f>+P16-P18+P20</f>
        <v>13016.99</v>
      </c>
      <c r="Q24" s="13"/>
      <c r="R24" s="19">
        <f>IF(P$12=0,0,P24/P$12)</f>
        <v>0</v>
      </c>
      <c r="S24" s="13"/>
      <c r="T24" s="21">
        <f>+T16-T18+T20</f>
        <v>0</v>
      </c>
      <c r="U24" s="13"/>
      <c r="V24" s="19">
        <f>IF(T$12=0,0,T24/T$12)</f>
        <v>0</v>
      </c>
      <c r="W24" s="16"/>
      <c r="X24" s="21">
        <f>+P24-T24</f>
        <v>13016.99</v>
      </c>
      <c r="Y24" s="16"/>
      <c r="Z24" s="19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2"/>
      <c r="B26" s="10" t="s">
        <v>14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5" t="s">
        <v>4</v>
      </c>
      <c r="C28" s="25"/>
      <c r="D28" s="34">
        <f>+D24-D26</f>
        <v>10316.52</v>
      </c>
      <c r="E28" s="13"/>
      <c r="F28" s="31">
        <f>IF(D$12=0,0,D28/D$12)</f>
        <v>0</v>
      </c>
      <c r="G28" s="13"/>
      <c r="H28" s="34">
        <f>+H24-H26</f>
        <v>0</v>
      </c>
      <c r="I28" s="13"/>
      <c r="J28" s="31">
        <f>IF(H$12=0,0,H28/H$12)</f>
        <v>0</v>
      </c>
      <c r="K28" s="16"/>
      <c r="L28" s="34">
        <f>D28-H28</f>
        <v>10316.52</v>
      </c>
      <c r="M28" s="16"/>
      <c r="N28" s="31">
        <f>IF(H28=0,0,L28/H28)</f>
        <v>0</v>
      </c>
      <c r="O28" s="26"/>
      <c r="P28" s="34">
        <f>+P24-P26</f>
        <v>13016.99</v>
      </c>
      <c r="Q28" s="13"/>
      <c r="R28" s="31">
        <f>IF(P$12=0,0,P28/P$12)</f>
        <v>0</v>
      </c>
      <c r="S28" s="13"/>
      <c r="T28" s="34">
        <f>+T24-T26</f>
        <v>0</v>
      </c>
      <c r="U28" s="13"/>
      <c r="V28" s="31">
        <f>IF(T$12=0,0,T28/T$12)</f>
        <v>0</v>
      </c>
      <c r="W28" s="16"/>
      <c r="X28" s="34">
        <f>P28-T28</f>
        <v>13016.99</v>
      </c>
      <c r="Y28" s="16"/>
      <c r="Z28" s="31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5</v>
      </c>
      <c r="C31" s="25"/>
      <c r="D31" s="33">
        <f>SUM(D28:D30)</f>
        <v>10316.52</v>
      </c>
      <c r="E31" s="13"/>
      <c r="F31" s="32">
        <f>IF(D$12=0,0,D31/D$12)</f>
        <v>0</v>
      </c>
      <c r="G31" s="13"/>
      <c r="H31" s="33">
        <f>SUM(H28:H30)</f>
        <v>0</v>
      </c>
      <c r="I31" s="13"/>
      <c r="J31" s="32">
        <f>IF(H$12=0,0,H31/H$12)</f>
        <v>0</v>
      </c>
      <c r="K31" s="16"/>
      <c r="L31" s="33">
        <f>+D31-H31</f>
        <v>10316.52</v>
      </c>
      <c r="M31" s="16"/>
      <c r="N31" s="32">
        <f>IF(H31=0,0,L31/H31)</f>
        <v>0</v>
      </c>
      <c r="O31" s="26"/>
      <c r="P31" s="33">
        <f>SUM(P28:P30)</f>
        <v>13016.99</v>
      </c>
      <c r="Q31" s="13"/>
      <c r="R31" s="32">
        <f>IF(P$12=0,0,P31/P$12)</f>
        <v>0</v>
      </c>
      <c r="S31" s="13"/>
      <c r="T31" s="33">
        <f>SUM(T28:T30)</f>
        <v>0</v>
      </c>
      <c r="U31" s="13"/>
      <c r="V31" s="32">
        <f>IF(T$12=0,0,T31/T$12)</f>
        <v>0</v>
      </c>
      <c r="W31" s="16"/>
      <c r="X31" s="33">
        <f>+P31-T31</f>
        <v>13016.99</v>
      </c>
      <c r="Y31" s="16"/>
      <c r="Z31" s="32">
        <f>IF(T31=0,0,X31/T31)</f>
        <v>0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63">
        <v>44209.518956481479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60" t="s">
        <v>314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8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302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85078.92</v>
      </c>
      <c r="E12" s="4"/>
      <c r="F12" s="12"/>
      <c r="G12" s="4"/>
      <c r="H12" s="4">
        <f>SUM(OSRRefH13x_0)</f>
        <v>293135</v>
      </c>
      <c r="I12" s="4"/>
      <c r="J12" s="12"/>
      <c r="K12" s="4"/>
      <c r="L12" s="4">
        <f t="shared" ref="L12:L16" si="0">+D12-H12</f>
        <v>-208056.08000000002</v>
      </c>
      <c r="M12" s="4"/>
      <c r="N12" s="12">
        <f t="shared" ref="N12:N16" si="1">IF(H12=0,0,L12/H12)</f>
        <v>-0.70976198679789182</v>
      </c>
      <c r="O12" s="10"/>
      <c r="P12" s="4">
        <f>SUM(OSRRefP13x_0)</f>
        <v>636499.86</v>
      </c>
      <c r="Q12" s="4"/>
      <c r="R12" s="12"/>
      <c r="S12" s="4"/>
      <c r="T12" s="4">
        <f>SUM(OSRRefT13x_0)</f>
        <v>1828659</v>
      </c>
      <c r="U12" s="4"/>
      <c r="V12" s="12"/>
      <c r="W12" s="4"/>
      <c r="X12" s="4">
        <f t="shared" ref="X12:X16" si="2">+P12-T12</f>
        <v>-1192159.1400000001</v>
      </c>
      <c r="Y12" s="4"/>
      <c r="Z12" s="12">
        <f t="shared" ref="Z12:Z16" si="3">IF(T12=0,0,X12/T12)</f>
        <v>-0.65193080831363315</v>
      </c>
    </row>
    <row r="13" spans="1:26" s="24" customFormat="1" hidden="1" outlineLevel="1" x14ac:dyDescent="0.2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>--38.05</f>
        <v>38.049999999999997</v>
      </c>
      <c r="E13" s="2"/>
      <c r="F13" s="22"/>
      <c r="G13" s="2"/>
      <c r="H13" s="2"/>
      <c r="I13" s="2"/>
      <c r="J13" s="22"/>
      <c r="K13" s="2"/>
      <c r="L13" s="2">
        <f t="shared" si="0"/>
        <v>38.049999999999997</v>
      </c>
      <c r="M13" s="2"/>
      <c r="N13" s="22">
        <f t="shared" si="1"/>
        <v>0</v>
      </c>
      <c r="O13" s="11"/>
      <c r="P13" s="2">
        <f>--533.08</f>
        <v>533.08000000000004</v>
      </c>
      <c r="Q13" s="2"/>
      <c r="R13" s="22"/>
      <c r="S13" s="2"/>
      <c r="T13" s="2"/>
      <c r="U13" s="2"/>
      <c r="V13" s="22"/>
      <c r="W13" s="2"/>
      <c r="X13" s="2">
        <f t="shared" si="2"/>
        <v>533.08000000000004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2"/>
      <c r="G14" s="2"/>
      <c r="H14" s="2">
        <v>293135</v>
      </c>
      <c r="I14" s="2"/>
      <c r="J14" s="22"/>
      <c r="K14" s="2"/>
      <c r="L14" s="2">
        <f t="shared" si="0"/>
        <v>-293135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1828659</v>
      </c>
      <c r="U14" s="2"/>
      <c r="V14" s="22"/>
      <c r="W14" s="2"/>
      <c r="X14" s="2">
        <f t="shared" si="2"/>
        <v>-1828659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--81403.33</f>
        <v>81403.33</v>
      </c>
      <c r="E15" s="2"/>
      <c r="F15" s="22"/>
      <c r="G15" s="2"/>
      <c r="H15" s="2"/>
      <c r="I15" s="2"/>
      <c r="J15" s="22"/>
      <c r="K15" s="2"/>
      <c r="L15" s="2">
        <f t="shared" si="0"/>
        <v>81403.33</v>
      </c>
      <c r="M15" s="2"/>
      <c r="N15" s="22">
        <f t="shared" si="1"/>
        <v>0</v>
      </c>
      <c r="O15" s="11"/>
      <c r="P15" s="2">
        <f>--606205.38</f>
        <v>606205.38</v>
      </c>
      <c r="Q15" s="2"/>
      <c r="R15" s="22"/>
      <c r="S15" s="2"/>
      <c r="T15" s="2"/>
      <c r="U15" s="2"/>
      <c r="V15" s="22"/>
      <c r="W15" s="2"/>
      <c r="X15" s="2">
        <f t="shared" si="2"/>
        <v>606205.38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>--3637.54</f>
        <v>3637.54</v>
      </c>
      <c r="E16" s="2"/>
      <c r="F16" s="22"/>
      <c r="G16" s="2"/>
      <c r="H16" s="2"/>
      <c r="I16" s="2"/>
      <c r="J16" s="22"/>
      <c r="K16" s="2"/>
      <c r="L16" s="2">
        <f t="shared" si="0"/>
        <v>3637.54</v>
      </c>
      <c r="M16" s="2"/>
      <c r="N16" s="22">
        <f t="shared" si="1"/>
        <v>0</v>
      </c>
      <c r="O16" s="11"/>
      <c r="P16" s="2">
        <f>--29761.4</f>
        <v>29761.4</v>
      </c>
      <c r="Q16" s="2"/>
      <c r="R16" s="22"/>
      <c r="S16" s="2"/>
      <c r="T16" s="2"/>
      <c r="U16" s="2"/>
      <c r="V16" s="22"/>
      <c r="W16" s="2"/>
      <c r="X16" s="2">
        <f t="shared" si="2"/>
        <v>29761.4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8</v>
      </c>
      <c r="C18" s="10"/>
      <c r="D18" s="4">
        <f>SUM(OSRRefD16x_0)</f>
        <v>34611.79</v>
      </c>
      <c r="E18" s="4"/>
      <c r="F18" s="12">
        <f t="shared" ref="F18:F21" si="4">IF(D$12=0,0,D18/D$12)</f>
        <v>0.40681980918422567</v>
      </c>
      <c r="G18" s="4"/>
      <c r="H18" s="4">
        <f>SUM(OSRRefH16x_0)</f>
        <v>76619</v>
      </c>
      <c r="I18" s="4"/>
      <c r="J18" s="12">
        <f t="shared" ref="J18:J21" si="5">IF(H$12=0,0,H18/H$12)</f>
        <v>0.2613778634417589</v>
      </c>
      <c r="K18" s="4"/>
      <c r="L18" s="4">
        <f t="shared" ref="L18:L21" si="6">+D18-H18</f>
        <v>-42007.21</v>
      </c>
      <c r="M18" s="4"/>
      <c r="N18" s="12">
        <f t="shared" ref="N18:N21" si="7">IF(H18=0,0,L18/H18)</f>
        <v>-0.54826100575575243</v>
      </c>
      <c r="O18" s="10"/>
      <c r="P18" s="4">
        <f>SUM(OSRRefP16x_0)</f>
        <v>250864.81000000003</v>
      </c>
      <c r="Q18" s="4"/>
      <c r="R18" s="12">
        <f t="shared" ref="R18:R21" si="8">IF(P$12=0,0,P18/P$12)</f>
        <v>0.39413175990329369</v>
      </c>
      <c r="S18" s="4"/>
      <c r="T18" s="4">
        <f>SUM(OSRRefT16x_0)</f>
        <v>495096.00000000006</v>
      </c>
      <c r="U18" s="4"/>
      <c r="V18" s="12">
        <f t="shared" ref="V18:V21" si="9">IF(T$12=0,0,T18/T$12)</f>
        <v>0.27074265896484806</v>
      </c>
      <c r="W18" s="4"/>
      <c r="X18" s="4">
        <f t="shared" ref="X18:X21" si="10">+P18-T18</f>
        <v>-244231.19000000003</v>
      </c>
      <c r="Y18" s="4"/>
      <c r="Z18" s="12">
        <f t="shared" ref="Z18:Z21" si="11">IF(T18=0,0,X18/T18)</f>
        <v>-0.49330067300079178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76619</v>
      </c>
      <c r="I19" s="2"/>
      <c r="J19" s="22">
        <f t="shared" si="5"/>
        <v>0.2613778634417589</v>
      </c>
      <c r="K19" s="2"/>
      <c r="L19" s="2">
        <f t="shared" si="6"/>
        <v>-76619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495096.00000000006</v>
      </c>
      <c r="U19" s="2"/>
      <c r="V19" s="22">
        <f t="shared" si="9"/>
        <v>0.27074265896484806</v>
      </c>
      <c r="W19" s="2"/>
      <c r="X19" s="2">
        <f t="shared" si="10"/>
        <v>-495096.00000000006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32717.79</v>
      </c>
      <c r="E20" s="2"/>
      <c r="F20" s="22">
        <f t="shared" si="4"/>
        <v>0.38455812556153746</v>
      </c>
      <c r="G20" s="2"/>
      <c r="H20" s="2"/>
      <c r="I20" s="2"/>
      <c r="J20" s="22">
        <f t="shared" si="5"/>
        <v>0</v>
      </c>
      <c r="K20" s="2"/>
      <c r="L20" s="2">
        <f t="shared" si="6"/>
        <v>32717.79</v>
      </c>
      <c r="M20" s="2"/>
      <c r="N20" s="22">
        <f t="shared" si="7"/>
        <v>0</v>
      </c>
      <c r="O20" s="11"/>
      <c r="P20" s="2">
        <v>256328.49000000002</v>
      </c>
      <c r="Q20" s="2"/>
      <c r="R20" s="22">
        <f t="shared" si="8"/>
        <v>0.4027157052320483</v>
      </c>
      <c r="S20" s="2"/>
      <c r="T20" s="2"/>
      <c r="U20" s="2"/>
      <c r="V20" s="22">
        <f t="shared" si="9"/>
        <v>0</v>
      </c>
      <c r="W20" s="2"/>
      <c r="X20" s="2">
        <f t="shared" si="10"/>
        <v>256328.49000000002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1894</v>
      </c>
      <c r="E21" s="2"/>
      <c r="F21" s="22">
        <f t="shared" si="4"/>
        <v>2.2261683622688207E-2</v>
      </c>
      <c r="G21" s="2"/>
      <c r="H21" s="2"/>
      <c r="I21" s="2"/>
      <c r="J21" s="22">
        <f t="shared" si="5"/>
        <v>0</v>
      </c>
      <c r="K21" s="2"/>
      <c r="L21" s="2">
        <f t="shared" si="6"/>
        <v>1894</v>
      </c>
      <c r="M21" s="2"/>
      <c r="N21" s="22">
        <f t="shared" si="7"/>
        <v>0</v>
      </c>
      <c r="O21" s="11"/>
      <c r="P21" s="2">
        <v>-5463.68</v>
      </c>
      <c r="Q21" s="2"/>
      <c r="R21" s="22">
        <f t="shared" si="8"/>
        <v>-8.5839453287546684E-3</v>
      </c>
      <c r="S21" s="2"/>
      <c r="T21" s="2"/>
      <c r="U21" s="2"/>
      <c r="V21" s="22">
        <f t="shared" si="9"/>
        <v>0</v>
      </c>
      <c r="W21" s="2"/>
      <c r="X21" s="2">
        <f t="shared" si="10"/>
        <v>-5463.68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6</v>
      </c>
      <c r="C23" s="25"/>
      <c r="D23" s="21">
        <f>D12-D18</f>
        <v>50467.13</v>
      </c>
      <c r="E23" s="13"/>
      <c r="F23" s="19">
        <f>IF(D$12=0,0,D23/D$12)</f>
        <v>0.59318019081577433</v>
      </c>
      <c r="G23" s="13"/>
      <c r="H23" s="21">
        <f>H12-H18</f>
        <v>216516</v>
      </c>
      <c r="I23" s="13"/>
      <c r="J23" s="19">
        <f>IF(H$12=0,0,H23/H$12)</f>
        <v>0.73862213655824105</v>
      </c>
      <c r="K23" s="16"/>
      <c r="L23" s="21">
        <f>+D23-H23</f>
        <v>-166048.87</v>
      </c>
      <c r="M23" s="16"/>
      <c r="N23" s="19">
        <f>IF(H23=0,0,L23/H23)</f>
        <v>-0.766912699292431</v>
      </c>
      <c r="O23" s="26"/>
      <c r="P23" s="21">
        <f>P12-P18</f>
        <v>385635.04999999993</v>
      </c>
      <c r="Q23" s="13"/>
      <c r="R23" s="19">
        <f>IF(P$12=0,0,P23/P$12)</f>
        <v>0.60586824009670626</v>
      </c>
      <c r="S23" s="13"/>
      <c r="T23" s="21">
        <f>T12-T18</f>
        <v>1333563</v>
      </c>
      <c r="U23" s="13"/>
      <c r="V23" s="19">
        <f>IF(T$12=0,0,T23/T$12)</f>
        <v>0.72925734103515194</v>
      </c>
      <c r="W23" s="16"/>
      <c r="X23" s="21">
        <f>+P23-T23</f>
        <v>-947927.95000000007</v>
      </c>
      <c r="Y23" s="16"/>
      <c r="Z23" s="19">
        <f>IF(T23=0,0,X23/T23)</f>
        <v>-0.71082352314813779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9</v>
      </c>
      <c r="C25" s="10"/>
      <c r="D25" s="20">
        <f>SUM(OSRRefD22x_0)</f>
        <v>248474.40999999997</v>
      </c>
      <c r="E25" s="20"/>
      <c r="F25" s="30">
        <f t="shared" ref="F25:F36" si="12">IF(D$12=0,0,D25/D$12)</f>
        <v>2.9205167390465228</v>
      </c>
      <c r="G25" s="20"/>
      <c r="H25" s="20">
        <f>SUM(OSRRefH22x_0)</f>
        <v>346684.40762587619</v>
      </c>
      <c r="I25" s="20"/>
      <c r="J25" s="30">
        <f t="shared" ref="J25:J36" si="13">IF(H$12=0,0,H25/H$12)</f>
        <v>1.1826783141756398</v>
      </c>
      <c r="K25" s="4"/>
      <c r="L25" s="20">
        <f t="shared" ref="L25:L36" si="14">+D25-H25</f>
        <v>-98209.997625876218</v>
      </c>
      <c r="M25" s="4"/>
      <c r="N25" s="30">
        <f t="shared" ref="N25:N36" si="15">IF(H25=0,0,L25/H25)</f>
        <v>-0.28328357279874944</v>
      </c>
      <c r="O25" s="10"/>
      <c r="P25" s="20">
        <f>SUM(OSRRefP22x_0)</f>
        <v>1403467.4999999995</v>
      </c>
      <c r="Q25" s="20"/>
      <c r="R25" s="30">
        <f t="shared" ref="R25:R36" si="16">IF(P$12=0,0,P25/P$12)</f>
        <v>2.2049769186123616</v>
      </c>
      <c r="S25" s="20"/>
      <c r="T25" s="20">
        <f>SUM(OSRRefT22x_0)</f>
        <v>2107001.4990580697</v>
      </c>
      <c r="U25" s="20"/>
      <c r="V25" s="30">
        <f t="shared" ref="V25:V36" si="17">IF(T$12=0,0,T25/T$12)</f>
        <v>1.1522112646797842</v>
      </c>
      <c r="W25" s="4"/>
      <c r="X25" s="20">
        <f t="shared" ref="X25:X36" si="18">+P25-T25</f>
        <v>-703533.99905807013</v>
      </c>
      <c r="Y25" s="4"/>
      <c r="Z25" s="30">
        <f t="shared" ref="Z25:Z36" si="19">IF(T25=0,0,X25/T25)</f>
        <v>-0.33390294186908903</v>
      </c>
    </row>
    <row r="26" spans="1:26" s="28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78432.709999999992</v>
      </c>
      <c r="E26" s="1"/>
      <c r="F26" s="5">
        <f t="shared" si="12"/>
        <v>0.92188182454596268</v>
      </c>
      <c r="G26" s="1"/>
      <c r="H26" s="1">
        <f>SUM(OSRRefH22_0x_0)</f>
        <v>98148.274802414657</v>
      </c>
      <c r="I26" s="1"/>
      <c r="J26" s="5">
        <f t="shared" si="13"/>
        <v>0.33482277722692499</v>
      </c>
      <c r="K26" s="1"/>
      <c r="L26" s="1">
        <f t="shared" si="14"/>
        <v>-19715.564802414665</v>
      </c>
      <c r="M26" s="1"/>
      <c r="N26" s="5">
        <f t="shared" si="15"/>
        <v>-0.20087530669392489</v>
      </c>
      <c r="O26" s="14"/>
      <c r="P26" s="1">
        <f>SUM(OSRRefP22_0x_0)</f>
        <v>466708.24999999994</v>
      </c>
      <c r="Q26" s="1"/>
      <c r="R26" s="5">
        <f t="shared" si="16"/>
        <v>0.73324171665960769</v>
      </c>
      <c r="S26" s="1"/>
      <c r="T26" s="1">
        <f>SUM(OSRRefT22_0x_0)</f>
        <v>620345.79787306988</v>
      </c>
      <c r="U26" s="1"/>
      <c r="V26" s="5">
        <f t="shared" si="17"/>
        <v>0.33923536201832594</v>
      </c>
      <c r="W26" s="1"/>
      <c r="X26" s="1">
        <f t="shared" si="18"/>
        <v>-153637.54787306994</v>
      </c>
      <c r="Y26" s="1"/>
      <c r="Z26" s="5">
        <f t="shared" si="19"/>
        <v>-0.24766436461701641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7180.2</v>
      </c>
      <c r="E27" s="2"/>
      <c r="F27" s="6">
        <f t="shared" si="12"/>
        <v>8.4394583288081235E-2</v>
      </c>
      <c r="G27" s="2"/>
      <c r="H27" s="7">
        <v>10035.76913235692</v>
      </c>
      <c r="I27" s="2"/>
      <c r="J27" s="6">
        <f t="shared" si="13"/>
        <v>3.4235997517720232E-2</v>
      </c>
      <c r="K27" s="2"/>
      <c r="L27" s="7">
        <f t="shared" si="14"/>
        <v>-2855.5691323569199</v>
      </c>
      <c r="M27" s="2"/>
      <c r="N27" s="6">
        <f t="shared" si="15"/>
        <v>-0.28453914141469333</v>
      </c>
      <c r="O27" s="11"/>
      <c r="P27" s="7">
        <v>49106.04</v>
      </c>
      <c r="Q27" s="2"/>
      <c r="R27" s="6">
        <f t="shared" si="16"/>
        <v>7.7150119090363983E-2</v>
      </c>
      <c r="S27" s="2"/>
      <c r="T27" s="7">
        <v>64849.313650319978</v>
      </c>
      <c r="U27" s="2"/>
      <c r="V27" s="6">
        <f t="shared" si="17"/>
        <v>3.5462770068295936E-2</v>
      </c>
      <c r="W27" s="2"/>
      <c r="X27" s="7">
        <f t="shared" si="18"/>
        <v>-15743.273650319978</v>
      </c>
      <c r="Y27" s="2"/>
      <c r="Z27" s="6">
        <f t="shared" si="19"/>
        <v>-0.24276700498652537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8283.3700000000008</v>
      </c>
      <c r="E28" s="2"/>
      <c r="F28" s="6">
        <f t="shared" si="12"/>
        <v>9.7361014925906458E-2</v>
      </c>
      <c r="G28" s="2"/>
      <c r="H28" s="7">
        <v>7309.0104334500002</v>
      </c>
      <c r="I28" s="2"/>
      <c r="J28" s="6">
        <f t="shared" si="13"/>
        <v>2.4933939766489843E-2</v>
      </c>
      <c r="K28" s="2"/>
      <c r="L28" s="7">
        <f t="shared" si="14"/>
        <v>974.35956655000064</v>
      </c>
      <c r="M28" s="2"/>
      <c r="N28" s="6">
        <f t="shared" si="15"/>
        <v>0.13330936867880258</v>
      </c>
      <c r="O28" s="11"/>
      <c r="P28" s="7">
        <v>34107.369999999995</v>
      </c>
      <c r="Q28" s="2"/>
      <c r="R28" s="6">
        <f t="shared" si="16"/>
        <v>5.3585824826418653E-2</v>
      </c>
      <c r="S28" s="2"/>
      <c r="T28" s="7">
        <v>44215.89188445</v>
      </c>
      <c r="U28" s="2"/>
      <c r="V28" s="6">
        <f t="shared" si="17"/>
        <v>2.417940790735178E-2</v>
      </c>
      <c r="W28" s="2"/>
      <c r="X28" s="7">
        <f t="shared" si="18"/>
        <v>-10108.521884450005</v>
      </c>
      <c r="Y28" s="2"/>
      <c r="Z28" s="6">
        <f t="shared" si="19"/>
        <v>-0.22861739192928066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>
        <v>45706.3</v>
      </c>
      <c r="E29" s="2"/>
      <c r="F29" s="6">
        <f t="shared" si="12"/>
        <v>0.5372223812902186</v>
      </c>
      <c r="G29" s="2"/>
      <c r="H29" s="7">
        <v>59594.230769230795</v>
      </c>
      <c r="I29" s="2"/>
      <c r="J29" s="6">
        <f t="shared" si="13"/>
        <v>0.20329960860774318</v>
      </c>
      <c r="K29" s="2"/>
      <c r="L29" s="7">
        <f t="shared" si="14"/>
        <v>-13887.930769230792</v>
      </c>
      <c r="M29" s="2"/>
      <c r="N29" s="6">
        <f t="shared" si="15"/>
        <v>-0.23304153086579138</v>
      </c>
      <c r="O29" s="11"/>
      <c r="P29" s="7">
        <v>267591.93</v>
      </c>
      <c r="Q29" s="2"/>
      <c r="R29" s="6">
        <f t="shared" si="16"/>
        <v>0.42041160857443077</v>
      </c>
      <c r="S29" s="2"/>
      <c r="T29" s="7">
        <v>377760</v>
      </c>
      <c r="U29" s="2"/>
      <c r="V29" s="6">
        <f t="shared" si="17"/>
        <v>0.20657760686929602</v>
      </c>
      <c r="W29" s="2"/>
      <c r="X29" s="7">
        <f t="shared" si="18"/>
        <v>-110168.07</v>
      </c>
      <c r="Y29" s="2"/>
      <c r="Z29" s="6">
        <f t="shared" si="19"/>
        <v>-0.29163508576874209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/>
      <c r="E30" s="2"/>
      <c r="F30" s="6">
        <f t="shared" si="12"/>
        <v>0</v>
      </c>
      <c r="G30" s="2"/>
      <c r="H30" s="7">
        <v>442.9703293</v>
      </c>
      <c r="I30" s="2"/>
      <c r="J30" s="6">
        <f t="shared" si="13"/>
        <v>1.511147864635748E-3</v>
      </c>
      <c r="K30" s="2"/>
      <c r="L30" s="7">
        <f t="shared" si="14"/>
        <v>-442.9703293</v>
      </c>
      <c r="M30" s="2"/>
      <c r="N30" s="6">
        <f t="shared" si="15"/>
        <v>-1</v>
      </c>
      <c r="O30" s="11"/>
      <c r="P30" s="7">
        <v>1645.86</v>
      </c>
      <c r="Q30" s="2"/>
      <c r="R30" s="6">
        <f t="shared" si="16"/>
        <v>2.5857978978974165E-3</v>
      </c>
      <c r="S30" s="2"/>
      <c r="T30" s="7">
        <v>2679.7510233000003</v>
      </c>
      <c r="U30" s="2"/>
      <c r="V30" s="6">
        <f t="shared" si="17"/>
        <v>1.4654186610516232E-3</v>
      </c>
      <c r="W30" s="2"/>
      <c r="X30" s="7">
        <f t="shared" si="18"/>
        <v>-1033.8910233000004</v>
      </c>
      <c r="Y30" s="2"/>
      <c r="Z30" s="6">
        <f t="shared" si="19"/>
        <v>-0.38581607556466468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>
        <v>3503.7</v>
      </c>
      <c r="E31" s="2"/>
      <c r="F31" s="6">
        <f t="shared" si="12"/>
        <v>4.1181763943406897E-2</v>
      </c>
      <c r="G31" s="2"/>
      <c r="H31" s="7">
        <v>4603.1433846153923</v>
      </c>
      <c r="I31" s="2"/>
      <c r="J31" s="6">
        <f t="shared" si="13"/>
        <v>1.5703151737647816E-2</v>
      </c>
      <c r="K31" s="2"/>
      <c r="L31" s="7">
        <f t="shared" si="14"/>
        <v>-1099.4433846153925</v>
      </c>
      <c r="M31" s="2"/>
      <c r="N31" s="6">
        <f t="shared" si="15"/>
        <v>-0.23884621719365681</v>
      </c>
      <c r="O31" s="11"/>
      <c r="P31" s="7">
        <v>23650.38</v>
      </c>
      <c r="Q31" s="2"/>
      <c r="R31" s="6">
        <f t="shared" si="16"/>
        <v>3.7156928832631636E-2</v>
      </c>
      <c r="S31" s="2"/>
      <c r="T31" s="7">
        <v>29920.432000000044</v>
      </c>
      <c r="U31" s="2"/>
      <c r="V31" s="6">
        <f t="shared" si="17"/>
        <v>1.6361952665860637E-2</v>
      </c>
      <c r="W31" s="2"/>
      <c r="X31" s="7">
        <f t="shared" si="18"/>
        <v>-6270.0520000000433</v>
      </c>
      <c r="Y31" s="2"/>
      <c r="Z31" s="6">
        <f t="shared" si="19"/>
        <v>-0.20955753580028638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9"/>
      <c r="B33" s="11" t="str">
        <f>CONCATENATE("          ", "6117", " - ", "RETIREMENT STAFF HOURLY")</f>
        <v xml:space="preserve">          6117 - RETIREMENT STAFF HOURLY</v>
      </c>
      <c r="C33" s="11"/>
      <c r="D33" s="7">
        <v>1345.94</v>
      </c>
      <c r="E33" s="2"/>
      <c r="F33" s="6">
        <f t="shared" si="12"/>
        <v>1.5819899923506318E-2</v>
      </c>
      <c r="G33" s="2"/>
      <c r="H33" s="7"/>
      <c r="I33" s="2"/>
      <c r="J33" s="6">
        <f t="shared" si="13"/>
        <v>0</v>
      </c>
      <c r="K33" s="2"/>
      <c r="L33" s="7">
        <f t="shared" si="14"/>
        <v>1345.94</v>
      </c>
      <c r="M33" s="2"/>
      <c r="N33" s="6">
        <f t="shared" si="15"/>
        <v>0</v>
      </c>
      <c r="O33" s="11"/>
      <c r="P33" s="7">
        <v>9032.7999999999993</v>
      </c>
      <c r="Q33" s="2"/>
      <c r="R33" s="6">
        <f t="shared" si="16"/>
        <v>1.4191362115931964E-2</v>
      </c>
      <c r="S33" s="2"/>
      <c r="T33" s="7"/>
      <c r="U33" s="2"/>
      <c r="V33" s="6">
        <f t="shared" si="17"/>
        <v>0</v>
      </c>
      <c r="W33" s="2"/>
      <c r="X33" s="7">
        <f t="shared" si="18"/>
        <v>9032.7999999999993</v>
      </c>
      <c r="Y33" s="2"/>
      <c r="Z33" s="6">
        <f t="shared" si="19"/>
        <v>0</v>
      </c>
    </row>
    <row r="34" spans="1:26" s="24" customFormat="1" hidden="1" outlineLevel="2" x14ac:dyDescent="0.25">
      <c r="A34" s="29"/>
      <c r="B34" s="11" t="str">
        <f>CONCATENATE("          ", "6118", " - ", "VACATION")</f>
        <v xml:space="preserve">          6118 - VACATION</v>
      </c>
      <c r="C34" s="11"/>
      <c r="D34" s="7">
        <v>6444.74</v>
      </c>
      <c r="E34" s="2"/>
      <c r="F34" s="6">
        <f t="shared" si="12"/>
        <v>7.5750138812293338E-2</v>
      </c>
      <c r="G34" s="2"/>
      <c r="H34" s="7">
        <v>6756.0878769230803</v>
      </c>
      <c r="I34" s="2"/>
      <c r="J34" s="6">
        <f t="shared" si="13"/>
        <v>2.3047701151084246E-2</v>
      </c>
      <c r="K34" s="2"/>
      <c r="L34" s="7">
        <f t="shared" si="14"/>
        <v>-311.34787692308055</v>
      </c>
      <c r="M34" s="2"/>
      <c r="N34" s="6">
        <f t="shared" si="15"/>
        <v>-4.6084047838773443E-2</v>
      </c>
      <c r="O34" s="11"/>
      <c r="P34" s="7">
        <v>40068</v>
      </c>
      <c r="Q34" s="2"/>
      <c r="R34" s="6">
        <f t="shared" si="16"/>
        <v>6.295052445101873E-2</v>
      </c>
      <c r="S34" s="2"/>
      <c r="T34" s="7">
        <v>43914.571199999998</v>
      </c>
      <c r="U34" s="2"/>
      <c r="V34" s="6">
        <f t="shared" si="17"/>
        <v>2.4014631049309905E-2</v>
      </c>
      <c r="W34" s="2"/>
      <c r="X34" s="7">
        <f t="shared" si="18"/>
        <v>-3846.5711999999985</v>
      </c>
      <c r="Y34" s="2"/>
      <c r="Z34" s="6">
        <f t="shared" si="19"/>
        <v>-8.7592138438095435E-2</v>
      </c>
    </row>
    <row r="35" spans="1:26" s="24" customFormat="1" hidden="1" outlineLevel="2" x14ac:dyDescent="0.25">
      <c r="A35" s="29"/>
      <c r="B35" s="11" t="str">
        <f>CONCATENATE("          ", "6119", " - ", "SICK LEAVE")</f>
        <v xml:space="preserve">          6119 - SICK LEAVE</v>
      </c>
      <c r="C35" s="11"/>
      <c r="D35" s="7">
        <v>4207.78</v>
      </c>
      <c r="E35" s="2"/>
      <c r="F35" s="6">
        <f t="shared" si="12"/>
        <v>4.9457374400145179E-2</v>
      </c>
      <c r="G35" s="2"/>
      <c r="H35" s="7">
        <v>5732.0628765384599</v>
      </c>
      <c r="I35" s="2"/>
      <c r="J35" s="6">
        <f t="shared" si="13"/>
        <v>1.9554344846362461E-2</v>
      </c>
      <c r="K35" s="2"/>
      <c r="L35" s="7">
        <f t="shared" si="14"/>
        <v>-1524.2828765384602</v>
      </c>
      <c r="M35" s="2"/>
      <c r="N35" s="6">
        <f t="shared" si="15"/>
        <v>-0.26592221846996916</v>
      </c>
      <c r="O35" s="11"/>
      <c r="P35" s="7">
        <v>26664.230000000003</v>
      </c>
      <c r="Q35" s="2"/>
      <c r="R35" s="6">
        <f t="shared" si="16"/>
        <v>4.1891965223684421E-2</v>
      </c>
      <c r="S35" s="2"/>
      <c r="T35" s="7">
        <v>34955.838114999977</v>
      </c>
      <c r="U35" s="2"/>
      <c r="V35" s="6">
        <f t="shared" si="17"/>
        <v>1.9115558513096195E-2</v>
      </c>
      <c r="W35" s="2"/>
      <c r="X35" s="7">
        <f t="shared" si="18"/>
        <v>-8291.6081149999736</v>
      </c>
      <c r="Y35" s="2"/>
      <c r="Z35" s="6">
        <f t="shared" si="19"/>
        <v>-0.23720238341079694</v>
      </c>
    </row>
    <row r="36" spans="1:26" s="24" customFormat="1" hidden="1" outlineLevel="2" x14ac:dyDescent="0.25">
      <c r="A36" s="29"/>
      <c r="B36" s="11" t="str">
        <f>CONCATENATE("          ", "6156", " - ", "EMPLOYEE MEALS")</f>
        <v xml:space="preserve">          6156 - EMPLOYEE MEALS</v>
      </c>
      <c r="C36" s="11"/>
      <c r="D36" s="7">
        <v>1760.68</v>
      </c>
      <c r="E36" s="2"/>
      <c r="F36" s="6">
        <f t="shared" si="12"/>
        <v>2.0694667962404791E-2</v>
      </c>
      <c r="G36" s="2"/>
      <c r="H36" s="7">
        <v>3675</v>
      </c>
      <c r="I36" s="2"/>
      <c r="J36" s="6">
        <f t="shared" si="13"/>
        <v>1.2536885735241442E-2</v>
      </c>
      <c r="K36" s="2"/>
      <c r="L36" s="7">
        <f t="shared" si="14"/>
        <v>-1914.32</v>
      </c>
      <c r="M36" s="2"/>
      <c r="N36" s="6">
        <f t="shared" si="15"/>
        <v>-0.52090340136054425</v>
      </c>
      <c r="O36" s="11"/>
      <c r="P36" s="7">
        <v>14841.64</v>
      </c>
      <c r="Q36" s="2"/>
      <c r="R36" s="6">
        <f t="shared" si="16"/>
        <v>2.331758564723015E-2</v>
      </c>
      <c r="S36" s="2"/>
      <c r="T36" s="7">
        <v>22050</v>
      </c>
      <c r="U36" s="2"/>
      <c r="V36" s="6">
        <f t="shared" si="17"/>
        <v>1.2058016284063895E-2</v>
      </c>
      <c r="W36" s="2"/>
      <c r="X36" s="7">
        <f t="shared" si="18"/>
        <v>-7208.3600000000006</v>
      </c>
      <c r="Y36" s="2"/>
      <c r="Z36" s="6">
        <f t="shared" si="19"/>
        <v>-0.32690975056689348</v>
      </c>
    </row>
    <row r="37" spans="1:26" s="28" customFormat="1" outlineLevel="1" collapsed="1" x14ac:dyDescent="0.2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92565.57</v>
      </c>
      <c r="E37" s="1"/>
      <c r="F37" s="5">
        <f t="shared" ref="F37:F47" si="20">IF(D$12=0,0,D37/D$12)</f>
        <v>1.0879965331012666</v>
      </c>
      <c r="G37" s="1"/>
      <c r="H37" s="1">
        <f>SUM(OSRRefH22_1x_0)</f>
        <v>158555.13282346155</v>
      </c>
      <c r="I37" s="1"/>
      <c r="J37" s="5">
        <f t="shared" ref="J37:J47" si="21">IF(H$12=0,0,H37/H$12)</f>
        <v>0.54089458039286187</v>
      </c>
      <c r="K37" s="1"/>
      <c r="L37" s="1">
        <f t="shared" ref="L37:L47" si="22">+D37-H37</f>
        <v>-65989.562823461543</v>
      </c>
      <c r="M37" s="1"/>
      <c r="N37" s="5">
        <f t="shared" ref="N37:N47" si="23">IF(H37=0,0,L37/H37)</f>
        <v>-0.41619316668187362</v>
      </c>
      <c r="O37" s="14"/>
      <c r="P37" s="1">
        <f>SUM(OSRRefP22_1x_0)</f>
        <v>640516.01000000013</v>
      </c>
      <c r="Q37" s="1"/>
      <c r="R37" s="5">
        <f t="shared" ref="R37:R47" si="24">IF(P$12=0,0,P37/P$12)</f>
        <v>1.0063097421576812</v>
      </c>
      <c r="S37" s="1"/>
      <c r="T37" s="1">
        <f>SUM(OSRRefT22_1x_0)</f>
        <v>954844.7011849999</v>
      </c>
      <c r="U37" s="1"/>
      <c r="V37" s="5">
        <f t="shared" ref="V37:V47" si="25">IF(T$12=0,0,T37/T$12)</f>
        <v>0.52215568959822467</v>
      </c>
      <c r="W37" s="1"/>
      <c r="X37" s="1">
        <f t="shared" ref="X37:X47" si="26">+P37-T37</f>
        <v>-314328.69118499977</v>
      </c>
      <c r="Y37" s="1"/>
      <c r="Z37" s="5">
        <f t="shared" ref="Z37:Z47" si="27">IF(T37=0,0,X37/T37)</f>
        <v>-0.32919352308800109</v>
      </c>
    </row>
    <row r="38" spans="1:26" s="24" customFormat="1" hidden="1" outlineLevel="2" x14ac:dyDescent="0.25">
      <c r="A38" s="29"/>
      <c r="B38" s="11" t="str">
        <f>CONCATENATE("          ", "6001", " - ", "ADMINISTRATIVE SALARIES")</f>
        <v xml:space="preserve">          6001 - ADMINISTRATIVE SALARIES</v>
      </c>
      <c r="C38" s="11"/>
      <c r="D38" s="7">
        <v>8063.59</v>
      </c>
      <c r="E38" s="2"/>
      <c r="F38" s="6">
        <f t="shared" si="20"/>
        <v>9.4777766337419425E-2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8063.59</v>
      </c>
      <c r="M38" s="2"/>
      <c r="N38" s="6">
        <f t="shared" si="23"/>
        <v>0</v>
      </c>
      <c r="O38" s="11"/>
      <c r="P38" s="7">
        <v>53309.26</v>
      </c>
      <c r="Q38" s="2"/>
      <c r="R38" s="6">
        <f t="shared" si="24"/>
        <v>8.3753765476083541E-2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53309.26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7">
        <v>24662.15</v>
      </c>
      <c r="E39" s="2"/>
      <c r="F39" s="6">
        <f t="shared" si="20"/>
        <v>0.28987380187712775</v>
      </c>
      <c r="G39" s="2"/>
      <c r="H39" s="7">
        <v>48283.721538461541</v>
      </c>
      <c r="I39" s="2"/>
      <c r="J39" s="6">
        <f t="shared" si="21"/>
        <v>0.16471496593194787</v>
      </c>
      <c r="K39" s="2"/>
      <c r="L39" s="7">
        <f t="shared" si="22"/>
        <v>-23621.57153846154</v>
      </c>
      <c r="M39" s="2"/>
      <c r="N39" s="6">
        <f t="shared" si="23"/>
        <v>-0.48922433453364234</v>
      </c>
      <c r="O39" s="11"/>
      <c r="P39" s="7">
        <v>169957.95</v>
      </c>
      <c r="Q39" s="2"/>
      <c r="R39" s="6">
        <f t="shared" si="24"/>
        <v>0.26701961882599629</v>
      </c>
      <c r="S39" s="2"/>
      <c r="T39" s="7">
        <v>313844.18999999994</v>
      </c>
      <c r="U39" s="2"/>
      <c r="V39" s="6">
        <f t="shared" si="25"/>
        <v>0.17162532216230578</v>
      </c>
      <c r="W39" s="2"/>
      <c r="X39" s="7">
        <f t="shared" si="26"/>
        <v>-143886.23999999993</v>
      </c>
      <c r="Y39" s="2"/>
      <c r="Z39" s="6">
        <f t="shared" si="27"/>
        <v>-0.45846392759413501</v>
      </c>
    </row>
    <row r="40" spans="1:26" s="24" customFormat="1" hidden="1" outlineLevel="2" x14ac:dyDescent="0.25">
      <c r="A40" s="29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"6004", " - ", "STAFF HOURLY")</f>
        <v xml:space="preserve">          6004 - STAFF HOURLY</v>
      </c>
      <c r="C41" s="11"/>
      <c r="D41" s="7">
        <v>36454.700000000004</v>
      </c>
      <c r="E41" s="2"/>
      <c r="F41" s="6">
        <f t="shared" si="20"/>
        <v>0.42848099153115726</v>
      </c>
      <c r="G41" s="2"/>
      <c r="H41" s="7">
        <v>71874.449919999999</v>
      </c>
      <c r="I41" s="2"/>
      <c r="J41" s="6">
        <f t="shared" si="21"/>
        <v>0.24519231725996554</v>
      </c>
      <c r="K41" s="2"/>
      <c r="L41" s="7">
        <f t="shared" si="22"/>
        <v>-35419.749919999995</v>
      </c>
      <c r="M41" s="2"/>
      <c r="N41" s="6">
        <f t="shared" si="23"/>
        <v>-0.49280029216813509</v>
      </c>
      <c r="O41" s="11"/>
      <c r="P41" s="7">
        <v>275316.76</v>
      </c>
      <c r="Q41" s="2"/>
      <c r="R41" s="6">
        <f t="shared" si="24"/>
        <v>0.43254802915431906</v>
      </c>
      <c r="S41" s="2"/>
      <c r="T41" s="7">
        <v>447887.92447999999</v>
      </c>
      <c r="U41" s="2"/>
      <c r="V41" s="6">
        <f t="shared" si="25"/>
        <v>0.24492697899389662</v>
      </c>
      <c r="W41" s="2"/>
      <c r="X41" s="7">
        <f t="shared" si="26"/>
        <v>-172571.16447999998</v>
      </c>
      <c r="Y41" s="2"/>
      <c r="Z41" s="6">
        <f t="shared" si="27"/>
        <v>-0.38529988206392463</v>
      </c>
    </row>
    <row r="42" spans="1:26" s="24" customFormat="1" hidden="1" outlineLevel="2" x14ac:dyDescent="0.25">
      <c r="A42" s="29"/>
      <c r="B42" s="11" t="str">
        <f>CONCATENATE("          ", "6005", " - ", "TEMPORARY WAGES-HOURLY")</f>
        <v xml:space="preserve">          6005 - TEMPORARY WAGES-HOURLY</v>
      </c>
      <c r="C42" s="11"/>
      <c r="D42" s="7">
        <v>11620.64</v>
      </c>
      <c r="E42" s="2"/>
      <c r="F42" s="6">
        <f t="shared" si="20"/>
        <v>0.13658659512838198</v>
      </c>
      <c r="G42" s="2"/>
      <c r="H42" s="7">
        <v>7685.4113649999999</v>
      </c>
      <c r="I42" s="2"/>
      <c r="J42" s="6">
        <f t="shared" si="21"/>
        <v>2.6217992955464207E-2</v>
      </c>
      <c r="K42" s="2"/>
      <c r="L42" s="7">
        <f t="shared" si="22"/>
        <v>3935.2286349999995</v>
      </c>
      <c r="M42" s="2"/>
      <c r="N42" s="6">
        <f t="shared" si="23"/>
        <v>0.51203877685992927</v>
      </c>
      <c r="O42" s="11"/>
      <c r="P42" s="7">
        <v>62163.73</v>
      </c>
      <c r="Q42" s="2"/>
      <c r="R42" s="6">
        <f t="shared" si="24"/>
        <v>9.7664954710280694E-2</v>
      </c>
      <c r="S42" s="2"/>
      <c r="T42" s="7">
        <v>42508.626705000002</v>
      </c>
      <c r="U42" s="2"/>
      <c r="V42" s="6">
        <f t="shared" si="25"/>
        <v>2.3245791973790633E-2</v>
      </c>
      <c r="W42" s="2"/>
      <c r="X42" s="7">
        <f t="shared" si="26"/>
        <v>19655.103295000001</v>
      </c>
      <c r="Y42" s="2"/>
      <c r="Z42" s="6">
        <f t="shared" si="27"/>
        <v>0.46237916438472249</v>
      </c>
    </row>
    <row r="43" spans="1:26" s="24" customFormat="1" hidden="1" outlineLevel="2" x14ac:dyDescent="0.25">
      <c r="A43" s="29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"6007", " - ", "STUDENT HOURLY")</f>
        <v xml:space="preserve">          6007 - STUDENT HOURLY</v>
      </c>
      <c r="C44" s="11"/>
      <c r="D44" s="7">
        <v>10668.46</v>
      </c>
      <c r="E44" s="2"/>
      <c r="F44" s="6">
        <f t="shared" si="20"/>
        <v>0.12539486867017116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10668.46</v>
      </c>
      <c r="M44" s="2"/>
      <c r="N44" s="6">
        <f t="shared" si="23"/>
        <v>0</v>
      </c>
      <c r="O44" s="11"/>
      <c r="P44" s="7">
        <v>69137.430000000008</v>
      </c>
      <c r="Q44" s="2"/>
      <c r="R44" s="6">
        <f t="shared" si="24"/>
        <v>0.10862128076508927</v>
      </c>
      <c r="S44" s="2"/>
      <c r="T44" s="7">
        <v>13860.33</v>
      </c>
      <c r="U44" s="2"/>
      <c r="V44" s="6">
        <f t="shared" si="25"/>
        <v>7.5795049815192443E-3</v>
      </c>
      <c r="W44" s="2"/>
      <c r="X44" s="7">
        <f t="shared" si="26"/>
        <v>55277.100000000006</v>
      </c>
      <c r="Y44" s="2"/>
      <c r="Z44" s="6">
        <f t="shared" si="27"/>
        <v>3.988151797251581</v>
      </c>
    </row>
    <row r="45" spans="1:26" s="24" customFormat="1" hidden="1" outlineLevel="2" x14ac:dyDescent="0.25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7">
        <v>1096.03</v>
      </c>
      <c r="E45" s="2"/>
      <c r="F45" s="6">
        <f t="shared" si="20"/>
        <v>1.2882509557008951E-2</v>
      </c>
      <c r="G45" s="2"/>
      <c r="H45" s="7">
        <v>30711.550000000003</v>
      </c>
      <c r="I45" s="2"/>
      <c r="J45" s="6">
        <f t="shared" si="21"/>
        <v>0.10476930424548417</v>
      </c>
      <c r="K45" s="2"/>
      <c r="L45" s="7">
        <f t="shared" si="22"/>
        <v>-29615.520000000004</v>
      </c>
      <c r="M45" s="2"/>
      <c r="N45" s="6">
        <f t="shared" si="23"/>
        <v>-0.96431212361473129</v>
      </c>
      <c r="O45" s="11"/>
      <c r="P45" s="7">
        <v>10630.88</v>
      </c>
      <c r="Q45" s="2"/>
      <c r="R45" s="6">
        <f t="shared" si="24"/>
        <v>1.6702093225912099E-2</v>
      </c>
      <c r="S45" s="2"/>
      <c r="T45" s="7">
        <v>136743.63</v>
      </c>
      <c r="U45" s="2"/>
      <c r="V45" s="6">
        <f t="shared" si="25"/>
        <v>7.4778091486712397E-2</v>
      </c>
      <c r="W45" s="2"/>
      <c r="X45" s="7">
        <f t="shared" si="26"/>
        <v>-126112.75</v>
      </c>
      <c r="Y45" s="2"/>
      <c r="Z45" s="6">
        <f t="shared" si="27"/>
        <v>-0.9222568539390098</v>
      </c>
    </row>
    <row r="46" spans="1:26" s="24" customFormat="1" hidden="1" outlineLevel="2" x14ac:dyDescent="0.25">
      <c r="A46" s="29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9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2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72" si="28">IF(D$12=0,0,D48/D$12)</f>
        <v>0</v>
      </c>
      <c r="G48" s="1"/>
      <c r="H48" s="1">
        <f>SUM(OSRRefH22_2x_0)</f>
        <v>1169</v>
      </c>
      <c r="I48" s="1"/>
      <c r="J48" s="5">
        <f t="shared" ref="J48:J72" si="29">IF(H$12=0,0,H48/H$12)</f>
        <v>3.9879236529244202E-3</v>
      </c>
      <c r="K48" s="1"/>
      <c r="L48" s="1">
        <f t="shared" ref="L48:L72" si="30">+D48-H48</f>
        <v>-1169</v>
      </c>
      <c r="M48" s="1"/>
      <c r="N48" s="5">
        <f t="shared" ref="N48:N72" si="31">IF(H48=0,0,L48/H48)</f>
        <v>-1</v>
      </c>
      <c r="O48" s="14"/>
      <c r="P48" s="1">
        <f>SUM(OSRRefP22_2x_0)</f>
        <v>1429</v>
      </c>
      <c r="Q48" s="1"/>
      <c r="R48" s="5">
        <f t="shared" ref="R48:R72" si="32">IF(P$12=0,0,P48/P$12)</f>
        <v>2.2450908315989259E-3</v>
      </c>
      <c r="S48" s="1"/>
      <c r="T48" s="1">
        <f>SUM(OSRRefT22_2x_0)</f>
        <v>7114</v>
      </c>
      <c r="U48" s="1"/>
      <c r="V48" s="5">
        <f t="shared" ref="V48:V72" si="33">IF(T$12=0,0,T48/T$12)</f>
        <v>3.8902824419424289E-3</v>
      </c>
      <c r="W48" s="1"/>
      <c r="X48" s="1">
        <f t="shared" ref="X48:X72" si="34">+P48-T48</f>
        <v>-5685</v>
      </c>
      <c r="Y48" s="1"/>
      <c r="Z48" s="5">
        <f t="shared" ref="Z48:Z72" si="35">IF(T48=0,0,X48/T48)</f>
        <v>-0.79912847905538376</v>
      </c>
    </row>
    <row r="49" spans="1:26" s="24" customFormat="1" hidden="1" outlineLevel="2" x14ac:dyDescent="0.25">
      <c r="A49" s="29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8"/>
        <v>0</v>
      </c>
      <c r="G49" s="2"/>
      <c r="H49" s="7">
        <v>1169</v>
      </c>
      <c r="I49" s="2"/>
      <c r="J49" s="6">
        <f t="shared" si="29"/>
        <v>3.9879236529244202E-3</v>
      </c>
      <c r="K49" s="2"/>
      <c r="L49" s="7">
        <f t="shared" si="30"/>
        <v>-1169</v>
      </c>
      <c r="M49" s="2"/>
      <c r="N49" s="6">
        <f t="shared" si="31"/>
        <v>-1</v>
      </c>
      <c r="O49" s="11"/>
      <c r="P49" s="7">
        <v>1429</v>
      </c>
      <c r="Q49" s="2"/>
      <c r="R49" s="6">
        <f t="shared" si="32"/>
        <v>2.2450908315989259E-3</v>
      </c>
      <c r="S49" s="2"/>
      <c r="T49" s="7">
        <v>7114</v>
      </c>
      <c r="U49" s="2"/>
      <c r="V49" s="6">
        <f t="shared" si="33"/>
        <v>3.8902824419424289E-3</v>
      </c>
      <c r="W49" s="2"/>
      <c r="X49" s="7">
        <f t="shared" si="34"/>
        <v>-5685</v>
      </c>
      <c r="Y49" s="2"/>
      <c r="Z49" s="6">
        <f t="shared" si="35"/>
        <v>-0.79912847905538376</v>
      </c>
    </row>
    <row r="50" spans="1:26" s="28" customFormat="1" outlineLevel="1" collapsed="1" x14ac:dyDescent="0.2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31</v>
      </c>
      <c r="I50" s="1"/>
      <c r="J50" s="5">
        <f t="shared" si="29"/>
        <v>1.0575332184829516E-4</v>
      </c>
      <c r="K50" s="1"/>
      <c r="L50" s="1">
        <f t="shared" si="30"/>
        <v>-31</v>
      </c>
      <c r="M50" s="1"/>
      <c r="N50" s="5">
        <f t="shared" si="31"/>
        <v>-1</v>
      </c>
      <c r="O50" s="14"/>
      <c r="P50" s="1">
        <f>SUM(OSRRefP22_3x_0)</f>
        <v>69.739999999999995</v>
      </c>
      <c r="Q50" s="1"/>
      <c r="R50" s="5">
        <f t="shared" si="32"/>
        <v>1.0956797382484892E-4</v>
      </c>
      <c r="S50" s="1"/>
      <c r="T50" s="1">
        <f>SUM(OSRRefT22_3x_0)</f>
        <v>170</v>
      </c>
      <c r="U50" s="1"/>
      <c r="V50" s="5">
        <f t="shared" si="33"/>
        <v>9.2964297881671762E-5</v>
      </c>
      <c r="W50" s="1"/>
      <c r="X50" s="1">
        <f t="shared" si="34"/>
        <v>-100.26</v>
      </c>
      <c r="Y50" s="1"/>
      <c r="Z50" s="5">
        <f t="shared" si="35"/>
        <v>-0.58976470588235297</v>
      </c>
    </row>
    <row r="51" spans="1:26" s="24" customFormat="1" hidden="1" outlineLevel="2" x14ac:dyDescent="0.25">
      <c r="A51" s="29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8"/>
        <v>0</v>
      </c>
      <c r="G51" s="2"/>
      <c r="H51" s="7">
        <v>31</v>
      </c>
      <c r="I51" s="2"/>
      <c r="J51" s="6">
        <f t="shared" si="29"/>
        <v>1.0575332184829516E-4</v>
      </c>
      <c r="K51" s="2"/>
      <c r="L51" s="7">
        <f t="shared" si="30"/>
        <v>-31</v>
      </c>
      <c r="M51" s="2"/>
      <c r="N51" s="6">
        <f t="shared" si="31"/>
        <v>-1</v>
      </c>
      <c r="O51" s="11"/>
      <c r="P51" s="7">
        <v>69.739999999999995</v>
      </c>
      <c r="Q51" s="2"/>
      <c r="R51" s="6">
        <f t="shared" si="32"/>
        <v>1.0956797382484892E-4</v>
      </c>
      <c r="S51" s="2"/>
      <c r="T51" s="7">
        <v>170</v>
      </c>
      <c r="U51" s="2"/>
      <c r="V51" s="6">
        <f t="shared" si="33"/>
        <v>9.2964297881671762E-5</v>
      </c>
      <c r="W51" s="2"/>
      <c r="X51" s="7">
        <f t="shared" si="34"/>
        <v>-100.26</v>
      </c>
      <c r="Y51" s="2"/>
      <c r="Z51" s="6">
        <f t="shared" si="35"/>
        <v>-0.58976470588235297</v>
      </c>
    </row>
    <row r="52" spans="1:26" s="28" customFormat="1" outlineLevel="1" collapsed="1" x14ac:dyDescent="0.2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25.03</v>
      </c>
      <c r="E52" s="1"/>
      <c r="F52" s="5">
        <f t="shared" si="28"/>
        <v>2.9419743457016149E-4</v>
      </c>
      <c r="G52" s="1"/>
      <c r="H52" s="1">
        <f>SUM(OSRRefH22_4x_0)</f>
        <v>395</v>
      </c>
      <c r="I52" s="1"/>
      <c r="J52" s="5">
        <f t="shared" si="29"/>
        <v>1.347502004196019E-3</v>
      </c>
      <c r="K52" s="1"/>
      <c r="L52" s="1">
        <f t="shared" si="30"/>
        <v>-369.97</v>
      </c>
      <c r="M52" s="1"/>
      <c r="N52" s="5">
        <f t="shared" si="31"/>
        <v>-0.93663291139240512</v>
      </c>
      <c r="O52" s="14"/>
      <c r="P52" s="1">
        <f>SUM(OSRRefP22_4x_0)</f>
        <v>35.200000000000003</v>
      </c>
      <c r="Q52" s="1"/>
      <c r="R52" s="5">
        <f t="shared" si="32"/>
        <v>5.5302447356390627E-5</v>
      </c>
      <c r="S52" s="1"/>
      <c r="T52" s="1">
        <f>SUM(OSRRefT22_4x_0)</f>
        <v>2360</v>
      </c>
      <c r="U52" s="1"/>
      <c r="V52" s="5">
        <f t="shared" si="33"/>
        <v>1.2905631941220316E-3</v>
      </c>
      <c r="W52" s="1"/>
      <c r="X52" s="1">
        <f t="shared" si="34"/>
        <v>-2324.8000000000002</v>
      </c>
      <c r="Y52" s="1"/>
      <c r="Z52" s="5">
        <f t="shared" si="35"/>
        <v>-0.98508474576271199</v>
      </c>
    </row>
    <row r="53" spans="1:26" s="24" customFormat="1" hidden="1" outlineLevel="2" x14ac:dyDescent="0.25">
      <c r="A53" s="29"/>
      <c r="B53" s="11" t="str">
        <f>CONCATENATE("          ", "6381", " - ", "BANK/CREDIT CARD FEES")</f>
        <v xml:space="preserve">          6381 - BANK/CREDIT CARD FEES</v>
      </c>
      <c r="C53" s="11"/>
      <c r="D53" s="7">
        <v>25.03</v>
      </c>
      <c r="E53" s="2"/>
      <c r="F53" s="6">
        <f t="shared" si="28"/>
        <v>2.9419743457016149E-4</v>
      </c>
      <c r="G53" s="2"/>
      <c r="H53" s="7">
        <v>395</v>
      </c>
      <c r="I53" s="2"/>
      <c r="J53" s="6">
        <f t="shared" si="29"/>
        <v>1.347502004196019E-3</v>
      </c>
      <c r="K53" s="2"/>
      <c r="L53" s="7">
        <f t="shared" si="30"/>
        <v>-369.97</v>
      </c>
      <c r="M53" s="2"/>
      <c r="N53" s="6">
        <f t="shared" si="31"/>
        <v>-0.93663291139240512</v>
      </c>
      <c r="O53" s="11"/>
      <c r="P53" s="7">
        <v>35.200000000000003</v>
      </c>
      <c r="Q53" s="2"/>
      <c r="R53" s="6">
        <f t="shared" si="32"/>
        <v>5.5302447356390627E-5</v>
      </c>
      <c r="S53" s="2"/>
      <c r="T53" s="7">
        <v>2360</v>
      </c>
      <c r="U53" s="2"/>
      <c r="V53" s="6">
        <f t="shared" si="33"/>
        <v>1.2905631941220316E-3</v>
      </c>
      <c r="W53" s="2"/>
      <c r="X53" s="7">
        <f t="shared" si="34"/>
        <v>-2324.8000000000002</v>
      </c>
      <c r="Y53" s="2"/>
      <c r="Z53" s="6">
        <f t="shared" si="35"/>
        <v>-0.98508474576271199</v>
      </c>
    </row>
    <row r="54" spans="1:26" s="28" customFormat="1" outlineLevel="1" collapsed="1" x14ac:dyDescent="0.2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758.5</v>
      </c>
      <c r="E54" s="1"/>
      <c r="F54" s="5">
        <f t="shared" si="28"/>
        <v>8.9152518626235498E-3</v>
      </c>
      <c r="G54" s="1"/>
      <c r="H54" s="1">
        <f>SUM(OSRRefH22_5x_0)</f>
        <v>213</v>
      </c>
      <c r="I54" s="1"/>
      <c r="J54" s="5">
        <f t="shared" si="29"/>
        <v>7.2662766302215701E-4</v>
      </c>
      <c r="K54" s="1"/>
      <c r="L54" s="1">
        <f t="shared" si="30"/>
        <v>545.5</v>
      </c>
      <c r="M54" s="1"/>
      <c r="N54" s="5">
        <f t="shared" si="31"/>
        <v>2.5610328638497655</v>
      </c>
      <c r="O54" s="14"/>
      <c r="P54" s="1">
        <f>SUM(OSRRefP22_5x_0)</f>
        <v>4022.56</v>
      </c>
      <c r="Q54" s="1"/>
      <c r="R54" s="5">
        <f t="shared" si="32"/>
        <v>6.3198128590318935E-3</v>
      </c>
      <c r="S54" s="1"/>
      <c r="T54" s="1">
        <f>SUM(OSRRefT22_5x_0)</f>
        <v>1278</v>
      </c>
      <c r="U54" s="1"/>
      <c r="V54" s="5">
        <f t="shared" si="33"/>
        <v>6.9887278054574415E-4</v>
      </c>
      <c r="W54" s="1"/>
      <c r="X54" s="1">
        <f t="shared" si="34"/>
        <v>2744.56</v>
      </c>
      <c r="Y54" s="1"/>
      <c r="Z54" s="5">
        <f t="shared" si="35"/>
        <v>2.1475430359937402</v>
      </c>
    </row>
    <row r="55" spans="1:26" s="24" customFormat="1" hidden="1" outlineLevel="2" x14ac:dyDescent="0.25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758.5</v>
      </c>
      <c r="E55" s="2"/>
      <c r="F55" s="6">
        <f t="shared" si="28"/>
        <v>8.9152518626235498E-3</v>
      </c>
      <c r="G55" s="2"/>
      <c r="H55" s="7">
        <v>213</v>
      </c>
      <c r="I55" s="2"/>
      <c r="J55" s="6">
        <f t="shared" si="29"/>
        <v>7.2662766302215701E-4</v>
      </c>
      <c r="K55" s="2"/>
      <c r="L55" s="7">
        <f t="shared" si="30"/>
        <v>545.5</v>
      </c>
      <c r="M55" s="2"/>
      <c r="N55" s="6">
        <f t="shared" si="31"/>
        <v>2.5610328638497655</v>
      </c>
      <c r="O55" s="11"/>
      <c r="P55" s="7">
        <v>4022.56</v>
      </c>
      <c r="Q55" s="2"/>
      <c r="R55" s="6">
        <f t="shared" si="32"/>
        <v>6.3198128590318935E-3</v>
      </c>
      <c r="S55" s="2"/>
      <c r="T55" s="7">
        <v>1278</v>
      </c>
      <c r="U55" s="2"/>
      <c r="V55" s="6">
        <f t="shared" si="33"/>
        <v>6.9887278054574415E-4</v>
      </c>
      <c r="W55" s="2"/>
      <c r="X55" s="7">
        <f t="shared" si="34"/>
        <v>2744.56</v>
      </c>
      <c r="Y55" s="2"/>
      <c r="Z55" s="6">
        <f t="shared" si="35"/>
        <v>2.1475430359937402</v>
      </c>
    </row>
    <row r="56" spans="1:26" s="28" customFormat="1" outlineLevel="1" collapsed="1" x14ac:dyDescent="0.25">
      <c r="A56" s="27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6666.05</v>
      </c>
      <c r="E56" s="1"/>
      <c r="F56" s="5">
        <f t="shared" si="28"/>
        <v>7.8351370703812415E-2</v>
      </c>
      <c r="G56" s="1"/>
      <c r="H56" s="1">
        <f>SUM(OSRRefH22_6x_0)</f>
        <v>13773</v>
      </c>
      <c r="I56" s="1"/>
      <c r="J56" s="5">
        <f t="shared" si="29"/>
        <v>4.6985177477953846E-2</v>
      </c>
      <c r="K56" s="1"/>
      <c r="L56" s="1">
        <f t="shared" si="30"/>
        <v>-7106.95</v>
      </c>
      <c r="M56" s="1"/>
      <c r="N56" s="5">
        <f t="shared" si="31"/>
        <v>-0.51600595367748492</v>
      </c>
      <c r="O56" s="14"/>
      <c r="P56" s="1">
        <f>SUM(OSRRefP22_6x_0)</f>
        <v>36822.009999999995</v>
      </c>
      <c r="Q56" s="1"/>
      <c r="R56" s="5">
        <f t="shared" si="32"/>
        <v>5.7850774704019566E-2</v>
      </c>
      <c r="S56" s="1"/>
      <c r="T56" s="1">
        <f>SUM(OSRRefT22_6x_0)</f>
        <v>67865</v>
      </c>
      <c r="U56" s="1"/>
      <c r="V56" s="5">
        <f t="shared" si="33"/>
        <v>3.7111894563174437E-2</v>
      </c>
      <c r="W56" s="1"/>
      <c r="X56" s="1">
        <f t="shared" si="34"/>
        <v>-31042.990000000005</v>
      </c>
      <c r="Y56" s="1"/>
      <c r="Z56" s="5">
        <f t="shared" si="35"/>
        <v>-0.45742267737419884</v>
      </c>
    </row>
    <row r="57" spans="1:26" s="24" customFormat="1" hidden="1" outlineLevel="2" x14ac:dyDescent="0.25">
      <c r="A57" s="29"/>
      <c r="B57" s="11" t="str">
        <f>CONCATENATE("          ", "6399", " - ", "DONATION-ON CAMPUS")</f>
        <v xml:space="preserve">          6399 - DONATION-ON CAMPUS</v>
      </c>
      <c r="C57" s="11"/>
      <c r="D57" s="7">
        <v>6666.05</v>
      </c>
      <c r="E57" s="2"/>
      <c r="F57" s="6">
        <f t="shared" si="28"/>
        <v>7.8351370703812415E-2</v>
      </c>
      <c r="G57" s="2"/>
      <c r="H57" s="7">
        <v>13773</v>
      </c>
      <c r="I57" s="2"/>
      <c r="J57" s="6">
        <f t="shared" si="29"/>
        <v>4.6985177477953846E-2</v>
      </c>
      <c r="K57" s="2"/>
      <c r="L57" s="7">
        <f t="shared" si="30"/>
        <v>-7106.95</v>
      </c>
      <c r="M57" s="2"/>
      <c r="N57" s="6">
        <f t="shared" si="31"/>
        <v>-0.51600595367748492</v>
      </c>
      <c r="O57" s="11"/>
      <c r="P57" s="7">
        <v>36822.009999999995</v>
      </c>
      <c r="Q57" s="2"/>
      <c r="R57" s="6">
        <f t="shared" si="32"/>
        <v>5.7850774704019566E-2</v>
      </c>
      <c r="S57" s="2"/>
      <c r="T57" s="7">
        <v>67865</v>
      </c>
      <c r="U57" s="2"/>
      <c r="V57" s="6">
        <f t="shared" si="33"/>
        <v>3.7111894563174437E-2</v>
      </c>
      <c r="W57" s="2"/>
      <c r="X57" s="7">
        <f t="shared" si="34"/>
        <v>-31042.990000000005</v>
      </c>
      <c r="Y57" s="2"/>
      <c r="Z57" s="6">
        <f t="shared" si="35"/>
        <v>-0.45742267737419884</v>
      </c>
    </row>
    <row r="58" spans="1:26" s="28" customFormat="1" outlineLevel="1" collapsed="1" x14ac:dyDescent="0.25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300</v>
      </c>
      <c r="I58" s="1"/>
      <c r="J58" s="5">
        <f t="shared" si="29"/>
        <v>1.0234192436931789E-3</v>
      </c>
      <c r="K58" s="1"/>
      <c r="L58" s="1">
        <f t="shared" si="30"/>
        <v>-300</v>
      </c>
      <c r="M58" s="1"/>
      <c r="N58" s="5">
        <f t="shared" si="31"/>
        <v>-1</v>
      </c>
      <c r="O58" s="14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1600</v>
      </c>
      <c r="U58" s="1"/>
      <c r="V58" s="5">
        <f t="shared" si="33"/>
        <v>8.7495809770985183E-4</v>
      </c>
      <c r="W58" s="1"/>
      <c r="X58" s="1">
        <f t="shared" si="34"/>
        <v>-1600</v>
      </c>
      <c r="Y58" s="1"/>
      <c r="Z58" s="5">
        <f t="shared" si="35"/>
        <v>-1</v>
      </c>
    </row>
    <row r="59" spans="1:26" s="24" customFormat="1" hidden="1" outlineLevel="2" x14ac:dyDescent="0.25">
      <c r="A59" s="29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8"/>
        <v>0</v>
      </c>
      <c r="G59" s="2"/>
      <c r="H59" s="7">
        <v>300</v>
      </c>
      <c r="I59" s="2"/>
      <c r="J59" s="6">
        <f t="shared" si="29"/>
        <v>1.0234192436931789E-3</v>
      </c>
      <c r="K59" s="2"/>
      <c r="L59" s="7">
        <f t="shared" si="30"/>
        <v>-300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1600</v>
      </c>
      <c r="U59" s="2"/>
      <c r="V59" s="6">
        <f t="shared" si="33"/>
        <v>8.7495809770985183E-4</v>
      </c>
      <c r="W59" s="2"/>
      <c r="X59" s="7">
        <f t="shared" si="34"/>
        <v>-1600</v>
      </c>
      <c r="Y59" s="2"/>
      <c r="Z59" s="6">
        <f t="shared" si="35"/>
        <v>-1</v>
      </c>
    </row>
    <row r="60" spans="1:26" s="28" customFormat="1" outlineLevel="1" collapsed="1" x14ac:dyDescent="0.25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386.91</v>
      </c>
      <c r="E60" s="1"/>
      <c r="F60" s="5">
        <f t="shared" si="28"/>
        <v>4.5476599844003667E-3</v>
      </c>
      <c r="G60" s="1"/>
      <c r="H60" s="1">
        <f>SUM(OSRRefH22_8x_0)</f>
        <v>690</v>
      </c>
      <c r="I60" s="1"/>
      <c r="J60" s="5">
        <f t="shared" si="29"/>
        <v>2.3538642604943117E-3</v>
      </c>
      <c r="K60" s="1"/>
      <c r="L60" s="1">
        <f t="shared" si="30"/>
        <v>-303.08999999999997</v>
      </c>
      <c r="M60" s="1"/>
      <c r="N60" s="5">
        <f t="shared" si="31"/>
        <v>-0.43926086956521737</v>
      </c>
      <c r="O60" s="14"/>
      <c r="P60" s="1">
        <f>SUM(OSRRefP22_8x_0)</f>
        <v>2927.53</v>
      </c>
      <c r="Q60" s="1"/>
      <c r="R60" s="5">
        <f t="shared" si="32"/>
        <v>4.5994197076492686E-3</v>
      </c>
      <c r="S60" s="1"/>
      <c r="T60" s="1">
        <f>SUM(OSRRefT22_8x_0)</f>
        <v>4140</v>
      </c>
      <c r="U60" s="1"/>
      <c r="V60" s="5">
        <f t="shared" si="33"/>
        <v>2.2639540778242417E-3</v>
      </c>
      <c r="W60" s="1"/>
      <c r="X60" s="1">
        <f t="shared" si="34"/>
        <v>-1212.4699999999998</v>
      </c>
      <c r="Y60" s="1"/>
      <c r="Z60" s="5">
        <f t="shared" si="35"/>
        <v>-0.29286714975845407</v>
      </c>
    </row>
    <row r="61" spans="1:26" s="24" customFormat="1" hidden="1" outlineLevel="2" x14ac:dyDescent="0.25">
      <c r="A61" s="29"/>
      <c r="B61" s="11" t="str">
        <f>CONCATENATE("          ", "6351", " - ", "EQUIPMENT RENTAL")</f>
        <v xml:space="preserve">          6351 - EQUIPMENT RENTAL</v>
      </c>
      <c r="C61" s="11"/>
      <c r="D61" s="7">
        <v>386.91</v>
      </c>
      <c r="E61" s="2"/>
      <c r="F61" s="6">
        <f t="shared" si="28"/>
        <v>4.5476599844003667E-3</v>
      </c>
      <c r="G61" s="2"/>
      <c r="H61" s="7">
        <v>690</v>
      </c>
      <c r="I61" s="2"/>
      <c r="J61" s="6">
        <f t="shared" si="29"/>
        <v>2.3538642604943117E-3</v>
      </c>
      <c r="K61" s="2"/>
      <c r="L61" s="7">
        <f t="shared" si="30"/>
        <v>-303.08999999999997</v>
      </c>
      <c r="M61" s="2"/>
      <c r="N61" s="6">
        <f t="shared" si="31"/>
        <v>-0.43926086956521737</v>
      </c>
      <c r="O61" s="11"/>
      <c r="P61" s="7">
        <v>2927.53</v>
      </c>
      <c r="Q61" s="2"/>
      <c r="R61" s="6">
        <f t="shared" si="32"/>
        <v>4.5994197076492686E-3</v>
      </c>
      <c r="S61" s="2"/>
      <c r="T61" s="7">
        <v>4140</v>
      </c>
      <c r="U61" s="2"/>
      <c r="V61" s="6">
        <f t="shared" si="33"/>
        <v>2.2639540778242417E-3</v>
      </c>
      <c r="W61" s="2"/>
      <c r="X61" s="7">
        <f t="shared" si="34"/>
        <v>-1212.4699999999998</v>
      </c>
      <c r="Y61" s="2"/>
      <c r="Z61" s="6">
        <f t="shared" si="35"/>
        <v>-0.29286714975845407</v>
      </c>
    </row>
    <row r="62" spans="1:26" s="28" customFormat="1" outlineLevel="1" collapsed="1" x14ac:dyDescent="0.25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739.48</v>
      </c>
      <c r="E62" s="1"/>
      <c r="F62" s="5">
        <f t="shared" si="28"/>
        <v>8.6916947229701558E-3</v>
      </c>
      <c r="G62" s="1"/>
      <c r="H62" s="1">
        <f>SUM(OSRRefH22_9x_0)</f>
        <v>430</v>
      </c>
      <c r="I62" s="1"/>
      <c r="J62" s="5">
        <f t="shared" si="29"/>
        <v>1.4669009159602232E-3</v>
      </c>
      <c r="K62" s="1"/>
      <c r="L62" s="1">
        <f t="shared" si="30"/>
        <v>309.48</v>
      </c>
      <c r="M62" s="1"/>
      <c r="N62" s="5">
        <f t="shared" si="31"/>
        <v>0.71972093023255823</v>
      </c>
      <c r="O62" s="14"/>
      <c r="P62" s="1">
        <f>SUM(OSRRefP22_9x_0)</f>
        <v>7158.43</v>
      </c>
      <c r="Q62" s="1"/>
      <c r="R62" s="5">
        <f t="shared" si="32"/>
        <v>1.1246553926971799E-2</v>
      </c>
      <c r="S62" s="1"/>
      <c r="T62" s="1">
        <f>SUM(OSRRefT22_9x_0)</f>
        <v>7000</v>
      </c>
      <c r="U62" s="1"/>
      <c r="V62" s="5">
        <f t="shared" si="33"/>
        <v>3.8279416774806021E-3</v>
      </c>
      <c r="W62" s="1"/>
      <c r="X62" s="1">
        <f t="shared" si="34"/>
        <v>158.43000000000029</v>
      </c>
      <c r="Y62" s="1"/>
      <c r="Z62" s="5">
        <f t="shared" si="35"/>
        <v>2.2632857142857184E-2</v>
      </c>
    </row>
    <row r="63" spans="1:26" s="24" customFormat="1" hidden="1" outlineLevel="2" x14ac:dyDescent="0.25">
      <c r="A63" s="29"/>
      <c r="B63" s="11" t="str">
        <f>CONCATENATE("          ", "6279", " - ", "GENERAL EXPENSE")</f>
        <v xml:space="preserve">          6279 - GENERAL EXPENSE</v>
      </c>
      <c r="C63" s="11"/>
      <c r="D63" s="7">
        <v>739.48</v>
      </c>
      <c r="E63" s="2"/>
      <c r="F63" s="6">
        <f t="shared" si="28"/>
        <v>8.6916947229701558E-3</v>
      </c>
      <c r="G63" s="2"/>
      <c r="H63" s="7">
        <v>430</v>
      </c>
      <c r="I63" s="2"/>
      <c r="J63" s="6">
        <f t="shared" si="29"/>
        <v>1.4669009159602232E-3</v>
      </c>
      <c r="K63" s="2"/>
      <c r="L63" s="7">
        <f t="shared" si="30"/>
        <v>309.48</v>
      </c>
      <c r="M63" s="2"/>
      <c r="N63" s="6">
        <f t="shared" si="31"/>
        <v>0.71972093023255823</v>
      </c>
      <c r="O63" s="11"/>
      <c r="P63" s="7">
        <v>7158.43</v>
      </c>
      <c r="Q63" s="2"/>
      <c r="R63" s="6">
        <f t="shared" si="32"/>
        <v>1.1246553926971799E-2</v>
      </c>
      <c r="S63" s="2"/>
      <c r="T63" s="7">
        <v>7000</v>
      </c>
      <c r="U63" s="2"/>
      <c r="V63" s="6">
        <f t="shared" si="33"/>
        <v>3.8279416774806021E-3</v>
      </c>
      <c r="W63" s="2"/>
      <c r="X63" s="7">
        <f t="shared" si="34"/>
        <v>158.43000000000029</v>
      </c>
      <c r="Y63" s="2"/>
      <c r="Z63" s="6">
        <f t="shared" si="35"/>
        <v>2.2632857142857184E-2</v>
      </c>
    </row>
    <row r="64" spans="1:26" s="28" customFormat="1" outlineLevel="1" collapsed="1" x14ac:dyDescent="0.25">
      <c r="A64" s="27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SUM(OSRRefD22_10x_0)</f>
        <v>5.9</v>
      </c>
      <c r="E64" s="1"/>
      <c r="F64" s="5">
        <f t="shared" si="28"/>
        <v>6.9347377705311728E-5</v>
      </c>
      <c r="G64" s="1"/>
      <c r="H64" s="1">
        <f>SUM(OSRRefH22_10x_0)</f>
        <v>7</v>
      </c>
      <c r="I64" s="1"/>
      <c r="J64" s="5">
        <f t="shared" si="29"/>
        <v>2.3879782352840843E-5</v>
      </c>
      <c r="K64" s="1"/>
      <c r="L64" s="1">
        <f t="shared" si="30"/>
        <v>-1.0999999999999996</v>
      </c>
      <c r="M64" s="1"/>
      <c r="N64" s="5">
        <f t="shared" si="31"/>
        <v>-0.15714285714285708</v>
      </c>
      <c r="O64" s="14"/>
      <c r="P64" s="1">
        <f>SUM(OSRRefP22_10x_0)</f>
        <v>35.4</v>
      </c>
      <c r="Q64" s="1"/>
      <c r="R64" s="5">
        <f t="shared" si="32"/>
        <v>5.5616665807279201E-5</v>
      </c>
      <c r="S64" s="1"/>
      <c r="T64" s="1">
        <f>SUM(OSRRefT22_10x_0)</f>
        <v>42</v>
      </c>
      <c r="U64" s="1"/>
      <c r="V64" s="5">
        <f t="shared" si="33"/>
        <v>2.2967650064883612E-5</v>
      </c>
      <c r="W64" s="1"/>
      <c r="X64" s="1">
        <f t="shared" si="34"/>
        <v>-6.6000000000000014</v>
      </c>
      <c r="Y64" s="1"/>
      <c r="Z64" s="5">
        <f t="shared" si="35"/>
        <v>-0.15714285714285717</v>
      </c>
    </row>
    <row r="65" spans="1:26" s="24" customFormat="1" hidden="1" outlineLevel="2" x14ac:dyDescent="0.25">
      <c r="A65" s="29"/>
      <c r="B65" s="11" t="str">
        <f>CONCATENATE("          ", "6314", " - ", "LIABILITY INSURANCE")</f>
        <v xml:space="preserve">          6314 - LIABILITY INSURANCE</v>
      </c>
      <c r="C65" s="11"/>
      <c r="D65" s="7">
        <v>5.9</v>
      </c>
      <c r="E65" s="2"/>
      <c r="F65" s="6">
        <f t="shared" si="28"/>
        <v>6.9347377705311728E-5</v>
      </c>
      <c r="G65" s="2"/>
      <c r="H65" s="7">
        <v>7</v>
      </c>
      <c r="I65" s="2"/>
      <c r="J65" s="6">
        <f t="shared" si="29"/>
        <v>2.3879782352840843E-5</v>
      </c>
      <c r="K65" s="2"/>
      <c r="L65" s="7">
        <f t="shared" si="30"/>
        <v>-1.0999999999999996</v>
      </c>
      <c r="M65" s="2"/>
      <c r="N65" s="6">
        <f t="shared" si="31"/>
        <v>-0.15714285714285708</v>
      </c>
      <c r="O65" s="11"/>
      <c r="P65" s="7">
        <v>35.4</v>
      </c>
      <c r="Q65" s="2"/>
      <c r="R65" s="6">
        <f t="shared" si="32"/>
        <v>5.5616665807279201E-5</v>
      </c>
      <c r="S65" s="2"/>
      <c r="T65" s="7">
        <v>42</v>
      </c>
      <c r="U65" s="2"/>
      <c r="V65" s="6">
        <f t="shared" si="33"/>
        <v>2.2967650064883612E-5</v>
      </c>
      <c r="W65" s="2"/>
      <c r="X65" s="7">
        <f t="shared" si="34"/>
        <v>-6.6000000000000014</v>
      </c>
      <c r="Y65" s="2"/>
      <c r="Z65" s="6">
        <f t="shared" si="35"/>
        <v>-0.15714285714285717</v>
      </c>
    </row>
    <row r="66" spans="1:26" s="28" customFormat="1" outlineLevel="1" collapsed="1" x14ac:dyDescent="0.25">
      <c r="A66" s="27"/>
      <c r="B66" s="14" t="str">
        <f>CONCATENATE("     ","R/H Commissions                                   ")</f>
        <v xml:space="preserve">     R/H Commissions                                   </v>
      </c>
      <c r="C66" s="14"/>
      <c r="D66" s="1">
        <f>SUM(OSRRefD22_11x_0)</f>
        <v>38313.420000000006</v>
      </c>
      <c r="E66" s="1"/>
      <c r="F66" s="5">
        <f t="shared" si="28"/>
        <v>0.45032800134275336</v>
      </c>
      <c r="G66" s="1"/>
      <c r="H66" s="1">
        <f>SUM(OSRRefH22_11x_0)</f>
        <v>25727</v>
      </c>
      <c r="I66" s="1"/>
      <c r="J66" s="5">
        <f t="shared" si="29"/>
        <v>8.7765022941648049E-2</v>
      </c>
      <c r="K66" s="1"/>
      <c r="L66" s="1">
        <f t="shared" si="30"/>
        <v>12586.420000000006</v>
      </c>
      <c r="M66" s="1"/>
      <c r="N66" s="5">
        <f t="shared" si="31"/>
        <v>0.48922999183736954</v>
      </c>
      <c r="O66" s="14"/>
      <c r="P66" s="1">
        <f>SUM(OSRRefP22_11x_0)</f>
        <v>75016.490000000005</v>
      </c>
      <c r="Q66" s="1"/>
      <c r="R66" s="5">
        <f t="shared" si="32"/>
        <v>0.11785782639449442</v>
      </c>
      <c r="S66" s="1"/>
      <c r="T66" s="1">
        <f>SUM(OSRRefT22_11x_0)</f>
        <v>148571</v>
      </c>
      <c r="U66" s="1"/>
      <c r="V66" s="5">
        <f t="shared" si="33"/>
        <v>8.1245874709281504E-2</v>
      </c>
      <c r="W66" s="1"/>
      <c r="X66" s="1">
        <f t="shared" si="34"/>
        <v>-73554.509999999995</v>
      </c>
      <c r="Y66" s="1"/>
      <c r="Z66" s="5">
        <f t="shared" si="35"/>
        <v>-0.49507986080729077</v>
      </c>
    </row>
    <row r="67" spans="1:26" s="24" customFormat="1" hidden="1" outlineLevel="2" x14ac:dyDescent="0.25">
      <c r="A67" s="29"/>
      <c r="B67" s="11" t="str">
        <f>CONCATENATE("          ", "6387", " - ", "COMMISSION DUE HOUSING")</f>
        <v xml:space="preserve">          6387 - COMMISSION DUE HOUSING</v>
      </c>
      <c r="C67" s="11"/>
      <c r="D67" s="7">
        <v>38313.420000000006</v>
      </c>
      <c r="E67" s="2"/>
      <c r="F67" s="6">
        <f t="shared" si="28"/>
        <v>0.45032800134275336</v>
      </c>
      <c r="G67" s="2"/>
      <c r="H67" s="7">
        <v>25727</v>
      </c>
      <c r="I67" s="2"/>
      <c r="J67" s="6">
        <f t="shared" si="29"/>
        <v>8.7765022941648049E-2</v>
      </c>
      <c r="K67" s="2"/>
      <c r="L67" s="7">
        <f t="shared" si="30"/>
        <v>12586.420000000006</v>
      </c>
      <c r="M67" s="2"/>
      <c r="N67" s="6">
        <f t="shared" si="31"/>
        <v>0.48922999183736954</v>
      </c>
      <c r="O67" s="11"/>
      <c r="P67" s="7">
        <v>75016.490000000005</v>
      </c>
      <c r="Q67" s="2"/>
      <c r="R67" s="6">
        <f t="shared" si="32"/>
        <v>0.11785782639449442</v>
      </c>
      <c r="S67" s="2"/>
      <c r="T67" s="7">
        <v>148571</v>
      </c>
      <c r="U67" s="2"/>
      <c r="V67" s="6">
        <f t="shared" si="33"/>
        <v>8.1245874709281504E-2</v>
      </c>
      <c r="W67" s="2"/>
      <c r="X67" s="7">
        <f t="shared" si="34"/>
        <v>-73554.509999999995</v>
      </c>
      <c r="Y67" s="2"/>
      <c r="Z67" s="6">
        <f t="shared" si="35"/>
        <v>-0.49507986080729077</v>
      </c>
    </row>
    <row r="68" spans="1:26" s="28" customFormat="1" outlineLevel="1" collapsed="1" x14ac:dyDescent="0.25">
      <c r="A68" s="27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SUM(OSRRefD22_12x_0)</f>
        <v>3735.15</v>
      </c>
      <c r="E68" s="1"/>
      <c r="F68" s="5">
        <f t="shared" si="28"/>
        <v>4.3902179294236461E-2</v>
      </c>
      <c r="G68" s="1"/>
      <c r="H68" s="1">
        <f>SUM(OSRRefH22_12x_0)</f>
        <v>508</v>
      </c>
      <c r="I68" s="1"/>
      <c r="J68" s="5">
        <f t="shared" si="29"/>
        <v>1.7329899193204497E-3</v>
      </c>
      <c r="K68" s="1"/>
      <c r="L68" s="1">
        <f t="shared" si="30"/>
        <v>3227.15</v>
      </c>
      <c r="M68" s="1"/>
      <c r="N68" s="5">
        <f t="shared" si="31"/>
        <v>6.3526574803149609</v>
      </c>
      <c r="O68" s="14"/>
      <c r="P68" s="1">
        <f>SUM(OSRRefP22_12x_0)</f>
        <v>8146.7899999999991</v>
      </c>
      <c r="Q68" s="1"/>
      <c r="R68" s="5">
        <f t="shared" si="32"/>
        <v>1.2799358667572997E-2</v>
      </c>
      <c r="S68" s="1"/>
      <c r="T68" s="1">
        <f>SUM(OSRRefT22_12x_0)</f>
        <v>18231</v>
      </c>
      <c r="U68" s="1"/>
      <c r="V68" s="5">
        <f t="shared" si="33"/>
        <v>9.9696006745926928E-3</v>
      </c>
      <c r="W68" s="1"/>
      <c r="X68" s="1">
        <f t="shared" si="34"/>
        <v>-10084.210000000001</v>
      </c>
      <c r="Y68" s="1"/>
      <c r="Z68" s="5">
        <f t="shared" si="35"/>
        <v>-0.55313531896220725</v>
      </c>
    </row>
    <row r="69" spans="1:26" s="24" customFormat="1" hidden="1" outlineLevel="2" x14ac:dyDescent="0.25">
      <c r="A69" s="29"/>
      <c r="B69" s="11" t="str">
        <f>CONCATENATE("          ", "6371", " - ", "COMPUTER SOFTWARE MAINTENANCE")</f>
        <v xml:space="preserve">          6371 - COMPUTER SOFTWARE MAINTENANCE</v>
      </c>
      <c r="C69" s="11"/>
      <c r="D69" s="7">
        <v>3500</v>
      </c>
      <c r="E69" s="2"/>
      <c r="F69" s="6">
        <f t="shared" si="28"/>
        <v>4.1138274909930689E-2</v>
      </c>
      <c r="G69" s="2"/>
      <c r="H69" s="7"/>
      <c r="I69" s="2"/>
      <c r="J69" s="6">
        <f t="shared" si="29"/>
        <v>0</v>
      </c>
      <c r="K69" s="2"/>
      <c r="L69" s="7">
        <f t="shared" si="30"/>
        <v>3500</v>
      </c>
      <c r="M69" s="2"/>
      <c r="N69" s="6">
        <f t="shared" si="31"/>
        <v>0</v>
      </c>
      <c r="O69" s="11"/>
      <c r="P69" s="7">
        <v>3500</v>
      </c>
      <c r="Q69" s="2"/>
      <c r="R69" s="6">
        <f t="shared" si="32"/>
        <v>5.4988228905502035E-3</v>
      </c>
      <c r="S69" s="2"/>
      <c r="T69" s="7">
        <v>8500</v>
      </c>
      <c r="U69" s="2"/>
      <c r="V69" s="6">
        <f t="shared" si="33"/>
        <v>4.6482148940835879E-3</v>
      </c>
      <c r="W69" s="2"/>
      <c r="X69" s="7">
        <f t="shared" si="34"/>
        <v>-5000</v>
      </c>
      <c r="Y69" s="2"/>
      <c r="Z69" s="6">
        <f t="shared" si="35"/>
        <v>-0.58823529411764708</v>
      </c>
    </row>
    <row r="70" spans="1:26" s="24" customFormat="1" hidden="1" outlineLevel="2" x14ac:dyDescent="0.25">
      <c r="A70" s="29"/>
      <c r="B70" s="11" t="str">
        <f>CONCATENATE("          ", "6372", " - ", "COMPUTER HARDWARE MAINTENANCE")</f>
        <v xml:space="preserve">          6372 - COMPUTER HARDWARE MAINTENANCE</v>
      </c>
      <c r="C70" s="11"/>
      <c r="D70" s="7"/>
      <c r="E70" s="2"/>
      <c r="F70" s="6">
        <f t="shared" si="28"/>
        <v>0</v>
      </c>
      <c r="G70" s="2"/>
      <c r="H70" s="7"/>
      <c r="I70" s="2"/>
      <c r="J70" s="6">
        <f t="shared" si="29"/>
        <v>0</v>
      </c>
      <c r="K70" s="2"/>
      <c r="L70" s="7">
        <f t="shared" si="30"/>
        <v>0</v>
      </c>
      <c r="M70" s="2"/>
      <c r="N70" s="6">
        <f t="shared" si="31"/>
        <v>0</v>
      </c>
      <c r="O70" s="11"/>
      <c r="P70" s="7"/>
      <c r="Q70" s="2"/>
      <c r="R70" s="6">
        <f t="shared" si="32"/>
        <v>0</v>
      </c>
      <c r="S70" s="2"/>
      <c r="T70" s="7">
        <v>3083</v>
      </c>
      <c r="U70" s="2"/>
      <c r="V70" s="6">
        <f t="shared" si="33"/>
        <v>1.6859348845246708E-3</v>
      </c>
      <c r="W70" s="2"/>
      <c r="X70" s="7">
        <f t="shared" si="34"/>
        <v>-3083</v>
      </c>
      <c r="Y70" s="2"/>
      <c r="Z70" s="6">
        <f t="shared" si="35"/>
        <v>-1</v>
      </c>
    </row>
    <row r="71" spans="1:26" s="24" customFormat="1" hidden="1" outlineLevel="2" x14ac:dyDescent="0.25">
      <c r="A71" s="29"/>
      <c r="B71" s="11" t="str">
        <f>CONCATENATE("          ", "6373", " - ", "MAINTENANCE CONTRACTS")</f>
        <v xml:space="preserve">          6373 - MAINTENANCE CONTRACTS</v>
      </c>
      <c r="C71" s="11"/>
      <c r="D71" s="7">
        <v>235.15</v>
      </c>
      <c r="E71" s="2"/>
      <c r="F71" s="6">
        <f t="shared" si="28"/>
        <v>2.7639043843057719E-3</v>
      </c>
      <c r="G71" s="2"/>
      <c r="H71" s="7">
        <v>58</v>
      </c>
      <c r="I71" s="2"/>
      <c r="J71" s="6">
        <f t="shared" si="29"/>
        <v>1.9786105378068127E-4</v>
      </c>
      <c r="K71" s="2"/>
      <c r="L71" s="7">
        <f t="shared" si="30"/>
        <v>177.15</v>
      </c>
      <c r="M71" s="2"/>
      <c r="N71" s="6">
        <f t="shared" si="31"/>
        <v>3.0543103448275861</v>
      </c>
      <c r="O71" s="11"/>
      <c r="P71" s="7">
        <v>2969.97</v>
      </c>
      <c r="Q71" s="2"/>
      <c r="R71" s="6">
        <f t="shared" si="32"/>
        <v>4.6660968629278253E-3</v>
      </c>
      <c r="S71" s="2"/>
      <c r="T71" s="7">
        <v>3948</v>
      </c>
      <c r="U71" s="2"/>
      <c r="V71" s="6">
        <f t="shared" si="33"/>
        <v>2.1589591060990595E-3</v>
      </c>
      <c r="W71" s="2"/>
      <c r="X71" s="7">
        <f t="shared" si="34"/>
        <v>-978.0300000000002</v>
      </c>
      <c r="Y71" s="2"/>
      <c r="Z71" s="6">
        <f t="shared" si="35"/>
        <v>-0.24772796352583593</v>
      </c>
    </row>
    <row r="72" spans="1:26" s="24" customFormat="1" hidden="1" outlineLevel="2" x14ac:dyDescent="0.25">
      <c r="A72" s="29"/>
      <c r="B72" s="11" t="str">
        <f>CONCATENATE("          ", "6375", " - ", "OUTSIDE REPAIRS &amp; MAINTENANCE")</f>
        <v xml:space="preserve">          6375 - OUTSIDE REPAIRS &amp; MAINTENANCE</v>
      </c>
      <c r="C72" s="11"/>
      <c r="D72" s="7"/>
      <c r="E72" s="2"/>
      <c r="F72" s="6">
        <f t="shared" si="28"/>
        <v>0</v>
      </c>
      <c r="G72" s="2"/>
      <c r="H72" s="7">
        <v>450</v>
      </c>
      <c r="I72" s="2"/>
      <c r="J72" s="6">
        <f t="shared" si="29"/>
        <v>1.5351288655397683E-3</v>
      </c>
      <c r="K72" s="2"/>
      <c r="L72" s="7">
        <f t="shared" si="30"/>
        <v>-450</v>
      </c>
      <c r="M72" s="2"/>
      <c r="N72" s="6">
        <f t="shared" si="31"/>
        <v>-1</v>
      </c>
      <c r="O72" s="11"/>
      <c r="P72" s="7">
        <v>1676.82</v>
      </c>
      <c r="Q72" s="2"/>
      <c r="R72" s="6">
        <f t="shared" si="32"/>
        <v>2.6344389140949692E-3</v>
      </c>
      <c r="S72" s="2"/>
      <c r="T72" s="7">
        <v>2700</v>
      </c>
      <c r="U72" s="2"/>
      <c r="V72" s="6">
        <f t="shared" si="33"/>
        <v>1.4764917898853751E-3</v>
      </c>
      <c r="W72" s="2"/>
      <c r="X72" s="7">
        <f t="shared" si="34"/>
        <v>-1023.1800000000001</v>
      </c>
      <c r="Y72" s="2"/>
      <c r="Z72" s="6">
        <f t="shared" si="35"/>
        <v>-0.3789555555555556</v>
      </c>
    </row>
    <row r="73" spans="1:26" s="28" customFormat="1" outlineLevel="1" collapsed="1" x14ac:dyDescent="0.25">
      <c r="A73" s="27"/>
      <c r="B73" s="14" t="str">
        <f>CONCATENATE("     ","Services                                          ")</f>
        <v xml:space="preserve">     Services                                          </v>
      </c>
      <c r="C73" s="14"/>
      <c r="D73" s="1">
        <f>SUM(OSRRefD22_13x_0)</f>
        <v>12610.109999999999</v>
      </c>
      <c r="E73" s="1"/>
      <c r="F73" s="5">
        <f t="shared" ref="F73:F77" si="36">IF(D$12=0,0,D73/D$12)</f>
        <v>0.14821662052127599</v>
      </c>
      <c r="G73" s="1"/>
      <c r="H73" s="1">
        <f>SUM(OSRRefH22_13x_0)</f>
        <v>19075</v>
      </c>
      <c r="I73" s="1"/>
      <c r="J73" s="5">
        <f t="shared" ref="J73:J77" si="37">IF(H$12=0,0,H73/H$12)</f>
        <v>6.5072406911491298E-2</v>
      </c>
      <c r="K73" s="1"/>
      <c r="L73" s="1">
        <f t="shared" ref="L73:L77" si="38">+D73-H73</f>
        <v>-6464.8900000000012</v>
      </c>
      <c r="M73" s="1"/>
      <c r="N73" s="5">
        <f t="shared" ref="N73:N77" si="39">IF(H73=0,0,L73/H73)</f>
        <v>-0.33891952817824383</v>
      </c>
      <c r="O73" s="14"/>
      <c r="P73" s="1">
        <f>SUM(OSRRefP22_13x_0)</f>
        <v>65525.990000000005</v>
      </c>
      <c r="Q73" s="1"/>
      <c r="R73" s="5">
        <f t="shared" ref="R73:R77" si="40">IF(P$12=0,0,P73/P$12)</f>
        <v>0.10294737535370393</v>
      </c>
      <c r="S73" s="1"/>
      <c r="T73" s="1">
        <f>SUM(OSRRefT22_13x_0)</f>
        <v>114450</v>
      </c>
      <c r="U73" s="1"/>
      <c r="V73" s="5">
        <f t="shared" ref="V73:V77" si="41">IF(T$12=0,0,T73/T$12)</f>
        <v>6.2586846426807841E-2</v>
      </c>
      <c r="W73" s="1"/>
      <c r="X73" s="1">
        <f t="shared" ref="X73:X77" si="42">+P73-T73</f>
        <v>-48924.009999999995</v>
      </c>
      <c r="Y73" s="1"/>
      <c r="Z73" s="5">
        <f t="shared" ref="Z73:Z77" si="43">IF(T73=0,0,X73/T73)</f>
        <v>-0.42747059851463515</v>
      </c>
    </row>
    <row r="74" spans="1:26" s="24" customFormat="1" hidden="1" outlineLevel="2" x14ac:dyDescent="0.25">
      <c r="A74" s="29"/>
      <c r="B74" s="11" t="str">
        <f>CONCATENATE("          ", "6282", " - ", "JANITORIAL/EXTERMINATOR EXPENS")</f>
        <v xml:space="preserve">          6282 - JANITORIAL/EXTERMINATOR EXPENS</v>
      </c>
      <c r="C74" s="11"/>
      <c r="D74" s="7">
        <v>1996.15</v>
      </c>
      <c r="E74" s="2"/>
      <c r="F74" s="6">
        <f t="shared" si="36"/>
        <v>2.3462333560416611E-2</v>
      </c>
      <c r="G74" s="2"/>
      <c r="H74" s="7">
        <v>1750</v>
      </c>
      <c r="I74" s="2"/>
      <c r="J74" s="6">
        <f t="shared" si="37"/>
        <v>5.9699455882102105E-3</v>
      </c>
      <c r="K74" s="2"/>
      <c r="L74" s="7">
        <f t="shared" si="38"/>
        <v>246.15000000000009</v>
      </c>
      <c r="M74" s="2"/>
      <c r="N74" s="6">
        <f t="shared" si="39"/>
        <v>0.1406571428571429</v>
      </c>
      <c r="O74" s="11"/>
      <c r="P74" s="7">
        <v>5884.86</v>
      </c>
      <c r="Q74" s="2"/>
      <c r="R74" s="6">
        <f t="shared" si="40"/>
        <v>9.2456579644809352E-3</v>
      </c>
      <c r="S74" s="2"/>
      <c r="T74" s="7">
        <v>10500</v>
      </c>
      <c r="U74" s="2"/>
      <c r="V74" s="6">
        <f t="shared" si="41"/>
        <v>5.7419125162209029E-3</v>
      </c>
      <c r="W74" s="2"/>
      <c r="X74" s="7">
        <f t="shared" si="42"/>
        <v>-4615.1400000000003</v>
      </c>
      <c r="Y74" s="2"/>
      <c r="Z74" s="6">
        <f t="shared" si="43"/>
        <v>-0.4395371428571429</v>
      </c>
    </row>
    <row r="75" spans="1:26" s="24" customFormat="1" hidden="1" outlineLevel="2" x14ac:dyDescent="0.25">
      <c r="A75" s="29"/>
      <c r="B75" s="11" t="str">
        <f>CONCATENATE("          ", "6284", " - ", "TRASH REMOVAL EXPENSE")</f>
        <v xml:space="preserve">          6284 - TRASH REMOVAL EXPENSE</v>
      </c>
      <c r="C75" s="11"/>
      <c r="D75" s="7">
        <v>282.75</v>
      </c>
      <c r="E75" s="2"/>
      <c r="F75" s="6">
        <f t="shared" si="36"/>
        <v>3.3233849230808292E-3</v>
      </c>
      <c r="G75" s="2"/>
      <c r="H75" s="7">
        <v>500</v>
      </c>
      <c r="I75" s="2"/>
      <c r="J75" s="6">
        <f t="shared" si="37"/>
        <v>1.7056987394886314E-3</v>
      </c>
      <c r="K75" s="2"/>
      <c r="L75" s="7">
        <f t="shared" si="38"/>
        <v>-217.25</v>
      </c>
      <c r="M75" s="2"/>
      <c r="N75" s="6">
        <f t="shared" si="39"/>
        <v>-0.4345</v>
      </c>
      <c r="O75" s="11"/>
      <c r="P75" s="7">
        <v>282.75</v>
      </c>
      <c r="Q75" s="2"/>
      <c r="R75" s="6">
        <f t="shared" si="40"/>
        <v>4.442263349437343E-4</v>
      </c>
      <c r="S75" s="2"/>
      <c r="T75" s="7">
        <v>3000</v>
      </c>
      <c r="U75" s="2"/>
      <c r="V75" s="6">
        <f t="shared" si="41"/>
        <v>1.6405464332059723E-3</v>
      </c>
      <c r="W75" s="2"/>
      <c r="X75" s="7">
        <f t="shared" si="42"/>
        <v>-2717.25</v>
      </c>
      <c r="Y75" s="2"/>
      <c r="Z75" s="6">
        <f t="shared" si="43"/>
        <v>-0.90575000000000006</v>
      </c>
    </row>
    <row r="76" spans="1:26" s="24" customFormat="1" hidden="1" outlineLevel="2" x14ac:dyDescent="0.25">
      <c r="A76" s="29"/>
      <c r="B76" s="11" t="str">
        <f>CONCATENATE("          ", "6285", " - ", "JANITORIAL SERVICES")</f>
        <v xml:space="preserve">          6285 - JANITORIAL SERVICES</v>
      </c>
      <c r="C76" s="11"/>
      <c r="D76" s="7">
        <v>8351.15</v>
      </c>
      <c r="E76" s="2"/>
      <c r="F76" s="6">
        <f t="shared" si="36"/>
        <v>9.815768700401932E-2</v>
      </c>
      <c r="G76" s="2"/>
      <c r="H76" s="7">
        <v>12325</v>
      </c>
      <c r="I76" s="2"/>
      <c r="J76" s="6">
        <f t="shared" si="37"/>
        <v>4.2045473928394764E-2</v>
      </c>
      <c r="K76" s="2"/>
      <c r="L76" s="7">
        <f t="shared" si="38"/>
        <v>-3973.8500000000004</v>
      </c>
      <c r="M76" s="2"/>
      <c r="N76" s="6">
        <f t="shared" si="39"/>
        <v>-0.32242190669371201</v>
      </c>
      <c r="O76" s="11"/>
      <c r="P76" s="7">
        <v>49301.98</v>
      </c>
      <c r="Q76" s="2"/>
      <c r="R76" s="6">
        <f t="shared" si="40"/>
        <v>7.7457958906699528E-2</v>
      </c>
      <c r="S76" s="2"/>
      <c r="T76" s="7">
        <v>73950</v>
      </c>
      <c r="U76" s="2"/>
      <c r="V76" s="6">
        <f t="shared" si="41"/>
        <v>4.0439469578527218E-2</v>
      </c>
      <c r="W76" s="2"/>
      <c r="X76" s="7">
        <f t="shared" si="42"/>
        <v>-24648.019999999997</v>
      </c>
      <c r="Y76" s="2"/>
      <c r="Z76" s="6">
        <f t="shared" si="43"/>
        <v>-0.33330655848546309</v>
      </c>
    </row>
    <row r="77" spans="1:26" s="24" customFormat="1" hidden="1" outlineLevel="2" x14ac:dyDescent="0.25">
      <c r="A77" s="29"/>
      <c r="B77" s="11" t="str">
        <f>CONCATENATE("          ", "6286", " - ", "LAUNDRY EXPENSE")</f>
        <v xml:space="preserve">          6286 - LAUNDRY EXPENSE</v>
      </c>
      <c r="C77" s="11"/>
      <c r="D77" s="7">
        <v>1980.06</v>
      </c>
      <c r="E77" s="2"/>
      <c r="F77" s="6">
        <f t="shared" si="36"/>
        <v>2.3273215033759245E-2</v>
      </c>
      <c r="G77" s="2"/>
      <c r="H77" s="7">
        <v>4500</v>
      </c>
      <c r="I77" s="2"/>
      <c r="J77" s="6">
        <f t="shared" si="37"/>
        <v>1.5351288655397683E-2</v>
      </c>
      <c r="K77" s="2"/>
      <c r="L77" s="7">
        <f t="shared" si="38"/>
        <v>-2519.94</v>
      </c>
      <c r="M77" s="2"/>
      <c r="N77" s="6">
        <f t="shared" si="39"/>
        <v>-0.55998666666666663</v>
      </c>
      <c r="O77" s="11"/>
      <c r="P77" s="7">
        <v>10056.4</v>
      </c>
      <c r="Q77" s="2"/>
      <c r="R77" s="6">
        <f t="shared" si="40"/>
        <v>1.5799532147579735E-2</v>
      </c>
      <c r="S77" s="2"/>
      <c r="T77" s="7">
        <v>27000</v>
      </c>
      <c r="U77" s="2"/>
      <c r="V77" s="6">
        <f t="shared" si="41"/>
        <v>1.4764917898853751E-2</v>
      </c>
      <c r="W77" s="2"/>
      <c r="X77" s="7">
        <f t="shared" si="42"/>
        <v>-16943.599999999999</v>
      </c>
      <c r="Y77" s="2"/>
      <c r="Z77" s="6">
        <f t="shared" si="43"/>
        <v>-0.62754074074074073</v>
      </c>
    </row>
    <row r="78" spans="1:26" s="28" customFormat="1" outlineLevel="1" collapsed="1" x14ac:dyDescent="0.25">
      <c r="A78" s="27"/>
      <c r="B78" s="14" t="str">
        <f>CONCATENATE("     ","Subscriptions &amp; Dues                              ")</f>
        <v xml:space="preserve">     Subscriptions &amp; Dues                              </v>
      </c>
      <c r="C78" s="14"/>
      <c r="D78" s="1">
        <f>SUM(OSRRefD22_14x_0)</f>
        <v>0</v>
      </c>
      <c r="E78" s="1"/>
      <c r="F78" s="5">
        <f t="shared" ref="F78:F90" si="44">IF(D$12=0,0,D78/D$12)</f>
        <v>0</v>
      </c>
      <c r="G78" s="1"/>
      <c r="H78" s="1">
        <f>SUM(OSRRefH22_14x_0)</f>
        <v>0</v>
      </c>
      <c r="I78" s="1"/>
      <c r="J78" s="5">
        <f t="shared" ref="J78:J90" si="45">IF(H$12=0,0,H78/H$12)</f>
        <v>0</v>
      </c>
      <c r="K78" s="1"/>
      <c r="L78" s="1">
        <f t="shared" ref="L78:L90" si="46">+D78-H78</f>
        <v>0</v>
      </c>
      <c r="M78" s="1"/>
      <c r="N78" s="5">
        <f t="shared" ref="N78:N90" si="47">IF(H78=0,0,L78/H78)</f>
        <v>0</v>
      </c>
      <c r="O78" s="14"/>
      <c r="P78" s="1">
        <f>SUM(OSRRefP22_14x_0)</f>
        <v>795</v>
      </c>
      <c r="Q78" s="1"/>
      <c r="R78" s="5">
        <f t="shared" ref="R78:R90" si="48">IF(P$12=0,0,P78/P$12)</f>
        <v>1.2490183422821178E-3</v>
      </c>
      <c r="S78" s="1"/>
      <c r="T78" s="1">
        <f>SUM(OSRRefT22_14x_0)</f>
        <v>0</v>
      </c>
      <c r="U78" s="1"/>
      <c r="V78" s="5">
        <f t="shared" ref="V78:V90" si="49">IF(T$12=0,0,T78/T$12)</f>
        <v>0</v>
      </c>
      <c r="W78" s="1"/>
      <c r="X78" s="1">
        <f t="shared" ref="X78:X90" si="50">+P78-T78</f>
        <v>795</v>
      </c>
      <c r="Y78" s="1"/>
      <c r="Z78" s="5">
        <f t="shared" ref="Z78:Z90" si="51">IF(T78=0,0,X78/T78)</f>
        <v>0</v>
      </c>
    </row>
    <row r="79" spans="1:26" s="24" customFormat="1" hidden="1" outlineLevel="2" x14ac:dyDescent="0.25">
      <c r="A79" s="29"/>
      <c r="B79" s="11" t="str">
        <f>CONCATENATE("          ", "6258", " - ", "MEMBERSHIP DUES")</f>
        <v xml:space="preserve">          6258 - MEMBERSHIP DUES</v>
      </c>
      <c r="C79" s="11"/>
      <c r="D79" s="7"/>
      <c r="E79" s="2"/>
      <c r="F79" s="6">
        <f t="shared" si="44"/>
        <v>0</v>
      </c>
      <c r="G79" s="2"/>
      <c r="H79" s="7"/>
      <c r="I79" s="2"/>
      <c r="J79" s="6">
        <f t="shared" si="45"/>
        <v>0</v>
      </c>
      <c r="K79" s="2"/>
      <c r="L79" s="7">
        <f t="shared" si="46"/>
        <v>0</v>
      </c>
      <c r="M79" s="2"/>
      <c r="N79" s="6">
        <f t="shared" si="47"/>
        <v>0</v>
      </c>
      <c r="O79" s="11"/>
      <c r="P79" s="7">
        <v>795</v>
      </c>
      <c r="Q79" s="2"/>
      <c r="R79" s="6">
        <f t="shared" si="48"/>
        <v>1.2490183422821178E-3</v>
      </c>
      <c r="S79" s="2"/>
      <c r="T79" s="7"/>
      <c r="U79" s="2"/>
      <c r="V79" s="6">
        <f t="shared" si="49"/>
        <v>0</v>
      </c>
      <c r="W79" s="2"/>
      <c r="X79" s="7">
        <f t="shared" si="50"/>
        <v>795</v>
      </c>
      <c r="Y79" s="2"/>
      <c r="Z79" s="6">
        <f t="shared" si="51"/>
        <v>0</v>
      </c>
    </row>
    <row r="80" spans="1:26" s="28" customFormat="1" outlineLevel="1" collapsed="1" x14ac:dyDescent="0.25">
      <c r="A80" s="27"/>
      <c r="B80" s="14" t="str">
        <f>CONCATENATE("     ","Supplies                                          ")</f>
        <v xml:space="preserve">     Supplies                                          </v>
      </c>
      <c r="C80" s="14"/>
      <c r="D80" s="1">
        <f>SUM(OSRRefD22_15x_0)</f>
        <v>13737.579999999998</v>
      </c>
      <c r="E80" s="1"/>
      <c r="F80" s="5">
        <f t="shared" si="44"/>
        <v>0.16146866932490445</v>
      </c>
      <c r="G80" s="1"/>
      <c r="H80" s="1">
        <f>SUM(OSRRefH22_15x_0)</f>
        <v>25888</v>
      </c>
      <c r="I80" s="1"/>
      <c r="J80" s="5">
        <f t="shared" si="45"/>
        <v>8.8314257935763391E-2</v>
      </c>
      <c r="K80" s="1"/>
      <c r="L80" s="1">
        <f t="shared" si="46"/>
        <v>-12150.420000000002</v>
      </c>
      <c r="M80" s="1"/>
      <c r="N80" s="5">
        <f t="shared" si="47"/>
        <v>-0.46934564276885049</v>
      </c>
      <c r="O80" s="14"/>
      <c r="P80" s="1">
        <f>SUM(OSRRefP22_15x_0)</f>
        <v>89740.780000000013</v>
      </c>
      <c r="Q80" s="1"/>
      <c r="R80" s="5">
        <f t="shared" si="48"/>
        <v>0.1409910443656657</v>
      </c>
      <c r="S80" s="1"/>
      <c r="T80" s="1">
        <f>SUM(OSRRefT22_15x_0)</f>
        <v>148690</v>
      </c>
      <c r="U80" s="1"/>
      <c r="V80" s="5">
        <f t="shared" si="49"/>
        <v>8.1310949717798675E-2</v>
      </c>
      <c r="W80" s="1"/>
      <c r="X80" s="1">
        <f t="shared" si="50"/>
        <v>-58949.219999999987</v>
      </c>
      <c r="Y80" s="1"/>
      <c r="Z80" s="5">
        <f t="shared" si="51"/>
        <v>-0.39645719281727076</v>
      </c>
    </row>
    <row r="81" spans="1:26" s="24" customFormat="1" hidden="1" outlineLevel="2" x14ac:dyDescent="0.25">
      <c r="A81" s="29"/>
      <c r="B81" s="11" t="str">
        <f>CONCATENATE("          ", "6234", " - ", "EXPENDABLE SUPPLIES &amp; EQUIPMEN")</f>
        <v xml:space="preserve">          6234 - EXPENDABLE SUPPLIES &amp; EQUIPMEN</v>
      </c>
      <c r="C81" s="11"/>
      <c r="D81" s="7"/>
      <c r="E81" s="2"/>
      <c r="F81" s="6">
        <f t="shared" si="44"/>
        <v>0</v>
      </c>
      <c r="G81" s="2"/>
      <c r="H81" s="7">
        <v>100</v>
      </c>
      <c r="I81" s="2"/>
      <c r="J81" s="6">
        <f t="shared" si="45"/>
        <v>3.4113974789772629E-4</v>
      </c>
      <c r="K81" s="2"/>
      <c r="L81" s="7">
        <f t="shared" si="46"/>
        <v>-100</v>
      </c>
      <c r="M81" s="2"/>
      <c r="N81" s="6">
        <f t="shared" si="47"/>
        <v>-1</v>
      </c>
      <c r="O81" s="11"/>
      <c r="P81" s="7"/>
      <c r="Q81" s="2"/>
      <c r="R81" s="6">
        <f t="shared" si="48"/>
        <v>0</v>
      </c>
      <c r="S81" s="2"/>
      <c r="T81" s="7">
        <v>600</v>
      </c>
      <c r="U81" s="2"/>
      <c r="V81" s="6">
        <f t="shared" si="49"/>
        <v>3.2810928664119444E-4</v>
      </c>
      <c r="W81" s="2"/>
      <c r="X81" s="7">
        <f t="shared" si="50"/>
        <v>-600</v>
      </c>
      <c r="Y81" s="2"/>
      <c r="Z81" s="6">
        <f t="shared" si="51"/>
        <v>-1</v>
      </c>
    </row>
    <row r="82" spans="1:26" s="24" customFormat="1" hidden="1" outlineLevel="2" x14ac:dyDescent="0.25">
      <c r="A82" s="29"/>
      <c r="B82" s="11" t="str">
        <f>CONCATENATE("          ", "6235", " - ", "COVID-19 EXPENSES")</f>
        <v xml:space="preserve">          6235 - COVID-19 EXPENSES</v>
      </c>
      <c r="C82" s="11"/>
      <c r="D82" s="7">
        <v>4714.9799999999996</v>
      </c>
      <c r="E82" s="2"/>
      <c r="F82" s="6">
        <f t="shared" si="44"/>
        <v>5.5418898124235706E-2</v>
      </c>
      <c r="G82" s="2"/>
      <c r="H82" s="7">
        <v>12200</v>
      </c>
      <c r="I82" s="2"/>
      <c r="J82" s="6">
        <f t="shared" si="45"/>
        <v>4.161904924352261E-2</v>
      </c>
      <c r="K82" s="2"/>
      <c r="L82" s="7">
        <f t="shared" si="46"/>
        <v>-7485.02</v>
      </c>
      <c r="M82" s="2"/>
      <c r="N82" s="6">
        <f t="shared" si="47"/>
        <v>-0.6135262295081968</v>
      </c>
      <c r="O82" s="11"/>
      <c r="P82" s="7">
        <v>47727.15</v>
      </c>
      <c r="Q82" s="2"/>
      <c r="R82" s="6">
        <f t="shared" si="48"/>
        <v>7.4983755691635193E-2</v>
      </c>
      <c r="S82" s="2"/>
      <c r="T82" s="7">
        <v>66200</v>
      </c>
      <c r="U82" s="2"/>
      <c r="V82" s="6">
        <f t="shared" si="49"/>
        <v>3.6201391292745119E-2</v>
      </c>
      <c r="W82" s="2"/>
      <c r="X82" s="7">
        <f t="shared" si="50"/>
        <v>-18472.849999999999</v>
      </c>
      <c r="Y82" s="2"/>
      <c r="Z82" s="6">
        <f t="shared" si="51"/>
        <v>-0.27904607250755287</v>
      </c>
    </row>
    <row r="83" spans="1:26" s="24" customFormat="1" hidden="1" outlineLevel="2" x14ac:dyDescent="0.25">
      <c r="A83" s="29"/>
      <c r="B83" s="11" t="str">
        <f>CONCATENATE("          ", "6237", " - ", "JANITORIAL SUPPLIES")</f>
        <v xml:space="preserve">          6237 - JANITORIAL SUPPLIES</v>
      </c>
      <c r="C83" s="11"/>
      <c r="D83" s="7">
        <v>4782.1899999999996</v>
      </c>
      <c r="E83" s="2"/>
      <c r="F83" s="6">
        <f t="shared" si="44"/>
        <v>5.6208870540434691E-2</v>
      </c>
      <c r="G83" s="2"/>
      <c r="H83" s="7">
        <v>9000</v>
      </c>
      <c r="I83" s="2"/>
      <c r="J83" s="6">
        <f t="shared" si="45"/>
        <v>3.0702577310795367E-2</v>
      </c>
      <c r="K83" s="2"/>
      <c r="L83" s="7">
        <f t="shared" si="46"/>
        <v>-4217.8100000000004</v>
      </c>
      <c r="M83" s="2"/>
      <c r="N83" s="6">
        <f t="shared" si="47"/>
        <v>-0.46864555555555559</v>
      </c>
      <c r="O83" s="11"/>
      <c r="P83" s="7">
        <v>13064.45</v>
      </c>
      <c r="Q83" s="2"/>
      <c r="R83" s="6">
        <f t="shared" si="48"/>
        <v>2.0525456203556749E-2</v>
      </c>
      <c r="S83" s="2"/>
      <c r="T83" s="7">
        <v>50000</v>
      </c>
      <c r="U83" s="2"/>
      <c r="V83" s="6">
        <f t="shared" si="49"/>
        <v>2.7342440553432872E-2</v>
      </c>
      <c r="W83" s="2"/>
      <c r="X83" s="7">
        <f t="shared" si="50"/>
        <v>-36935.550000000003</v>
      </c>
      <c r="Y83" s="2"/>
      <c r="Z83" s="6">
        <f t="shared" si="51"/>
        <v>-0.73871100000000001</v>
      </c>
    </row>
    <row r="84" spans="1:26" s="24" customFormat="1" hidden="1" outlineLevel="2" x14ac:dyDescent="0.25">
      <c r="A84" s="29"/>
      <c r="B84" s="11" t="str">
        <f>CONCATENATE("          ", "6239", " - ", "KITCHEN SUPPLIES")</f>
        <v xml:space="preserve">          6239 - KITCHEN SUPPLIES</v>
      </c>
      <c r="C84" s="11"/>
      <c r="D84" s="7">
        <v>148.04</v>
      </c>
      <c r="E84" s="2"/>
      <c r="F84" s="6">
        <f t="shared" si="44"/>
        <v>1.7400314907617539E-3</v>
      </c>
      <c r="G84" s="2"/>
      <c r="H84" s="7">
        <v>2300</v>
      </c>
      <c r="I84" s="2"/>
      <c r="J84" s="6">
        <f t="shared" si="45"/>
        <v>7.8462142016477044E-3</v>
      </c>
      <c r="K84" s="2"/>
      <c r="L84" s="7">
        <f t="shared" si="46"/>
        <v>-2151.96</v>
      </c>
      <c r="M84" s="2"/>
      <c r="N84" s="6">
        <f t="shared" si="47"/>
        <v>-0.9356347826086957</v>
      </c>
      <c r="O84" s="11"/>
      <c r="P84" s="7">
        <v>5814.55</v>
      </c>
      <c r="Q84" s="2"/>
      <c r="R84" s="6">
        <f t="shared" si="48"/>
        <v>9.1351944680710534E-3</v>
      </c>
      <c r="S84" s="2"/>
      <c r="T84" s="7">
        <v>13000</v>
      </c>
      <c r="U84" s="2"/>
      <c r="V84" s="6">
        <f t="shared" si="49"/>
        <v>7.1090345438925466E-3</v>
      </c>
      <c r="W84" s="2"/>
      <c r="X84" s="7">
        <f t="shared" si="50"/>
        <v>-7185.45</v>
      </c>
      <c r="Y84" s="2"/>
      <c r="Z84" s="6">
        <f t="shared" si="51"/>
        <v>-0.55272692307692306</v>
      </c>
    </row>
    <row r="85" spans="1:26" s="24" customFormat="1" hidden="1" outlineLevel="2" x14ac:dyDescent="0.25">
      <c r="A85" s="29"/>
      <c r="B85" s="11" t="str">
        <f>CONCATENATE("          ", "6241", " - ", "OFFICE EXPENSE")</f>
        <v xml:space="preserve">          6241 - OFFICE EXPENSE</v>
      </c>
      <c r="C85" s="11"/>
      <c r="D85" s="7">
        <v>725.9</v>
      </c>
      <c r="E85" s="2"/>
      <c r="F85" s="6">
        <f t="shared" si="44"/>
        <v>8.5320782163196239E-3</v>
      </c>
      <c r="G85" s="2"/>
      <c r="H85" s="7">
        <v>1000</v>
      </c>
      <c r="I85" s="2"/>
      <c r="J85" s="6">
        <f t="shared" si="45"/>
        <v>3.4113974789772628E-3</v>
      </c>
      <c r="K85" s="2"/>
      <c r="L85" s="7">
        <f t="shared" si="46"/>
        <v>-274.10000000000002</v>
      </c>
      <c r="M85" s="2"/>
      <c r="N85" s="6">
        <f t="shared" si="47"/>
        <v>-0.27410000000000001</v>
      </c>
      <c r="O85" s="11"/>
      <c r="P85" s="7">
        <v>3287.88</v>
      </c>
      <c r="Q85" s="2"/>
      <c r="R85" s="6">
        <f t="shared" si="48"/>
        <v>5.1655628015377731E-3</v>
      </c>
      <c r="S85" s="2"/>
      <c r="T85" s="7">
        <v>5750</v>
      </c>
      <c r="U85" s="2"/>
      <c r="V85" s="6">
        <f t="shared" si="49"/>
        <v>3.1443806636447802E-3</v>
      </c>
      <c r="W85" s="2"/>
      <c r="X85" s="7">
        <f t="shared" si="50"/>
        <v>-2462.12</v>
      </c>
      <c r="Y85" s="2"/>
      <c r="Z85" s="6">
        <f t="shared" si="51"/>
        <v>-0.42819478260869565</v>
      </c>
    </row>
    <row r="86" spans="1:26" s="24" customFormat="1" hidden="1" outlineLevel="2" x14ac:dyDescent="0.25">
      <c r="A86" s="29"/>
      <c r="B86" s="11" t="str">
        <f>CONCATENATE("          ", "6243", " - ", "PAPER SUPPLIES")</f>
        <v xml:space="preserve">          6243 - PAPER SUPPLIES</v>
      </c>
      <c r="C86" s="11"/>
      <c r="D86" s="7">
        <v>3366.47</v>
      </c>
      <c r="E86" s="2"/>
      <c r="F86" s="6">
        <f t="shared" si="44"/>
        <v>3.9568790953152674E-2</v>
      </c>
      <c r="G86" s="2"/>
      <c r="H86" s="7">
        <v>500</v>
      </c>
      <c r="I86" s="2"/>
      <c r="J86" s="6">
        <f t="shared" si="45"/>
        <v>1.7056987394886314E-3</v>
      </c>
      <c r="K86" s="2"/>
      <c r="L86" s="7">
        <f t="shared" si="46"/>
        <v>2866.47</v>
      </c>
      <c r="M86" s="2"/>
      <c r="N86" s="6">
        <f t="shared" si="47"/>
        <v>5.7329399999999993</v>
      </c>
      <c r="O86" s="11"/>
      <c r="P86" s="7">
        <v>15346.16</v>
      </c>
      <c r="Q86" s="2"/>
      <c r="R86" s="6">
        <f t="shared" si="48"/>
        <v>2.4110233111441691E-2</v>
      </c>
      <c r="S86" s="2"/>
      <c r="T86" s="7">
        <v>3000</v>
      </c>
      <c r="U86" s="2"/>
      <c r="V86" s="6">
        <f t="shared" si="49"/>
        <v>1.6405464332059723E-3</v>
      </c>
      <c r="W86" s="2"/>
      <c r="X86" s="7">
        <f t="shared" si="50"/>
        <v>12346.16</v>
      </c>
      <c r="Y86" s="2"/>
      <c r="Z86" s="6">
        <f t="shared" si="51"/>
        <v>4.1153866666666667</v>
      </c>
    </row>
    <row r="87" spans="1:26" s="24" customFormat="1" hidden="1" outlineLevel="2" x14ac:dyDescent="0.25">
      <c r="A87" s="29"/>
      <c r="B87" s="11" t="str">
        <f>CONCATENATE("          ", "6244", " - ", "SAFETY SUPPLY EXPENSE")</f>
        <v xml:space="preserve">          6244 - SAFETY SUPPLY EXPENSE</v>
      </c>
      <c r="C87" s="11"/>
      <c r="D87" s="7"/>
      <c r="E87" s="2"/>
      <c r="F87" s="6">
        <f t="shared" si="44"/>
        <v>0</v>
      </c>
      <c r="G87" s="2"/>
      <c r="H87" s="7">
        <v>120</v>
      </c>
      <c r="I87" s="2"/>
      <c r="J87" s="6">
        <f t="shared" si="45"/>
        <v>4.0936769747727158E-4</v>
      </c>
      <c r="K87" s="2"/>
      <c r="L87" s="7">
        <f t="shared" si="46"/>
        <v>-120</v>
      </c>
      <c r="M87" s="2"/>
      <c r="N87" s="6">
        <f t="shared" si="47"/>
        <v>-1</v>
      </c>
      <c r="O87" s="11"/>
      <c r="P87" s="7"/>
      <c r="Q87" s="2"/>
      <c r="R87" s="6">
        <f t="shared" si="48"/>
        <v>0</v>
      </c>
      <c r="S87" s="2"/>
      <c r="T87" s="7">
        <v>800</v>
      </c>
      <c r="U87" s="2"/>
      <c r="V87" s="6">
        <f t="shared" si="49"/>
        <v>4.3747904885492591E-4</v>
      </c>
      <c r="W87" s="2"/>
      <c r="X87" s="7">
        <f t="shared" si="50"/>
        <v>-800</v>
      </c>
      <c r="Y87" s="2"/>
      <c r="Z87" s="6">
        <f t="shared" si="51"/>
        <v>-1</v>
      </c>
    </row>
    <row r="88" spans="1:26" s="24" customFormat="1" hidden="1" outlineLevel="2" x14ac:dyDescent="0.25">
      <c r="A88" s="29"/>
      <c r="B88" s="11" t="str">
        <f>CONCATENATE("          ", "6245", " - ", "PRINTING")</f>
        <v xml:space="preserve">          6245 - PRINTING</v>
      </c>
      <c r="C88" s="11"/>
      <c r="D88" s="7"/>
      <c r="E88" s="2"/>
      <c r="F88" s="6">
        <f t="shared" si="44"/>
        <v>0</v>
      </c>
      <c r="G88" s="2"/>
      <c r="H88" s="7">
        <v>150</v>
      </c>
      <c r="I88" s="2"/>
      <c r="J88" s="6">
        <f t="shared" si="45"/>
        <v>5.1170962184658947E-4</v>
      </c>
      <c r="K88" s="2"/>
      <c r="L88" s="7">
        <f t="shared" si="46"/>
        <v>-150</v>
      </c>
      <c r="M88" s="2"/>
      <c r="N88" s="6">
        <f t="shared" si="47"/>
        <v>-1</v>
      </c>
      <c r="O88" s="11"/>
      <c r="P88" s="7"/>
      <c r="Q88" s="2"/>
      <c r="R88" s="6">
        <f t="shared" si="48"/>
        <v>0</v>
      </c>
      <c r="S88" s="2"/>
      <c r="T88" s="7">
        <v>1900</v>
      </c>
      <c r="U88" s="2"/>
      <c r="V88" s="6">
        <f t="shared" si="49"/>
        <v>1.039012741030449E-3</v>
      </c>
      <c r="W88" s="2"/>
      <c r="X88" s="7">
        <f t="shared" si="50"/>
        <v>-1900</v>
      </c>
      <c r="Y88" s="2"/>
      <c r="Z88" s="6">
        <f t="shared" si="51"/>
        <v>-1</v>
      </c>
    </row>
    <row r="89" spans="1:26" s="24" customFormat="1" hidden="1" outlineLevel="2" x14ac:dyDescent="0.25">
      <c r="A89" s="29"/>
      <c r="B89" s="11" t="str">
        <f>CONCATENATE("          ", "6247", " - ", "STORE SUPPLIES")</f>
        <v xml:space="preserve">          6247 - STORE SUPPLIES</v>
      </c>
      <c r="C89" s="11"/>
      <c r="D89" s="7"/>
      <c r="E89" s="2"/>
      <c r="F89" s="6">
        <f t="shared" si="44"/>
        <v>0</v>
      </c>
      <c r="G89" s="2"/>
      <c r="H89" s="7">
        <v>18</v>
      </c>
      <c r="I89" s="2"/>
      <c r="J89" s="6">
        <f t="shared" si="45"/>
        <v>6.1405154621590731E-5</v>
      </c>
      <c r="K89" s="2"/>
      <c r="L89" s="7">
        <f t="shared" si="46"/>
        <v>-18</v>
      </c>
      <c r="M89" s="2"/>
      <c r="N89" s="6">
        <f t="shared" si="47"/>
        <v>-1</v>
      </c>
      <c r="O89" s="11"/>
      <c r="P89" s="7"/>
      <c r="Q89" s="2"/>
      <c r="R89" s="6">
        <f t="shared" si="48"/>
        <v>0</v>
      </c>
      <c r="S89" s="2"/>
      <c r="T89" s="7">
        <v>90</v>
      </c>
      <c r="U89" s="2"/>
      <c r="V89" s="6">
        <f t="shared" si="49"/>
        <v>4.9216392996179169E-5</v>
      </c>
      <c r="W89" s="2"/>
      <c r="X89" s="7">
        <f t="shared" si="50"/>
        <v>-90</v>
      </c>
      <c r="Y89" s="2"/>
      <c r="Z89" s="6">
        <f t="shared" si="51"/>
        <v>-1</v>
      </c>
    </row>
    <row r="90" spans="1:26" s="24" customFormat="1" hidden="1" outlineLevel="2" x14ac:dyDescent="0.25">
      <c r="A90" s="29"/>
      <c r="B90" s="11" t="str">
        <f>CONCATENATE("          ", "6248", " - ", "UNIFORMS")</f>
        <v xml:space="preserve">          6248 - UNIFORMS</v>
      </c>
      <c r="C90" s="11"/>
      <c r="D90" s="7"/>
      <c r="E90" s="2"/>
      <c r="F90" s="6">
        <f t="shared" si="44"/>
        <v>0</v>
      </c>
      <c r="G90" s="2"/>
      <c r="H90" s="7">
        <v>500</v>
      </c>
      <c r="I90" s="2"/>
      <c r="J90" s="6">
        <f t="shared" si="45"/>
        <v>1.7056987394886314E-3</v>
      </c>
      <c r="K90" s="2"/>
      <c r="L90" s="7">
        <f t="shared" si="46"/>
        <v>-500</v>
      </c>
      <c r="M90" s="2"/>
      <c r="N90" s="6">
        <f t="shared" si="47"/>
        <v>-1</v>
      </c>
      <c r="O90" s="11"/>
      <c r="P90" s="7">
        <v>4500.59</v>
      </c>
      <c r="Q90" s="2"/>
      <c r="R90" s="6">
        <f t="shared" si="48"/>
        <v>7.0708420894232404E-3</v>
      </c>
      <c r="S90" s="2"/>
      <c r="T90" s="7">
        <v>7350</v>
      </c>
      <c r="U90" s="2"/>
      <c r="V90" s="6">
        <f t="shared" si="49"/>
        <v>4.019338761354632E-3</v>
      </c>
      <c r="W90" s="2"/>
      <c r="X90" s="7">
        <f t="shared" si="50"/>
        <v>-2849.41</v>
      </c>
      <c r="Y90" s="2"/>
      <c r="Z90" s="6">
        <f t="shared" si="51"/>
        <v>-0.38767482993197278</v>
      </c>
    </row>
    <row r="91" spans="1:26" s="28" customFormat="1" outlineLevel="1" collapsed="1" x14ac:dyDescent="0.25">
      <c r="A91" s="27"/>
      <c r="B91" s="14" t="str">
        <f>CONCATENATE("     ","Telephone/Data Lines                              ")</f>
        <v xml:space="preserve">     Telephone/Data Lines                              </v>
      </c>
      <c r="C91" s="14"/>
      <c r="D91" s="1">
        <f>SUM(OSRRefD22_16x_0)</f>
        <v>498</v>
      </c>
      <c r="E91" s="1"/>
      <c r="F91" s="5">
        <f t="shared" ref="F91:F93" si="52">IF(D$12=0,0,D91/D$12)</f>
        <v>5.853388830041566E-3</v>
      </c>
      <c r="G91" s="1"/>
      <c r="H91" s="1">
        <f>SUM(OSRRefH22_16x_0)</f>
        <v>725</v>
      </c>
      <c r="I91" s="1"/>
      <c r="J91" s="5">
        <f t="shared" ref="J91:J93" si="53">IF(H$12=0,0,H91/H$12)</f>
        <v>2.4732631722585159E-3</v>
      </c>
      <c r="K91" s="1"/>
      <c r="L91" s="1">
        <f t="shared" ref="L91:L93" si="54">+D91-H91</f>
        <v>-227</v>
      </c>
      <c r="M91" s="1"/>
      <c r="N91" s="5">
        <f t="shared" ref="N91:N93" si="55">IF(H91=0,0,L91/H91)</f>
        <v>-0.31310344827586206</v>
      </c>
      <c r="O91" s="14"/>
      <c r="P91" s="1">
        <f>SUM(OSRRefP22_16x_0)</f>
        <v>3783.32</v>
      </c>
      <c r="Q91" s="1"/>
      <c r="R91" s="5">
        <f t="shared" ref="R91:R93" si="56">IF(P$12=0,0,P91/P$12)</f>
        <v>5.9439447480789708E-3</v>
      </c>
      <c r="S91" s="1"/>
      <c r="T91" s="1">
        <f>SUM(OSRRefT22_16x_0)</f>
        <v>4350</v>
      </c>
      <c r="U91" s="1"/>
      <c r="V91" s="5">
        <f t="shared" ref="V91:V93" si="57">IF(T$12=0,0,T91/T$12)</f>
        <v>2.37879232814866E-3</v>
      </c>
      <c r="W91" s="1"/>
      <c r="X91" s="1">
        <f t="shared" ref="X91:X93" si="58">+P91-T91</f>
        <v>-566.67999999999984</v>
      </c>
      <c r="Y91" s="1"/>
      <c r="Z91" s="5">
        <f t="shared" ref="Z91:Z93" si="59">IF(T91=0,0,X91/T91)</f>
        <v>-0.13027126436781605</v>
      </c>
    </row>
    <row r="92" spans="1:26" s="24" customFormat="1" hidden="1" outlineLevel="2" x14ac:dyDescent="0.25">
      <c r="A92" s="29"/>
      <c r="B92" s="11" t="str">
        <f>CONCATENATE("          ", "6303", " - ", "DATA PHONE LINES")</f>
        <v xml:space="preserve">          6303 - DATA PHONE LINES</v>
      </c>
      <c r="C92" s="11"/>
      <c r="D92" s="7"/>
      <c r="E92" s="2"/>
      <c r="F92" s="6">
        <f t="shared" si="52"/>
        <v>0</v>
      </c>
      <c r="G92" s="2"/>
      <c r="H92" s="7">
        <v>500</v>
      </c>
      <c r="I92" s="2"/>
      <c r="J92" s="6">
        <f t="shared" si="53"/>
        <v>1.7056987394886314E-3</v>
      </c>
      <c r="K92" s="2"/>
      <c r="L92" s="7">
        <f t="shared" si="54"/>
        <v>-500</v>
      </c>
      <c r="M92" s="2"/>
      <c r="N92" s="6">
        <f t="shared" si="55"/>
        <v>-1</v>
      </c>
      <c r="O92" s="11"/>
      <c r="P92" s="7"/>
      <c r="Q92" s="2"/>
      <c r="R92" s="6">
        <f t="shared" si="56"/>
        <v>0</v>
      </c>
      <c r="S92" s="2"/>
      <c r="T92" s="7">
        <v>3000</v>
      </c>
      <c r="U92" s="2"/>
      <c r="V92" s="6">
        <f t="shared" si="57"/>
        <v>1.6405464332059723E-3</v>
      </c>
      <c r="W92" s="2"/>
      <c r="X92" s="7">
        <f t="shared" si="58"/>
        <v>-3000</v>
      </c>
      <c r="Y92" s="2"/>
      <c r="Z92" s="6">
        <f t="shared" si="59"/>
        <v>-1</v>
      </c>
    </row>
    <row r="93" spans="1:26" s="24" customFormat="1" hidden="1" outlineLevel="2" x14ac:dyDescent="0.25">
      <c r="A93" s="29"/>
      <c r="B93" s="11" t="str">
        <f>CONCATENATE("          ", "6309", " - ", "TELEPHONE")</f>
        <v xml:space="preserve">          6309 - TELEPHONE</v>
      </c>
      <c r="C93" s="11"/>
      <c r="D93" s="7">
        <v>498</v>
      </c>
      <c r="E93" s="2"/>
      <c r="F93" s="6">
        <f t="shared" si="52"/>
        <v>5.853388830041566E-3</v>
      </c>
      <c r="G93" s="2"/>
      <c r="H93" s="7">
        <v>225</v>
      </c>
      <c r="I93" s="2"/>
      <c r="J93" s="6">
        <f t="shared" si="53"/>
        <v>7.6756443276988415E-4</v>
      </c>
      <c r="K93" s="2"/>
      <c r="L93" s="7">
        <f t="shared" si="54"/>
        <v>273</v>
      </c>
      <c r="M93" s="2"/>
      <c r="N93" s="6">
        <f t="shared" si="55"/>
        <v>1.2133333333333334</v>
      </c>
      <c r="O93" s="11"/>
      <c r="P93" s="7">
        <v>3783.32</v>
      </c>
      <c r="Q93" s="2"/>
      <c r="R93" s="6">
        <f t="shared" si="56"/>
        <v>5.9439447480789708E-3</v>
      </c>
      <c r="S93" s="2"/>
      <c r="T93" s="7">
        <v>1350</v>
      </c>
      <c r="U93" s="2"/>
      <c r="V93" s="6">
        <f t="shared" si="57"/>
        <v>7.3824589494268756E-4</v>
      </c>
      <c r="W93" s="2"/>
      <c r="X93" s="7">
        <f t="shared" si="58"/>
        <v>2433.3200000000002</v>
      </c>
      <c r="Y93" s="2"/>
      <c r="Z93" s="6">
        <f t="shared" si="59"/>
        <v>1.8024592592592594</v>
      </c>
    </row>
    <row r="94" spans="1:26" s="28" customFormat="1" outlineLevel="1" collapsed="1" x14ac:dyDescent="0.25">
      <c r="A94" s="27"/>
      <c r="B94" s="14" t="str">
        <f>CONCATENATE("     ","Training                                          ")</f>
        <v xml:space="preserve">     Training                                          </v>
      </c>
      <c r="C94" s="14"/>
      <c r="D94" s="1">
        <f>SUM(OSRRefD22_17x_0)</f>
        <v>0</v>
      </c>
      <c r="E94" s="1"/>
      <c r="F94" s="5">
        <f t="shared" ref="F94:F97" si="60">IF(D$12=0,0,D94/D$12)</f>
        <v>0</v>
      </c>
      <c r="G94" s="1"/>
      <c r="H94" s="1">
        <f>SUM(OSRRefH22_17x_0)</f>
        <v>750</v>
      </c>
      <c r="I94" s="1"/>
      <c r="J94" s="5">
        <f t="shared" ref="J94:J97" si="61">IF(H$12=0,0,H94/H$12)</f>
        <v>2.5585481092329472E-3</v>
      </c>
      <c r="K94" s="1"/>
      <c r="L94" s="1">
        <f t="shared" ref="L94:L97" si="62">+D94-H94</f>
        <v>-750</v>
      </c>
      <c r="M94" s="1"/>
      <c r="N94" s="5">
        <f t="shared" ref="N94:N97" si="63">IF(H94=0,0,L94/H94)</f>
        <v>-1</v>
      </c>
      <c r="O94" s="14"/>
      <c r="P94" s="1">
        <f>SUM(OSRRefP22_17x_0)</f>
        <v>735</v>
      </c>
      <c r="Q94" s="1"/>
      <c r="R94" s="5">
        <f t="shared" ref="R94:R97" si="64">IF(P$12=0,0,P94/P$12)</f>
        <v>1.1547528070155427E-3</v>
      </c>
      <c r="S94" s="1"/>
      <c r="T94" s="1">
        <f>SUM(OSRRefT22_17x_0)</f>
        <v>4150</v>
      </c>
      <c r="U94" s="1"/>
      <c r="V94" s="5">
        <f t="shared" ref="V94:V97" si="65">IF(T$12=0,0,T94/T$12)</f>
        <v>2.2694225659349284E-3</v>
      </c>
      <c r="W94" s="1"/>
      <c r="X94" s="1">
        <f t="shared" ref="X94:X97" si="66">+P94-T94</f>
        <v>-3415</v>
      </c>
      <c r="Y94" s="1"/>
      <c r="Z94" s="5">
        <f t="shared" ref="Z94:Z97" si="67">IF(T94=0,0,X94/T94)</f>
        <v>-0.82289156626506021</v>
      </c>
    </row>
    <row r="95" spans="1:26" s="24" customFormat="1" hidden="1" outlineLevel="2" x14ac:dyDescent="0.25">
      <c r="A95" s="29"/>
      <c r="B95" s="11" t="str">
        <f>CONCATENATE("          ", "6376", " - ", "TRAINING")</f>
        <v xml:space="preserve">          6376 - TRAINING</v>
      </c>
      <c r="C95" s="11"/>
      <c r="D95" s="7"/>
      <c r="E95" s="2"/>
      <c r="F95" s="6">
        <f t="shared" si="60"/>
        <v>0</v>
      </c>
      <c r="G95" s="2"/>
      <c r="H95" s="7">
        <v>750</v>
      </c>
      <c r="I95" s="2"/>
      <c r="J95" s="6">
        <f t="shared" si="61"/>
        <v>2.5585481092329472E-3</v>
      </c>
      <c r="K95" s="2"/>
      <c r="L95" s="7">
        <f t="shared" si="62"/>
        <v>-750</v>
      </c>
      <c r="M95" s="2"/>
      <c r="N95" s="6">
        <f t="shared" si="63"/>
        <v>-1</v>
      </c>
      <c r="O95" s="11"/>
      <c r="P95" s="7">
        <v>735</v>
      </c>
      <c r="Q95" s="2"/>
      <c r="R95" s="6">
        <f t="shared" si="64"/>
        <v>1.1547528070155427E-3</v>
      </c>
      <c r="S95" s="2"/>
      <c r="T95" s="7">
        <v>4150</v>
      </c>
      <c r="U95" s="2"/>
      <c r="V95" s="6">
        <f t="shared" si="65"/>
        <v>2.2694225659349284E-3</v>
      </c>
      <c r="W95" s="2"/>
      <c r="X95" s="7">
        <f t="shared" si="66"/>
        <v>-3415</v>
      </c>
      <c r="Y95" s="2"/>
      <c r="Z95" s="6">
        <f t="shared" si="67"/>
        <v>-0.82289156626506021</v>
      </c>
    </row>
    <row r="96" spans="1:26" s="28" customFormat="1" outlineLevel="1" collapsed="1" x14ac:dyDescent="0.25">
      <c r="A96" s="27"/>
      <c r="B96" s="14" t="str">
        <f>CONCATENATE("     ","Travel                                            ")</f>
        <v xml:space="preserve">     Travel                                            </v>
      </c>
      <c r="C96" s="14"/>
      <c r="D96" s="1">
        <f>SUM(OSRRefD22_18x_0)</f>
        <v>0</v>
      </c>
      <c r="E96" s="1"/>
      <c r="F96" s="5">
        <f t="shared" si="60"/>
        <v>0</v>
      </c>
      <c r="G96" s="1"/>
      <c r="H96" s="1">
        <f>SUM(OSRRefH22_18x_0)</f>
        <v>300</v>
      </c>
      <c r="I96" s="1"/>
      <c r="J96" s="5">
        <f t="shared" si="61"/>
        <v>1.0234192436931789E-3</v>
      </c>
      <c r="K96" s="1"/>
      <c r="L96" s="1">
        <f t="shared" si="62"/>
        <v>-300</v>
      </c>
      <c r="M96" s="1"/>
      <c r="N96" s="5">
        <f t="shared" si="63"/>
        <v>-1</v>
      </c>
      <c r="O96" s="14"/>
      <c r="P96" s="1">
        <f>SUM(OSRRefP22_18x_0)</f>
        <v>0</v>
      </c>
      <c r="Q96" s="1"/>
      <c r="R96" s="5">
        <f t="shared" si="64"/>
        <v>0</v>
      </c>
      <c r="S96" s="1"/>
      <c r="T96" s="1">
        <f>SUM(OSRRefT22_18x_0)</f>
        <v>1800</v>
      </c>
      <c r="U96" s="1"/>
      <c r="V96" s="5">
        <f t="shared" si="65"/>
        <v>9.8432785992358341E-4</v>
      </c>
      <c r="W96" s="1"/>
      <c r="X96" s="1">
        <f t="shared" si="66"/>
        <v>-1800</v>
      </c>
      <c r="Y96" s="1"/>
      <c r="Z96" s="5">
        <f t="shared" si="67"/>
        <v>-1</v>
      </c>
    </row>
    <row r="97" spans="1:26" s="24" customFormat="1" hidden="1" outlineLevel="2" x14ac:dyDescent="0.25">
      <c r="A97" s="29"/>
      <c r="B97" s="11" t="str">
        <f>CONCATENATE("          ", "6292", " - ", "TRAVEL/CONFERENCE")</f>
        <v xml:space="preserve">          6292 - TRAVEL/CONFERENCE</v>
      </c>
      <c r="C97" s="11"/>
      <c r="D97" s="7"/>
      <c r="E97" s="2"/>
      <c r="F97" s="6">
        <f t="shared" si="60"/>
        <v>0</v>
      </c>
      <c r="G97" s="2"/>
      <c r="H97" s="7">
        <v>300</v>
      </c>
      <c r="I97" s="2"/>
      <c r="J97" s="6">
        <f t="shared" si="61"/>
        <v>1.0234192436931789E-3</v>
      </c>
      <c r="K97" s="2"/>
      <c r="L97" s="7">
        <f t="shared" si="62"/>
        <v>-300</v>
      </c>
      <c r="M97" s="2"/>
      <c r="N97" s="6">
        <f t="shared" si="63"/>
        <v>-1</v>
      </c>
      <c r="O97" s="11"/>
      <c r="P97" s="7"/>
      <c r="Q97" s="2"/>
      <c r="R97" s="6">
        <f t="shared" si="64"/>
        <v>0</v>
      </c>
      <c r="S97" s="2"/>
      <c r="T97" s="7">
        <v>1800</v>
      </c>
      <c r="U97" s="2"/>
      <c r="V97" s="6">
        <f t="shared" si="65"/>
        <v>9.8432785992358341E-4</v>
      </c>
      <c r="W97" s="2"/>
      <c r="X97" s="7">
        <f t="shared" si="66"/>
        <v>-1800</v>
      </c>
      <c r="Y97" s="2"/>
      <c r="Z97" s="6">
        <f t="shared" si="67"/>
        <v>-1</v>
      </c>
    </row>
    <row r="98" spans="1:26" s="53" customFormat="1" x14ac:dyDescent="0.25">
      <c r="A98" s="36"/>
      <c r="B98" s="36"/>
      <c r="C98" s="36"/>
      <c r="D98" s="1"/>
      <c r="E98" s="1"/>
      <c r="F98" s="5"/>
      <c r="G98" s="1"/>
      <c r="H98" s="1"/>
      <c r="I98" s="1"/>
      <c r="J98" s="5"/>
      <c r="K98" s="1"/>
      <c r="L98" s="1"/>
      <c r="M98" s="1"/>
      <c r="N98" s="5"/>
      <c r="O98" s="36"/>
      <c r="P98" s="1"/>
      <c r="Q98" s="1"/>
      <c r="R98" s="5"/>
      <c r="S98" s="1"/>
      <c r="T98" s="1"/>
      <c r="U98" s="1"/>
      <c r="V98" s="5"/>
      <c r="W98" s="1"/>
      <c r="X98" s="1"/>
      <c r="Y98" s="1"/>
      <c r="Z98" s="5"/>
    </row>
    <row r="99" spans="1:26" s="23" customFormat="1" x14ac:dyDescent="0.25">
      <c r="A99" s="10"/>
      <c r="B99" s="26" t="s">
        <v>0</v>
      </c>
      <c r="C99" s="10"/>
      <c r="D99" s="4">
        <f>SUM(0)</f>
        <v>0</v>
      </c>
      <c r="E99" s="4"/>
      <c r="F99" s="12">
        <f>IF(D$12=0,0,D99/D$12)</f>
        <v>0</v>
      </c>
      <c r="G99" s="4"/>
      <c r="H99" s="4">
        <f>SUM(0)</f>
        <v>0</v>
      </c>
      <c r="I99" s="4"/>
      <c r="J99" s="12">
        <f>IF(H$12=0,0,H99/H$12)</f>
        <v>0</v>
      </c>
      <c r="K99" s="4"/>
      <c r="L99" s="4">
        <f>+D99-H99</f>
        <v>0</v>
      </c>
      <c r="M99" s="4"/>
      <c r="N99" s="12">
        <f>IF(H99=0,0,L99/H99)</f>
        <v>0</v>
      </c>
      <c r="O99" s="10"/>
      <c r="P99" s="4">
        <f>SUM(0)</f>
        <v>0</v>
      </c>
      <c r="Q99" s="4"/>
      <c r="R99" s="12">
        <f>IF(P$12=0,0,P99/P$12)</f>
        <v>0</v>
      </c>
      <c r="S99" s="4"/>
      <c r="T99" s="4">
        <f>SUM(0)</f>
        <v>0</v>
      </c>
      <c r="U99" s="4"/>
      <c r="V99" s="12">
        <f>IF(T$12=0,0,T99/T$12)</f>
        <v>0</v>
      </c>
      <c r="W99" s="4"/>
      <c r="X99" s="4">
        <f>+P99-T99</f>
        <v>0</v>
      </c>
      <c r="Y99" s="4"/>
      <c r="Z99" s="12">
        <f>IF(T99=0,0,X99/T99)</f>
        <v>0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10"/>
      <c r="B101" s="25" t="s">
        <v>3</v>
      </c>
      <c r="C101" s="25"/>
      <c r="D101" s="21">
        <f>+D23-D25+D99</f>
        <v>-198007.27999999997</v>
      </c>
      <c r="E101" s="13"/>
      <c r="F101" s="19">
        <f>IF(D$12=0,0,D101/D$12)</f>
        <v>-2.3273365482307482</v>
      </c>
      <c r="G101" s="13"/>
      <c r="H101" s="21">
        <f>+H23-H25+H99</f>
        <v>-130168.40762587619</v>
      </c>
      <c r="I101" s="13"/>
      <c r="J101" s="19">
        <f>IF(H$12=0,0,H101/H$12)</f>
        <v>-0.4440561776173988</v>
      </c>
      <c r="K101" s="16"/>
      <c r="L101" s="21">
        <f>+D101-H101</f>
        <v>-67838.872374123777</v>
      </c>
      <c r="M101" s="16"/>
      <c r="N101" s="19">
        <f>IF(H101=0,0,L101/H101)</f>
        <v>0.52116234354731461</v>
      </c>
      <c r="O101" s="26"/>
      <c r="P101" s="21">
        <f>+P23-P25+P99</f>
        <v>-1017832.4499999996</v>
      </c>
      <c r="Q101" s="13"/>
      <c r="R101" s="19">
        <f>IF(P$12=0,0,P101/P$12)</f>
        <v>-1.5991086785156554</v>
      </c>
      <c r="S101" s="13"/>
      <c r="T101" s="21">
        <f>+T23-T25+T99</f>
        <v>-773438.49905806966</v>
      </c>
      <c r="U101" s="13"/>
      <c r="V101" s="19">
        <f>IF(T$12=0,0,T101/T$12)</f>
        <v>-0.4229539236446323</v>
      </c>
      <c r="W101" s="16"/>
      <c r="X101" s="21">
        <f>+P101-T101</f>
        <v>-244393.95094192994</v>
      </c>
      <c r="Y101" s="16"/>
      <c r="Z101" s="19">
        <f>IF(T101=0,0,X101/T101)</f>
        <v>0.31598369002779736</v>
      </c>
    </row>
    <row r="102" spans="1:26" x14ac:dyDescent="0.2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52"/>
      <c r="B103" s="10" t="s">
        <v>14</v>
      </c>
      <c r="C103" s="10"/>
      <c r="D103" s="4">
        <v>30145.139999999996</v>
      </c>
      <c r="E103" s="4"/>
      <c r="F103" s="12">
        <f>IF(D$12=0,0,D103/D$12)</f>
        <v>0.35431973043381365</v>
      </c>
      <c r="G103" s="4"/>
      <c r="H103" s="4">
        <v>73019</v>
      </c>
      <c r="I103" s="4"/>
      <c r="J103" s="12">
        <f>IF(H$12=0,0,H103/H$12)</f>
        <v>0.24909683251744077</v>
      </c>
      <c r="K103" s="4"/>
      <c r="L103" s="4">
        <f>+D103-H103</f>
        <v>-42873.86</v>
      </c>
      <c r="M103" s="4"/>
      <c r="N103" s="12">
        <f>IF(H103=0,0,L103/H103)</f>
        <v>-0.58716032813377339</v>
      </c>
      <c r="O103" s="10"/>
      <c r="P103" s="4">
        <v>117765.94</v>
      </c>
      <c r="Q103" s="4"/>
      <c r="R103" s="12">
        <f>IF(P$12=0,0,P103/P$12)</f>
        <v>0.18502115617118911</v>
      </c>
      <c r="S103" s="4"/>
      <c r="T103" s="4">
        <v>346879</v>
      </c>
      <c r="U103" s="4"/>
      <c r="V103" s="12">
        <f>IF(T$12=0,0,T103/T$12)</f>
        <v>0.18969036873468481</v>
      </c>
      <c r="W103" s="4"/>
      <c r="X103" s="4">
        <f>+P103-T103</f>
        <v>-229113.06</v>
      </c>
      <c r="Y103" s="4"/>
      <c r="Z103" s="12">
        <f>IF(T103=0,0,X103/T103)</f>
        <v>-0.66049850235961238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5" t="s">
        <v>4</v>
      </c>
      <c r="C105" s="25"/>
      <c r="D105" s="34">
        <f>+D101-D103</f>
        <v>-228152.41999999995</v>
      </c>
      <c r="E105" s="13"/>
      <c r="F105" s="31">
        <f>IF(D$12=0,0,D105/D$12)</f>
        <v>-2.6816562786645619</v>
      </c>
      <c r="G105" s="13"/>
      <c r="H105" s="34">
        <f>+H101-H103</f>
        <v>-203187.40762587619</v>
      </c>
      <c r="I105" s="13"/>
      <c r="J105" s="31">
        <f>IF(H$12=0,0,H105/H$12)</f>
        <v>-0.69315301013483954</v>
      </c>
      <c r="K105" s="16"/>
      <c r="L105" s="34">
        <f>D105-H105</f>
        <v>-24965.012374123762</v>
      </c>
      <c r="M105" s="16"/>
      <c r="N105" s="31">
        <f>IF(H105=0,0,L105/H105)</f>
        <v>0.12286692697064773</v>
      </c>
      <c r="O105" s="26"/>
      <c r="P105" s="34">
        <f>+P101-P103</f>
        <v>-1135598.3899999997</v>
      </c>
      <c r="Q105" s="13"/>
      <c r="R105" s="31">
        <f>IF(P$12=0,0,P105/P$12)</f>
        <v>-1.7841298346868446</v>
      </c>
      <c r="S105" s="13"/>
      <c r="T105" s="34">
        <f>+T101-T103</f>
        <v>-1120317.4990580697</v>
      </c>
      <c r="U105" s="13"/>
      <c r="V105" s="31">
        <f>IF(T$12=0,0,T105/T$12)</f>
        <v>-0.61264429237931717</v>
      </c>
      <c r="W105" s="16"/>
      <c r="X105" s="34">
        <f>P105-T105</f>
        <v>-15280.890941930003</v>
      </c>
      <c r="Y105" s="16"/>
      <c r="Z105" s="31">
        <f>IF(T105=0,0,X105/T105)</f>
        <v>1.3639786002430321E-2</v>
      </c>
    </row>
    <row r="106" spans="1:26" ht="15.75" thickTop="1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5" t="s">
        <v>5</v>
      </c>
      <c r="C108" s="25"/>
      <c r="D108" s="33">
        <f>SUM(D105:D107)</f>
        <v>-228152.41999999995</v>
      </c>
      <c r="E108" s="13"/>
      <c r="F108" s="32">
        <f>IF(D$12=0,0,D108/D$12)</f>
        <v>-2.6816562786645619</v>
      </c>
      <c r="G108" s="13"/>
      <c r="H108" s="33">
        <f>SUM(H105:H107)</f>
        <v>-203187.40762587619</v>
      </c>
      <c r="I108" s="13"/>
      <c r="J108" s="32">
        <f>IF(H$12=0,0,H108/H$12)</f>
        <v>-0.69315301013483954</v>
      </c>
      <c r="K108" s="16"/>
      <c r="L108" s="33">
        <f>+D108-H108</f>
        <v>-24965.012374123762</v>
      </c>
      <c r="M108" s="16"/>
      <c r="N108" s="32">
        <f>IF(H108=0,0,L108/H108)</f>
        <v>0.12286692697064773</v>
      </c>
      <c r="O108" s="26"/>
      <c r="P108" s="33">
        <f>SUM(P105:P107)</f>
        <v>-1135598.3899999997</v>
      </c>
      <c r="Q108" s="13"/>
      <c r="R108" s="32">
        <f>IF(P$12=0,0,P108/P$12)</f>
        <v>-1.7841298346868446</v>
      </c>
      <c r="S108" s="13"/>
      <c r="T108" s="33">
        <f>SUM(T105:T107)</f>
        <v>-1120317.4990580697</v>
      </c>
      <c r="U108" s="13"/>
      <c r="V108" s="32">
        <f>IF(T$12=0,0,T108/T$12)</f>
        <v>-0.61264429237931717</v>
      </c>
      <c r="W108" s="16"/>
      <c r="X108" s="33">
        <f>+P108-T108</f>
        <v>-15280.890941930003</v>
      </c>
      <c r="Y108" s="16"/>
      <c r="Z108" s="32">
        <f>IF(T108=0,0,X108/T108)</f>
        <v>1.3639786002430321E-2</v>
      </c>
    </row>
    <row r="109" spans="1:26" ht="15.75" thickTop="1" x14ac:dyDescent="0.25">
      <c r="A109" s="9"/>
      <c r="C109" s="9"/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A110" s="9"/>
      <c r="B110" s="63">
        <v>44209.518227314817</v>
      </c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60" t="s">
        <v>314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58"/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4:24" x14ac:dyDescent="0.25"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","430", " - ", "Res Hall Management")</f>
        <v>Department 430 - Res Hall Management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6"/>
      <c r="L16" s="21">
        <f>+D16-H16</f>
        <v>0</v>
      </c>
      <c r="M16" s="16"/>
      <c r="N16" s="19">
        <f>IF(H16=0,0,L16/H16)</f>
        <v>0</v>
      </c>
      <c r="O16" s="26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6"/>
      <c r="X16" s="21">
        <f>+P16-T16</f>
        <v>0</v>
      </c>
      <c r="Y16" s="16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17675.349999999999</v>
      </c>
      <c r="E18" s="20"/>
      <c r="F18" s="30">
        <f t="shared" ref="F18:F28" si="0">IF(D$12=0,0,D18/D$12)</f>
        <v>0</v>
      </c>
      <c r="G18" s="20"/>
      <c r="H18" s="20">
        <f>SUM(OSRRefH22x_0)</f>
        <v>13801.532740000001</v>
      </c>
      <c r="I18" s="20"/>
      <c r="J18" s="30">
        <f t="shared" ref="J18:J28" si="1">IF(H$12=0,0,H18/H$12)</f>
        <v>0</v>
      </c>
      <c r="K18" s="4"/>
      <c r="L18" s="20">
        <f t="shared" ref="L18:L28" si="2">+D18-H18</f>
        <v>3873.817259999998</v>
      </c>
      <c r="M18" s="4"/>
      <c r="N18" s="30">
        <f t="shared" ref="N18:N28" si="3">IF(H18=0,0,L18/H18)</f>
        <v>0.28068022102884188</v>
      </c>
      <c r="O18" s="10"/>
      <c r="P18" s="20">
        <f>SUM(OSRRefP22x_0)</f>
        <v>97828.569999999992</v>
      </c>
      <c r="Q18" s="20"/>
      <c r="R18" s="30">
        <f t="shared" ref="R18:R28" si="4">IF(P$12=0,0,P18/P$12)</f>
        <v>0</v>
      </c>
      <c r="S18" s="20"/>
      <c r="T18" s="20">
        <f>SUM(OSRRefT22x_0)</f>
        <v>88219.962809999997</v>
      </c>
      <c r="U18" s="20"/>
      <c r="V18" s="30">
        <f t="shared" ref="V18:V28" si="5">IF(T$12=0,0,T18/T$12)</f>
        <v>0</v>
      </c>
      <c r="W18" s="4"/>
      <c r="X18" s="20">
        <f t="shared" ref="X18:X28" si="6">+P18-T18</f>
        <v>9608.6071899999952</v>
      </c>
      <c r="Y18" s="4"/>
      <c r="Z18" s="30">
        <f t="shared" ref="Z18:Z28" si="7">IF(T18=0,0,X18/T18)</f>
        <v>0.10891647291547975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6061.76</v>
      </c>
      <c r="E19" s="1"/>
      <c r="F19" s="5">
        <f t="shared" si="0"/>
        <v>0</v>
      </c>
      <c r="G19" s="1"/>
      <c r="H19" s="1">
        <f>SUM(OSRRefH22_0x_0)</f>
        <v>4291.4327400000002</v>
      </c>
      <c r="I19" s="1"/>
      <c r="J19" s="5">
        <f t="shared" si="1"/>
        <v>0</v>
      </c>
      <c r="K19" s="1"/>
      <c r="L19" s="1">
        <f t="shared" si="2"/>
        <v>1770.32726</v>
      </c>
      <c r="M19" s="1"/>
      <c r="N19" s="5">
        <f t="shared" si="3"/>
        <v>0.41252592484998379</v>
      </c>
      <c r="O19" s="14"/>
      <c r="P19" s="1">
        <f>SUM(OSRRefP22_0x_0)</f>
        <v>35678.46</v>
      </c>
      <c r="Q19" s="1"/>
      <c r="R19" s="5">
        <f t="shared" si="4"/>
        <v>0</v>
      </c>
      <c r="S19" s="1"/>
      <c r="T19" s="1">
        <f>SUM(OSRRefT22_0x_0)</f>
        <v>26904.312810000003</v>
      </c>
      <c r="U19" s="1"/>
      <c r="V19" s="5">
        <f t="shared" si="5"/>
        <v>0</v>
      </c>
      <c r="W19" s="1"/>
      <c r="X19" s="1">
        <f t="shared" si="6"/>
        <v>8774.147189999996</v>
      </c>
      <c r="Y19" s="1"/>
      <c r="Z19" s="5">
        <f t="shared" si="7"/>
        <v>0.32612418878577537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685.42</v>
      </c>
      <c r="E20" s="2"/>
      <c r="F20" s="6">
        <f t="shared" si="0"/>
        <v>0</v>
      </c>
      <c r="G20" s="2"/>
      <c r="H20" s="7">
        <v>685.55574000000001</v>
      </c>
      <c r="I20" s="2"/>
      <c r="J20" s="6">
        <f t="shared" si="1"/>
        <v>0</v>
      </c>
      <c r="K20" s="2"/>
      <c r="L20" s="7">
        <f t="shared" si="2"/>
        <v>-0.13574000000005526</v>
      </c>
      <c r="M20" s="2"/>
      <c r="N20" s="6">
        <f t="shared" si="3"/>
        <v>-1.9799994672943042E-4</v>
      </c>
      <c r="O20" s="11"/>
      <c r="P20" s="7">
        <v>4672.5</v>
      </c>
      <c r="Q20" s="2"/>
      <c r="R20" s="6">
        <f t="shared" si="4"/>
        <v>0</v>
      </c>
      <c r="S20" s="2"/>
      <c r="T20" s="7">
        <v>4456.1123100000004</v>
      </c>
      <c r="U20" s="2"/>
      <c r="V20" s="6">
        <f t="shared" si="5"/>
        <v>0</v>
      </c>
      <c r="W20" s="2"/>
      <c r="X20" s="7">
        <f t="shared" si="6"/>
        <v>216.38768999999957</v>
      </c>
      <c r="Y20" s="2"/>
      <c r="Z20" s="6">
        <f t="shared" si="7"/>
        <v>4.8559747812998801E-2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688.97</v>
      </c>
      <c r="E21" s="2"/>
      <c r="F21" s="6">
        <f t="shared" si="0"/>
        <v>0</v>
      </c>
      <c r="G21" s="2"/>
      <c r="H21" s="7">
        <v>384.29820000000001</v>
      </c>
      <c r="I21" s="2"/>
      <c r="J21" s="6">
        <f t="shared" si="1"/>
        <v>0</v>
      </c>
      <c r="K21" s="2"/>
      <c r="L21" s="7">
        <f t="shared" si="2"/>
        <v>304.67180000000002</v>
      </c>
      <c r="M21" s="2"/>
      <c r="N21" s="6">
        <f t="shared" si="3"/>
        <v>0.79280048670537617</v>
      </c>
      <c r="O21" s="11"/>
      <c r="P21" s="7">
        <v>2915.38</v>
      </c>
      <c r="Q21" s="2"/>
      <c r="R21" s="6">
        <f t="shared" si="4"/>
        <v>0</v>
      </c>
      <c r="S21" s="2"/>
      <c r="T21" s="7">
        <v>2497.9382999999998</v>
      </c>
      <c r="U21" s="2"/>
      <c r="V21" s="6">
        <f t="shared" si="5"/>
        <v>0</v>
      </c>
      <c r="W21" s="2"/>
      <c r="X21" s="7">
        <f t="shared" si="6"/>
        <v>417.44170000000031</v>
      </c>
      <c r="Y21" s="2"/>
      <c r="Z21" s="6">
        <f t="shared" si="7"/>
        <v>0.16711449598254702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2737.9</v>
      </c>
      <c r="E22" s="2"/>
      <c r="F22" s="6">
        <f t="shared" si="0"/>
        <v>0</v>
      </c>
      <c r="G22" s="2"/>
      <c r="H22" s="7">
        <v>1980</v>
      </c>
      <c r="I22" s="2"/>
      <c r="J22" s="6">
        <f t="shared" si="1"/>
        <v>0</v>
      </c>
      <c r="K22" s="2"/>
      <c r="L22" s="7">
        <f t="shared" si="2"/>
        <v>757.90000000000009</v>
      </c>
      <c r="M22" s="2"/>
      <c r="N22" s="6">
        <f t="shared" si="3"/>
        <v>0.38277777777777783</v>
      </c>
      <c r="O22" s="11"/>
      <c r="P22" s="7">
        <v>16427.400000000001</v>
      </c>
      <c r="Q22" s="2"/>
      <c r="R22" s="6">
        <f t="shared" si="4"/>
        <v>0</v>
      </c>
      <c r="S22" s="2"/>
      <c r="T22" s="7">
        <v>11880</v>
      </c>
      <c r="U22" s="2"/>
      <c r="V22" s="6">
        <f t="shared" si="5"/>
        <v>0</v>
      </c>
      <c r="W22" s="2"/>
      <c r="X22" s="7">
        <f t="shared" si="6"/>
        <v>4547.4000000000015</v>
      </c>
      <c r="Y22" s="2"/>
      <c r="Z22" s="6">
        <f t="shared" si="7"/>
        <v>0.38277777777777788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23.290800000000001</v>
      </c>
      <c r="I23" s="2"/>
      <c r="J23" s="6">
        <f t="shared" si="1"/>
        <v>0</v>
      </c>
      <c r="K23" s="2"/>
      <c r="L23" s="7">
        <f t="shared" si="2"/>
        <v>-23.290800000000001</v>
      </c>
      <c r="M23" s="2"/>
      <c r="N23" s="6">
        <f t="shared" si="3"/>
        <v>-1</v>
      </c>
      <c r="O23" s="11"/>
      <c r="P23" s="7">
        <v>134.91999999999999</v>
      </c>
      <c r="Q23" s="2"/>
      <c r="R23" s="6">
        <f t="shared" si="4"/>
        <v>0</v>
      </c>
      <c r="S23" s="2"/>
      <c r="T23" s="7">
        <v>151.39019999999999</v>
      </c>
      <c r="U23" s="2"/>
      <c r="V23" s="6">
        <f t="shared" si="5"/>
        <v>0</v>
      </c>
      <c r="W23" s="2"/>
      <c r="X23" s="7">
        <f t="shared" si="6"/>
        <v>-16.470200000000006</v>
      </c>
      <c r="Y23" s="2"/>
      <c r="Z23" s="6">
        <f t="shared" si="7"/>
        <v>-0.10879303944376853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692.57</v>
      </c>
      <c r="E24" s="2"/>
      <c r="F24" s="6">
        <f t="shared" si="0"/>
        <v>0</v>
      </c>
      <c r="G24" s="2"/>
      <c r="H24" s="7">
        <v>770.38800000000003</v>
      </c>
      <c r="I24" s="2"/>
      <c r="J24" s="6">
        <f t="shared" si="1"/>
        <v>0</v>
      </c>
      <c r="K24" s="2"/>
      <c r="L24" s="7">
        <f t="shared" si="2"/>
        <v>-77.817999999999984</v>
      </c>
      <c r="M24" s="2"/>
      <c r="N24" s="6">
        <f t="shared" si="3"/>
        <v>-0.10101143839208293</v>
      </c>
      <c r="O24" s="11"/>
      <c r="P24" s="7">
        <v>4501.71</v>
      </c>
      <c r="Q24" s="2"/>
      <c r="R24" s="6">
        <f t="shared" si="4"/>
        <v>0</v>
      </c>
      <c r="S24" s="2"/>
      <c r="T24" s="7">
        <v>5007.5219999999999</v>
      </c>
      <c r="U24" s="2"/>
      <c r="V24" s="6">
        <f t="shared" si="5"/>
        <v>0</v>
      </c>
      <c r="W24" s="2"/>
      <c r="X24" s="7">
        <f t="shared" si="6"/>
        <v>-505.8119999999999</v>
      </c>
      <c r="Y24" s="2"/>
      <c r="Z24" s="6">
        <f t="shared" si="7"/>
        <v>-0.10101043989422311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0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/>
      <c r="Q25" s="2"/>
      <c r="R25" s="6">
        <f t="shared" si="4"/>
        <v>0</v>
      </c>
      <c r="S25" s="2"/>
      <c r="T25" s="7">
        <v>0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827.64</v>
      </c>
      <c r="E26" s="2"/>
      <c r="F26" s="6">
        <f t="shared" si="0"/>
        <v>0</v>
      </c>
      <c r="G26" s="2"/>
      <c r="H26" s="7">
        <v>268.74</v>
      </c>
      <c r="I26" s="2"/>
      <c r="J26" s="6">
        <f t="shared" si="1"/>
        <v>0</v>
      </c>
      <c r="K26" s="2"/>
      <c r="L26" s="7">
        <f t="shared" si="2"/>
        <v>558.9</v>
      </c>
      <c r="M26" s="2"/>
      <c r="N26" s="6">
        <f t="shared" si="3"/>
        <v>2.0797052913596783</v>
      </c>
      <c r="O26" s="11"/>
      <c r="P26" s="7">
        <v>4172.3599999999997</v>
      </c>
      <c r="Q26" s="2"/>
      <c r="R26" s="6">
        <f t="shared" si="4"/>
        <v>0</v>
      </c>
      <c r="S26" s="2"/>
      <c r="T26" s="7">
        <v>1746.81</v>
      </c>
      <c r="U26" s="2"/>
      <c r="V26" s="6">
        <f t="shared" si="5"/>
        <v>0</v>
      </c>
      <c r="W26" s="2"/>
      <c r="X26" s="7">
        <f t="shared" si="6"/>
        <v>2425.5499999999997</v>
      </c>
      <c r="Y26" s="2"/>
      <c r="Z26" s="6">
        <f t="shared" si="7"/>
        <v>1.3885597174277682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413.26</v>
      </c>
      <c r="E27" s="2"/>
      <c r="F27" s="6">
        <f t="shared" si="0"/>
        <v>0</v>
      </c>
      <c r="G27" s="2"/>
      <c r="H27" s="7">
        <v>179.16</v>
      </c>
      <c r="I27" s="2"/>
      <c r="J27" s="6">
        <f t="shared" si="1"/>
        <v>0</v>
      </c>
      <c r="K27" s="2"/>
      <c r="L27" s="7">
        <f t="shared" si="2"/>
        <v>234.1</v>
      </c>
      <c r="M27" s="2"/>
      <c r="N27" s="6">
        <f t="shared" si="3"/>
        <v>1.3066532708193792</v>
      </c>
      <c r="O27" s="11"/>
      <c r="P27" s="7">
        <v>2686.19</v>
      </c>
      <c r="Q27" s="2"/>
      <c r="R27" s="6">
        <f t="shared" si="4"/>
        <v>0</v>
      </c>
      <c r="S27" s="2"/>
      <c r="T27" s="7">
        <v>1164.54</v>
      </c>
      <c r="U27" s="2"/>
      <c r="V27" s="6">
        <f t="shared" si="5"/>
        <v>0</v>
      </c>
      <c r="W27" s="2"/>
      <c r="X27" s="7">
        <f t="shared" si="6"/>
        <v>1521.65</v>
      </c>
      <c r="Y27" s="2"/>
      <c r="Z27" s="6">
        <f t="shared" si="7"/>
        <v>1.3066532708193794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16</v>
      </c>
      <c r="E28" s="2"/>
      <c r="F28" s="6">
        <f t="shared" si="0"/>
        <v>0</v>
      </c>
      <c r="G28" s="2"/>
      <c r="H28" s="7"/>
      <c r="I28" s="2"/>
      <c r="J28" s="6">
        <f t="shared" si="1"/>
        <v>0</v>
      </c>
      <c r="K28" s="2"/>
      <c r="L28" s="7">
        <f t="shared" si="2"/>
        <v>16</v>
      </c>
      <c r="M28" s="2"/>
      <c r="N28" s="6">
        <f t="shared" si="3"/>
        <v>0</v>
      </c>
      <c r="O28" s="11"/>
      <c r="P28" s="7">
        <v>168</v>
      </c>
      <c r="Q28" s="2"/>
      <c r="R28" s="6">
        <f t="shared" si="4"/>
        <v>0</v>
      </c>
      <c r="S28" s="2"/>
      <c r="T28" s="7"/>
      <c r="U28" s="2"/>
      <c r="V28" s="6">
        <f t="shared" si="5"/>
        <v>0</v>
      </c>
      <c r="W28" s="2"/>
      <c r="X28" s="7">
        <f t="shared" si="6"/>
        <v>168</v>
      </c>
      <c r="Y28" s="2"/>
      <c r="Z28" s="6">
        <f t="shared" si="7"/>
        <v>0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8063.59</v>
      </c>
      <c r="E29" s="1"/>
      <c r="F29" s="5">
        <f t="shared" ref="F29:F39" si="8">IF(D$12=0,0,D29/D$12)</f>
        <v>0</v>
      </c>
      <c r="G29" s="1"/>
      <c r="H29" s="1">
        <f>SUM(OSRRefH22_1x_0)</f>
        <v>8510.1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-446.51000000000022</v>
      </c>
      <c r="M29" s="1"/>
      <c r="N29" s="5">
        <f t="shared" ref="N29:N39" si="11">IF(H29=0,0,L29/H29)</f>
        <v>-5.2468243616408762E-2</v>
      </c>
      <c r="O29" s="14"/>
      <c r="P29" s="1">
        <f>SUM(OSRRefP22_1x_0)</f>
        <v>53309.26</v>
      </c>
      <c r="Q29" s="1"/>
      <c r="R29" s="5">
        <f t="shared" ref="R29:R39" si="12">IF(P$12=0,0,P29/P$12)</f>
        <v>0</v>
      </c>
      <c r="S29" s="1"/>
      <c r="T29" s="1">
        <f>SUM(OSRRefT22_1x_0)</f>
        <v>55315.65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-2006.3899999999994</v>
      </c>
      <c r="Y29" s="1"/>
      <c r="Z29" s="5">
        <f t="shared" ref="Z29:Z39" si="15">IF(T29=0,0,X29/T29)</f>
        <v>-3.6271651874288727E-2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>
        <v>8063.59</v>
      </c>
      <c r="E30" s="2"/>
      <c r="F30" s="6">
        <f t="shared" si="8"/>
        <v>0</v>
      </c>
      <c r="G30" s="2"/>
      <c r="H30" s="7">
        <v>0</v>
      </c>
      <c r="I30" s="2"/>
      <c r="J30" s="6">
        <f t="shared" si="9"/>
        <v>0</v>
      </c>
      <c r="K30" s="2"/>
      <c r="L30" s="7">
        <f t="shared" si="10"/>
        <v>8063.59</v>
      </c>
      <c r="M30" s="2"/>
      <c r="N30" s="6">
        <f t="shared" si="11"/>
        <v>0</v>
      </c>
      <c r="O30" s="11"/>
      <c r="P30" s="7">
        <v>53309.26</v>
      </c>
      <c r="Q30" s="2"/>
      <c r="R30" s="6">
        <f t="shared" si="12"/>
        <v>0</v>
      </c>
      <c r="S30" s="2"/>
      <c r="T30" s="7">
        <v>0</v>
      </c>
      <c r="U30" s="2"/>
      <c r="V30" s="6">
        <f t="shared" si="13"/>
        <v>0</v>
      </c>
      <c r="W30" s="2"/>
      <c r="X30" s="7">
        <f t="shared" si="14"/>
        <v>53309.26</v>
      </c>
      <c r="Y30" s="2"/>
      <c r="Z30" s="6">
        <f t="shared" si="15"/>
        <v>0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8510.1</v>
      </c>
      <c r="I31" s="2"/>
      <c r="J31" s="6">
        <f t="shared" si="9"/>
        <v>0</v>
      </c>
      <c r="K31" s="2"/>
      <c r="L31" s="7">
        <f t="shared" si="10"/>
        <v>-8510.1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55315.65</v>
      </c>
      <c r="U31" s="2"/>
      <c r="V31" s="6">
        <f t="shared" si="13"/>
        <v>0</v>
      </c>
      <c r="W31" s="2"/>
      <c r="X31" s="7">
        <f t="shared" si="14"/>
        <v>-55315.65</v>
      </c>
      <c r="Y31" s="2"/>
      <c r="Z31" s="6">
        <f t="shared" si="15"/>
        <v>-1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7"/>
      <c r="E32" s="2"/>
      <c r="F32" s="6">
        <f t="shared" si="8"/>
        <v>0</v>
      </c>
      <c r="G32" s="2"/>
      <c r="H32" s="7">
        <v>0</v>
      </c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/>
      <c r="Q32" s="2"/>
      <c r="R32" s="6">
        <f t="shared" si="12"/>
        <v>0</v>
      </c>
      <c r="S32" s="2"/>
      <c r="T32" s="7">
        <v>0</v>
      </c>
      <c r="U32" s="2"/>
      <c r="V32" s="6">
        <f t="shared" si="13"/>
        <v>0</v>
      </c>
      <c r="W32" s="2"/>
      <c r="X32" s="7">
        <f t="shared" si="14"/>
        <v>0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8"/>
        <v>0</v>
      </c>
      <c r="G33" s="2"/>
      <c r="H33" s="7">
        <v>0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/>
      <c r="Q33" s="2"/>
      <c r="R33" s="6">
        <f t="shared" si="12"/>
        <v>0</v>
      </c>
      <c r="S33" s="2"/>
      <c r="T33" s="7">
        <v>0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8"/>
        <v>0</v>
      </c>
      <c r="G34" s="2"/>
      <c r="H34" s="7">
        <v>0</v>
      </c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0</v>
      </c>
      <c r="U34" s="2"/>
      <c r="V34" s="6">
        <f t="shared" si="13"/>
        <v>0</v>
      </c>
      <c r="W34" s="2"/>
      <c r="X34" s="7">
        <f t="shared" si="14"/>
        <v>0</v>
      </c>
      <c r="Y34" s="2"/>
      <c r="Z34" s="6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0</v>
      </c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/>
      <c r="Q35" s="2"/>
      <c r="R35" s="6">
        <f t="shared" si="12"/>
        <v>0</v>
      </c>
      <c r="S35" s="2"/>
      <c r="T35" s="7">
        <v>0</v>
      </c>
      <c r="U35" s="2"/>
      <c r="V35" s="6">
        <f t="shared" si="13"/>
        <v>0</v>
      </c>
      <c r="W35" s="2"/>
      <c r="X35" s="7">
        <f t="shared" si="14"/>
        <v>0</v>
      </c>
      <c r="Y35" s="2"/>
      <c r="Z35" s="6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8"/>
        <v>0</v>
      </c>
      <c r="G36" s="2"/>
      <c r="H36" s="7">
        <v>0</v>
      </c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/>
      <c r="Q36" s="2"/>
      <c r="R36" s="6">
        <f t="shared" si="12"/>
        <v>0</v>
      </c>
      <c r="S36" s="2"/>
      <c r="T36" s="7">
        <v>0</v>
      </c>
      <c r="U36" s="2"/>
      <c r="V36" s="6">
        <f t="shared" si="13"/>
        <v>0</v>
      </c>
      <c r="W36" s="2"/>
      <c r="X36" s="7">
        <f t="shared" si="14"/>
        <v>0</v>
      </c>
      <c r="Y36" s="2"/>
      <c r="Z36" s="6">
        <f t="shared" si="15"/>
        <v>0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8"/>
        <v>0</v>
      </c>
      <c r="G37" s="2"/>
      <c r="H37" s="7">
        <v>0</v>
      </c>
      <c r="I37" s="2"/>
      <c r="J37" s="6">
        <f t="shared" si="9"/>
        <v>0</v>
      </c>
      <c r="K37" s="2"/>
      <c r="L37" s="7">
        <f t="shared" si="10"/>
        <v>0</v>
      </c>
      <c r="M37" s="2"/>
      <c r="N37" s="6">
        <f t="shared" si="11"/>
        <v>0</v>
      </c>
      <c r="O37" s="11"/>
      <c r="P37" s="7"/>
      <c r="Q37" s="2"/>
      <c r="R37" s="6">
        <f t="shared" si="12"/>
        <v>0</v>
      </c>
      <c r="S37" s="2"/>
      <c r="T37" s="7">
        <v>0</v>
      </c>
      <c r="U37" s="2"/>
      <c r="V37" s="6">
        <f t="shared" si="13"/>
        <v>0</v>
      </c>
      <c r="W37" s="2"/>
      <c r="X37" s="7">
        <f t="shared" si="14"/>
        <v>0</v>
      </c>
      <c r="Y37" s="2"/>
      <c r="Z37" s="6">
        <f t="shared" si="15"/>
        <v>0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7"/>
      <c r="E38" s="2"/>
      <c r="F38" s="6">
        <f t="shared" si="8"/>
        <v>0</v>
      </c>
      <c r="G38" s="2"/>
      <c r="H38" s="7">
        <v>0</v>
      </c>
      <c r="I38" s="2"/>
      <c r="J38" s="6">
        <f t="shared" si="9"/>
        <v>0</v>
      </c>
      <c r="K38" s="2"/>
      <c r="L38" s="7">
        <f t="shared" si="10"/>
        <v>0</v>
      </c>
      <c r="M38" s="2"/>
      <c r="N38" s="6">
        <f t="shared" si="11"/>
        <v>0</v>
      </c>
      <c r="O38" s="11"/>
      <c r="P38" s="7"/>
      <c r="Q38" s="2"/>
      <c r="R38" s="6">
        <f t="shared" si="12"/>
        <v>0</v>
      </c>
      <c r="S38" s="2"/>
      <c r="T38" s="7">
        <v>0</v>
      </c>
      <c r="U38" s="2"/>
      <c r="V38" s="6">
        <f t="shared" si="13"/>
        <v>0</v>
      </c>
      <c r="W38" s="2"/>
      <c r="X38" s="7">
        <f t="shared" si="14"/>
        <v>0</v>
      </c>
      <c r="Y38" s="2"/>
      <c r="Z38" s="6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7"/>
      <c r="E39" s="2"/>
      <c r="F39" s="6">
        <f t="shared" si="8"/>
        <v>0</v>
      </c>
      <c r="G39" s="2"/>
      <c r="H39" s="7">
        <v>0</v>
      </c>
      <c r="I39" s="2"/>
      <c r="J39" s="6">
        <f t="shared" si="9"/>
        <v>0</v>
      </c>
      <c r="K39" s="2"/>
      <c r="L39" s="7">
        <f t="shared" si="10"/>
        <v>0</v>
      </c>
      <c r="M39" s="2"/>
      <c r="N39" s="6">
        <f t="shared" si="11"/>
        <v>0</v>
      </c>
      <c r="O39" s="11"/>
      <c r="P39" s="7"/>
      <c r="Q39" s="2"/>
      <c r="R39" s="6">
        <f t="shared" si="12"/>
        <v>0</v>
      </c>
      <c r="S39" s="2"/>
      <c r="T39" s="7">
        <v>0</v>
      </c>
      <c r="U39" s="2"/>
      <c r="V39" s="6">
        <f t="shared" si="13"/>
        <v>0</v>
      </c>
      <c r="W39" s="2"/>
      <c r="X39" s="7">
        <f t="shared" si="14"/>
        <v>0</v>
      </c>
      <c r="Y39" s="2"/>
      <c r="Z39" s="6">
        <f t="shared" si="15"/>
        <v>0</v>
      </c>
    </row>
    <row r="40" spans="1:26" s="28" customFormat="1" outlineLevel="1" collapsed="1" x14ac:dyDescent="0.25">
      <c r="A40" s="27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0</v>
      </c>
      <c r="E40" s="1"/>
      <c r="F40" s="5">
        <f t="shared" ref="F40:F47" si="16">IF(D$12=0,0,D40/D$12)</f>
        <v>0</v>
      </c>
      <c r="G40" s="1"/>
      <c r="H40" s="1">
        <f>SUM(OSRRefH22_2x_0)</f>
        <v>0</v>
      </c>
      <c r="I40" s="1"/>
      <c r="J40" s="5">
        <f t="shared" ref="J40:J47" si="17">IF(H$12=0,0,H40/H$12)</f>
        <v>0</v>
      </c>
      <c r="K40" s="1"/>
      <c r="L40" s="1">
        <f t="shared" ref="L40:L47" si="18">+D40-H40</f>
        <v>0</v>
      </c>
      <c r="M40" s="1"/>
      <c r="N40" s="5">
        <f t="shared" ref="N40:N47" si="19">IF(H40=0,0,L40/H40)</f>
        <v>0</v>
      </c>
      <c r="O40" s="14"/>
      <c r="P40" s="1">
        <f>SUM(OSRRefP22_2x_0)</f>
        <v>1.65</v>
      </c>
      <c r="Q40" s="1"/>
      <c r="R40" s="5">
        <f t="shared" ref="R40:R47" si="20">IF(P$12=0,0,P40/P$12)</f>
        <v>0</v>
      </c>
      <c r="S40" s="1"/>
      <c r="T40" s="1">
        <f>SUM(OSRRefT22_2x_0)</f>
        <v>0</v>
      </c>
      <c r="U40" s="1"/>
      <c r="V40" s="5">
        <f t="shared" ref="V40:V47" si="21">IF(T$12=0,0,T40/T$12)</f>
        <v>0</v>
      </c>
      <c r="W40" s="1"/>
      <c r="X40" s="1">
        <f t="shared" ref="X40:X47" si="22">+P40-T40</f>
        <v>1.65</v>
      </c>
      <c r="Y40" s="1"/>
      <c r="Z40" s="5">
        <f t="shared" ref="Z40:Z47" si="23">IF(T40=0,0,X40/T40)</f>
        <v>0</v>
      </c>
    </row>
    <row r="41" spans="1:26" s="24" customFormat="1" hidden="1" outlineLevel="2" x14ac:dyDescent="0.25">
      <c r="A41" s="29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16"/>
        <v>0</v>
      </c>
      <c r="G41" s="2"/>
      <c r="H41" s="7"/>
      <c r="I41" s="2"/>
      <c r="J41" s="6">
        <f t="shared" si="17"/>
        <v>0</v>
      </c>
      <c r="K41" s="2"/>
      <c r="L41" s="7">
        <f t="shared" si="18"/>
        <v>0</v>
      </c>
      <c r="M41" s="2"/>
      <c r="N41" s="6">
        <f t="shared" si="19"/>
        <v>0</v>
      </c>
      <c r="O41" s="11"/>
      <c r="P41" s="7">
        <v>1.65</v>
      </c>
      <c r="Q41" s="2"/>
      <c r="R41" s="6">
        <f t="shared" si="20"/>
        <v>0</v>
      </c>
      <c r="S41" s="2"/>
      <c r="T41" s="7"/>
      <c r="U41" s="2"/>
      <c r="V41" s="6">
        <f t="shared" si="21"/>
        <v>0</v>
      </c>
      <c r="W41" s="2"/>
      <c r="X41" s="7">
        <f t="shared" si="22"/>
        <v>1.65</v>
      </c>
      <c r="Y41" s="2"/>
      <c r="Z41" s="6">
        <f t="shared" si="23"/>
        <v>0</v>
      </c>
    </row>
    <row r="42" spans="1:26" s="28" customFormat="1" outlineLevel="1" collapsed="1" x14ac:dyDescent="0.25">
      <c r="A42" s="27"/>
      <c r="B42" s="14" t="str">
        <f>CONCATENATE("     ","Repair and Maintenance                            ")</f>
        <v xml:space="preserve">     Repair and Maintenance                            </v>
      </c>
      <c r="C42" s="14"/>
      <c r="D42" s="1">
        <f>SUM(OSRRefD22_3x_0)</f>
        <v>3500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3500</v>
      </c>
      <c r="M42" s="1"/>
      <c r="N42" s="5">
        <f t="shared" si="19"/>
        <v>0</v>
      </c>
      <c r="O42" s="14"/>
      <c r="P42" s="1">
        <f>SUM(OSRRefP22_3x_0)</f>
        <v>3500</v>
      </c>
      <c r="Q42" s="1"/>
      <c r="R42" s="5">
        <f t="shared" si="20"/>
        <v>0</v>
      </c>
      <c r="S42" s="1"/>
      <c r="T42" s="1">
        <f>SUM(OSRRefT22_3x_0)</f>
        <v>0</v>
      </c>
      <c r="U42" s="1"/>
      <c r="V42" s="5">
        <f t="shared" si="21"/>
        <v>0</v>
      </c>
      <c r="W42" s="1"/>
      <c r="X42" s="1">
        <f t="shared" si="22"/>
        <v>3500</v>
      </c>
      <c r="Y42" s="1"/>
      <c r="Z42" s="5">
        <f t="shared" si="23"/>
        <v>0</v>
      </c>
    </row>
    <row r="43" spans="1:26" s="24" customFormat="1" hidden="1" outlineLevel="2" x14ac:dyDescent="0.25">
      <c r="A43" s="29"/>
      <c r="B43" s="11" t="str">
        <f>CONCATENATE("          ", "6371", " - ", "COMPUTER SOFTWARE MAINTENANCE")</f>
        <v xml:space="preserve">          6371 - COMPUTER SOFTWARE MAINTENANCE</v>
      </c>
      <c r="C43" s="11"/>
      <c r="D43" s="7">
        <v>3500</v>
      </c>
      <c r="E43" s="2"/>
      <c r="F43" s="6">
        <f t="shared" si="16"/>
        <v>0</v>
      </c>
      <c r="G43" s="2"/>
      <c r="H43" s="7"/>
      <c r="I43" s="2"/>
      <c r="J43" s="6">
        <f t="shared" si="17"/>
        <v>0</v>
      </c>
      <c r="K43" s="2"/>
      <c r="L43" s="7">
        <f t="shared" si="18"/>
        <v>3500</v>
      </c>
      <c r="M43" s="2"/>
      <c r="N43" s="6">
        <f t="shared" si="19"/>
        <v>0</v>
      </c>
      <c r="O43" s="11"/>
      <c r="P43" s="7">
        <v>3500</v>
      </c>
      <c r="Q43" s="2"/>
      <c r="R43" s="6">
        <f t="shared" si="20"/>
        <v>0</v>
      </c>
      <c r="S43" s="2"/>
      <c r="T43" s="7"/>
      <c r="U43" s="2"/>
      <c r="V43" s="6">
        <f t="shared" si="21"/>
        <v>0</v>
      </c>
      <c r="W43" s="2"/>
      <c r="X43" s="7">
        <f t="shared" si="22"/>
        <v>3500</v>
      </c>
      <c r="Y43" s="2"/>
      <c r="Z43" s="6">
        <f t="shared" si="23"/>
        <v>0</v>
      </c>
    </row>
    <row r="44" spans="1:26" s="28" customFormat="1" outlineLevel="1" collapsed="1" x14ac:dyDescent="0.25">
      <c r="A44" s="27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400</v>
      </c>
      <c r="I44" s="1"/>
      <c r="J44" s="5">
        <f t="shared" si="17"/>
        <v>0</v>
      </c>
      <c r="K44" s="1"/>
      <c r="L44" s="1">
        <f t="shared" si="18"/>
        <v>-400</v>
      </c>
      <c r="M44" s="1"/>
      <c r="N44" s="5">
        <f t="shared" si="19"/>
        <v>-1</v>
      </c>
      <c r="O44" s="14"/>
      <c r="P44" s="1">
        <f>SUM(OSRRefP22_4x_0)</f>
        <v>4939.2</v>
      </c>
      <c r="Q44" s="1"/>
      <c r="R44" s="5">
        <f t="shared" si="20"/>
        <v>0</v>
      </c>
      <c r="S44" s="1"/>
      <c r="T44" s="1">
        <f>SUM(OSRRefT22_4x_0)</f>
        <v>2400</v>
      </c>
      <c r="U44" s="1"/>
      <c r="V44" s="5">
        <f t="shared" si="21"/>
        <v>0</v>
      </c>
      <c r="W44" s="1"/>
      <c r="X44" s="1">
        <f t="shared" si="22"/>
        <v>2539.1999999999998</v>
      </c>
      <c r="Y44" s="1"/>
      <c r="Z44" s="5">
        <f t="shared" si="23"/>
        <v>1.0579999999999998</v>
      </c>
    </row>
    <row r="45" spans="1:26" s="24" customFormat="1" hidden="1" outlineLevel="2" x14ac:dyDescent="0.25">
      <c r="A45" s="29"/>
      <c r="B45" s="11" t="str">
        <f>CONCATENATE("          ", "6234", " - ", "EXPENDABLE SUPPLIES &amp; EQUIPMEN")</f>
        <v xml:space="preserve">          6234 - EXPENDABLE SUPPLIES &amp; EQUIPMEN</v>
      </c>
      <c r="C45" s="11"/>
      <c r="D45" s="7"/>
      <c r="E45" s="2"/>
      <c r="F45" s="6">
        <f t="shared" si="16"/>
        <v>0</v>
      </c>
      <c r="G45" s="2"/>
      <c r="H45" s="7">
        <v>100</v>
      </c>
      <c r="I45" s="2"/>
      <c r="J45" s="6">
        <f t="shared" si="17"/>
        <v>0</v>
      </c>
      <c r="K45" s="2"/>
      <c r="L45" s="7">
        <f t="shared" si="18"/>
        <v>-100</v>
      </c>
      <c r="M45" s="2"/>
      <c r="N45" s="6">
        <f t="shared" si="19"/>
        <v>-1</v>
      </c>
      <c r="O45" s="11"/>
      <c r="P45" s="7"/>
      <c r="Q45" s="2"/>
      <c r="R45" s="6">
        <f t="shared" si="20"/>
        <v>0</v>
      </c>
      <c r="S45" s="2"/>
      <c r="T45" s="7">
        <v>600</v>
      </c>
      <c r="U45" s="2"/>
      <c r="V45" s="6">
        <f t="shared" si="21"/>
        <v>0</v>
      </c>
      <c r="W45" s="2"/>
      <c r="X45" s="7">
        <f t="shared" si="22"/>
        <v>-600</v>
      </c>
      <c r="Y45" s="2"/>
      <c r="Z45" s="6">
        <f t="shared" si="23"/>
        <v>-1</v>
      </c>
    </row>
    <row r="46" spans="1:26" s="24" customFormat="1" hidden="1" outlineLevel="2" x14ac:dyDescent="0.25">
      <c r="A46" s="29"/>
      <c r="B46" s="11" t="str">
        <f>CONCATENATE("          ", "6235", " - ", "COVID-19 EXPENSES")</f>
        <v xml:space="preserve">          6235 - COVID-19 EXPENSES</v>
      </c>
      <c r="C46" s="11"/>
      <c r="D46" s="7"/>
      <c r="E46" s="2"/>
      <c r="F46" s="6">
        <f t="shared" si="16"/>
        <v>0</v>
      </c>
      <c r="G46" s="2"/>
      <c r="H46" s="7">
        <v>200</v>
      </c>
      <c r="I46" s="2"/>
      <c r="J46" s="6">
        <f t="shared" si="17"/>
        <v>0</v>
      </c>
      <c r="K46" s="2"/>
      <c r="L46" s="7">
        <f t="shared" si="18"/>
        <v>-200</v>
      </c>
      <c r="M46" s="2"/>
      <c r="N46" s="6">
        <f t="shared" si="19"/>
        <v>-1</v>
      </c>
      <c r="O46" s="11"/>
      <c r="P46" s="7">
        <v>4939.2</v>
      </c>
      <c r="Q46" s="2"/>
      <c r="R46" s="6">
        <f t="shared" si="20"/>
        <v>0</v>
      </c>
      <c r="S46" s="2"/>
      <c r="T46" s="7">
        <v>1200</v>
      </c>
      <c r="U46" s="2"/>
      <c r="V46" s="6">
        <f t="shared" si="21"/>
        <v>0</v>
      </c>
      <c r="W46" s="2"/>
      <c r="X46" s="7">
        <f t="shared" si="22"/>
        <v>3739.2</v>
      </c>
      <c r="Y46" s="2"/>
      <c r="Z46" s="6">
        <f t="shared" si="23"/>
        <v>3.1159999999999997</v>
      </c>
    </row>
    <row r="47" spans="1:26" s="24" customFormat="1" hidden="1" outlineLevel="2" x14ac:dyDescent="0.25">
      <c r="A47" s="29"/>
      <c r="B47" s="11" t="str">
        <f>CONCATENATE("          ", "6241", " - ", "OFFICE EXPENSE")</f>
        <v xml:space="preserve">          6241 - OFFICE EXPENSE</v>
      </c>
      <c r="C47" s="11"/>
      <c r="D47" s="7"/>
      <c r="E47" s="2"/>
      <c r="F47" s="6">
        <f t="shared" si="16"/>
        <v>0</v>
      </c>
      <c r="G47" s="2"/>
      <c r="H47" s="7">
        <v>100</v>
      </c>
      <c r="I47" s="2"/>
      <c r="J47" s="6">
        <f t="shared" si="17"/>
        <v>0</v>
      </c>
      <c r="K47" s="2"/>
      <c r="L47" s="7">
        <f t="shared" si="18"/>
        <v>-100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600</v>
      </c>
      <c r="U47" s="2"/>
      <c r="V47" s="6">
        <f t="shared" si="21"/>
        <v>0</v>
      </c>
      <c r="W47" s="2"/>
      <c r="X47" s="7">
        <f t="shared" si="22"/>
        <v>-600</v>
      </c>
      <c r="Y47" s="2"/>
      <c r="Z47" s="6">
        <f t="shared" si="23"/>
        <v>-1</v>
      </c>
    </row>
    <row r="48" spans="1:26" s="28" customFormat="1" outlineLevel="1" collapsed="1" x14ac:dyDescent="0.25">
      <c r="A48" s="27"/>
      <c r="B48" s="14" t="str">
        <f>CONCATENATE("     ","Telephone/Data Lines                              ")</f>
        <v xml:space="preserve">     Telephone/Data Lines                              </v>
      </c>
      <c r="C48" s="14"/>
      <c r="D48" s="1">
        <f>SUM(OSRRefD22_5x_0)</f>
        <v>50</v>
      </c>
      <c r="E48" s="1"/>
      <c r="F48" s="5">
        <f t="shared" ref="F48:F50" si="24">IF(D$12=0,0,D48/D$12)</f>
        <v>0</v>
      </c>
      <c r="G48" s="1"/>
      <c r="H48" s="1">
        <f>SUM(OSRRefH22_5x_0)</f>
        <v>100</v>
      </c>
      <c r="I48" s="1"/>
      <c r="J48" s="5">
        <f t="shared" ref="J48:J50" si="25">IF(H$12=0,0,H48/H$12)</f>
        <v>0</v>
      </c>
      <c r="K48" s="1"/>
      <c r="L48" s="1">
        <f t="shared" ref="L48:L50" si="26">+D48-H48</f>
        <v>-50</v>
      </c>
      <c r="M48" s="1"/>
      <c r="N48" s="5">
        <f t="shared" ref="N48:N50" si="27">IF(H48=0,0,L48/H48)</f>
        <v>-0.5</v>
      </c>
      <c r="O48" s="14"/>
      <c r="P48" s="1">
        <f>SUM(OSRRefP22_5x_0)</f>
        <v>400</v>
      </c>
      <c r="Q48" s="1"/>
      <c r="R48" s="5">
        <f t="shared" ref="R48:R50" si="28">IF(P$12=0,0,P48/P$12)</f>
        <v>0</v>
      </c>
      <c r="S48" s="1"/>
      <c r="T48" s="1">
        <f>SUM(OSRRefT22_5x_0)</f>
        <v>600</v>
      </c>
      <c r="U48" s="1"/>
      <c r="V48" s="5">
        <f t="shared" ref="V48:V50" si="29">IF(T$12=0,0,T48/T$12)</f>
        <v>0</v>
      </c>
      <c r="W48" s="1"/>
      <c r="X48" s="1">
        <f t="shared" ref="X48:X50" si="30">+P48-T48</f>
        <v>-200</v>
      </c>
      <c r="Y48" s="1"/>
      <c r="Z48" s="5">
        <f t="shared" ref="Z48:Z50" si="31">IF(T48=0,0,X48/T48)</f>
        <v>-0.33333333333333331</v>
      </c>
    </row>
    <row r="49" spans="1:26" s="24" customFormat="1" hidden="1" outlineLevel="2" x14ac:dyDescent="0.25">
      <c r="A49" s="29"/>
      <c r="B49" s="11" t="str">
        <f>CONCATENATE("          ", "6303", " - ", "DATA PHONE LINES")</f>
        <v xml:space="preserve">          6303 - DATA PHONE LINES</v>
      </c>
      <c r="C49" s="11"/>
      <c r="D49" s="7"/>
      <c r="E49" s="2"/>
      <c r="F49" s="6">
        <f t="shared" si="24"/>
        <v>0</v>
      </c>
      <c r="G49" s="2"/>
      <c r="H49" s="7">
        <v>50</v>
      </c>
      <c r="I49" s="2"/>
      <c r="J49" s="6">
        <f t="shared" si="25"/>
        <v>0</v>
      </c>
      <c r="K49" s="2"/>
      <c r="L49" s="7">
        <f t="shared" si="26"/>
        <v>-50</v>
      </c>
      <c r="M49" s="2"/>
      <c r="N49" s="6">
        <f t="shared" si="27"/>
        <v>-1</v>
      </c>
      <c r="O49" s="11"/>
      <c r="P49" s="7"/>
      <c r="Q49" s="2"/>
      <c r="R49" s="6">
        <f t="shared" si="28"/>
        <v>0</v>
      </c>
      <c r="S49" s="2"/>
      <c r="T49" s="7">
        <v>300</v>
      </c>
      <c r="U49" s="2"/>
      <c r="V49" s="6">
        <f t="shared" si="29"/>
        <v>0</v>
      </c>
      <c r="W49" s="2"/>
      <c r="X49" s="7">
        <f t="shared" si="30"/>
        <v>-300</v>
      </c>
      <c r="Y49" s="2"/>
      <c r="Z49" s="6">
        <f t="shared" si="31"/>
        <v>-1</v>
      </c>
    </row>
    <row r="50" spans="1:26" s="24" customFormat="1" hidden="1" outlineLevel="2" x14ac:dyDescent="0.25">
      <c r="A50" s="29"/>
      <c r="B50" s="11" t="str">
        <f>CONCATENATE("          ", "6309", " - ", "TELEPHONE")</f>
        <v xml:space="preserve">          6309 - TELEPHONE</v>
      </c>
      <c r="C50" s="11"/>
      <c r="D50" s="7">
        <v>50</v>
      </c>
      <c r="E50" s="2"/>
      <c r="F50" s="6">
        <f t="shared" si="24"/>
        <v>0</v>
      </c>
      <c r="G50" s="2"/>
      <c r="H50" s="7">
        <v>50</v>
      </c>
      <c r="I50" s="2"/>
      <c r="J50" s="6">
        <f t="shared" si="25"/>
        <v>0</v>
      </c>
      <c r="K50" s="2"/>
      <c r="L50" s="7">
        <f t="shared" si="26"/>
        <v>0</v>
      </c>
      <c r="M50" s="2"/>
      <c r="N50" s="6">
        <f t="shared" si="27"/>
        <v>0</v>
      </c>
      <c r="O50" s="11"/>
      <c r="P50" s="7">
        <v>400</v>
      </c>
      <c r="Q50" s="2"/>
      <c r="R50" s="6">
        <f t="shared" si="28"/>
        <v>0</v>
      </c>
      <c r="S50" s="2"/>
      <c r="T50" s="7">
        <v>300</v>
      </c>
      <c r="U50" s="2"/>
      <c r="V50" s="6">
        <f t="shared" si="29"/>
        <v>0</v>
      </c>
      <c r="W50" s="2"/>
      <c r="X50" s="7">
        <f t="shared" si="30"/>
        <v>100</v>
      </c>
      <c r="Y50" s="2"/>
      <c r="Z50" s="6">
        <f t="shared" si="31"/>
        <v>0.33333333333333331</v>
      </c>
    </row>
    <row r="51" spans="1:26" s="28" customFormat="1" outlineLevel="1" collapsed="1" x14ac:dyDescent="0.25">
      <c r="A51" s="27"/>
      <c r="B51" s="14" t="str">
        <f>CONCATENATE("     ","Training                                          ")</f>
        <v xml:space="preserve">     Training                                          </v>
      </c>
      <c r="C51" s="14"/>
      <c r="D51" s="1">
        <f>SUM(OSRRefD22_6x_0)</f>
        <v>0</v>
      </c>
      <c r="E51" s="1"/>
      <c r="F51" s="5">
        <f t="shared" ref="F51:F54" si="32">IF(D$12=0,0,D51/D$12)</f>
        <v>0</v>
      </c>
      <c r="G51" s="1"/>
      <c r="H51" s="1">
        <f>SUM(OSRRefH22_6x_0)</f>
        <v>200</v>
      </c>
      <c r="I51" s="1"/>
      <c r="J51" s="5">
        <f t="shared" ref="J51:J54" si="33">IF(H$12=0,0,H51/H$12)</f>
        <v>0</v>
      </c>
      <c r="K51" s="1"/>
      <c r="L51" s="1">
        <f t="shared" ref="L51:L54" si="34">+D51-H51</f>
        <v>-200</v>
      </c>
      <c r="M51" s="1"/>
      <c r="N51" s="5">
        <f t="shared" ref="N51:N54" si="35">IF(H51=0,0,L51/H51)</f>
        <v>-1</v>
      </c>
      <c r="O51" s="14"/>
      <c r="P51" s="1">
        <f>SUM(OSRRefP22_6x_0)</f>
        <v>0</v>
      </c>
      <c r="Q51" s="1"/>
      <c r="R51" s="5">
        <f t="shared" ref="R51:R54" si="36">IF(P$12=0,0,P51/P$12)</f>
        <v>0</v>
      </c>
      <c r="S51" s="1"/>
      <c r="T51" s="1">
        <f>SUM(OSRRefT22_6x_0)</f>
        <v>1200</v>
      </c>
      <c r="U51" s="1"/>
      <c r="V51" s="5">
        <f t="shared" ref="V51:V54" si="37">IF(T$12=0,0,T51/T$12)</f>
        <v>0</v>
      </c>
      <c r="W51" s="1"/>
      <c r="X51" s="1">
        <f t="shared" ref="X51:X54" si="38">+P51-T51</f>
        <v>-1200</v>
      </c>
      <c r="Y51" s="1"/>
      <c r="Z51" s="5">
        <f t="shared" ref="Z51:Z54" si="39">IF(T51=0,0,X51/T51)</f>
        <v>-1</v>
      </c>
    </row>
    <row r="52" spans="1:26" s="24" customFormat="1" hidden="1" outlineLevel="2" x14ac:dyDescent="0.25">
      <c r="A52" s="29"/>
      <c r="B52" s="11" t="str">
        <f>CONCATENATE("          ", "6376", " - ", "TRAINING")</f>
        <v xml:space="preserve">          6376 - TRAINING</v>
      </c>
      <c r="C52" s="11"/>
      <c r="D52" s="7"/>
      <c r="E52" s="2"/>
      <c r="F52" s="6">
        <f t="shared" si="32"/>
        <v>0</v>
      </c>
      <c r="G52" s="2"/>
      <c r="H52" s="7">
        <v>200</v>
      </c>
      <c r="I52" s="2"/>
      <c r="J52" s="6">
        <f t="shared" si="33"/>
        <v>0</v>
      </c>
      <c r="K52" s="2"/>
      <c r="L52" s="7">
        <f t="shared" si="34"/>
        <v>-200</v>
      </c>
      <c r="M52" s="2"/>
      <c r="N52" s="6">
        <f t="shared" si="35"/>
        <v>-1</v>
      </c>
      <c r="O52" s="11"/>
      <c r="P52" s="7"/>
      <c r="Q52" s="2"/>
      <c r="R52" s="6">
        <f t="shared" si="36"/>
        <v>0</v>
      </c>
      <c r="S52" s="2"/>
      <c r="T52" s="7">
        <v>1200</v>
      </c>
      <c r="U52" s="2"/>
      <c r="V52" s="6">
        <f t="shared" si="37"/>
        <v>0</v>
      </c>
      <c r="W52" s="2"/>
      <c r="X52" s="7">
        <f t="shared" si="38"/>
        <v>-1200</v>
      </c>
      <c r="Y52" s="2"/>
      <c r="Z52" s="6">
        <f t="shared" si="39"/>
        <v>-1</v>
      </c>
    </row>
    <row r="53" spans="1:26" s="28" customFormat="1" outlineLevel="1" collapsed="1" x14ac:dyDescent="0.25">
      <c r="A53" s="27"/>
      <c r="B53" s="14" t="str">
        <f>CONCATENATE("     ","Travel                                            ")</f>
        <v xml:space="preserve">     Travel                                            </v>
      </c>
      <c r="C53" s="14"/>
      <c r="D53" s="1">
        <f>SUM(OSRRefD22_7x_0)</f>
        <v>0</v>
      </c>
      <c r="E53" s="1"/>
      <c r="F53" s="5">
        <f t="shared" si="32"/>
        <v>0</v>
      </c>
      <c r="G53" s="1"/>
      <c r="H53" s="1">
        <f>SUM(OSRRefH22_7x_0)</f>
        <v>300</v>
      </c>
      <c r="I53" s="1"/>
      <c r="J53" s="5">
        <f t="shared" si="33"/>
        <v>0</v>
      </c>
      <c r="K53" s="1"/>
      <c r="L53" s="1">
        <f t="shared" si="34"/>
        <v>-300</v>
      </c>
      <c r="M53" s="1"/>
      <c r="N53" s="5">
        <f t="shared" si="35"/>
        <v>-1</v>
      </c>
      <c r="O53" s="14"/>
      <c r="P53" s="1">
        <f>SUM(OSRRefP22_7x_0)</f>
        <v>0</v>
      </c>
      <c r="Q53" s="1"/>
      <c r="R53" s="5">
        <f t="shared" si="36"/>
        <v>0</v>
      </c>
      <c r="S53" s="1"/>
      <c r="T53" s="1">
        <f>SUM(OSRRefT22_7x_0)</f>
        <v>1800</v>
      </c>
      <c r="U53" s="1"/>
      <c r="V53" s="5">
        <f t="shared" si="37"/>
        <v>0</v>
      </c>
      <c r="W53" s="1"/>
      <c r="X53" s="1">
        <f t="shared" si="38"/>
        <v>-1800</v>
      </c>
      <c r="Y53" s="1"/>
      <c r="Z53" s="5">
        <f t="shared" si="39"/>
        <v>-1</v>
      </c>
    </row>
    <row r="54" spans="1:26" s="24" customFormat="1" hidden="1" outlineLevel="2" x14ac:dyDescent="0.25">
      <c r="A54" s="29"/>
      <c r="B54" s="11" t="str">
        <f>CONCATENATE("          ", "6292", " - ", "TRAVEL/CONFERENCE")</f>
        <v xml:space="preserve">          6292 - TRAVEL/CONFERENCE</v>
      </c>
      <c r="C54" s="11"/>
      <c r="D54" s="7"/>
      <c r="E54" s="2"/>
      <c r="F54" s="6">
        <f t="shared" si="32"/>
        <v>0</v>
      </c>
      <c r="G54" s="2"/>
      <c r="H54" s="7">
        <v>300</v>
      </c>
      <c r="I54" s="2"/>
      <c r="J54" s="6">
        <f t="shared" si="33"/>
        <v>0</v>
      </c>
      <c r="K54" s="2"/>
      <c r="L54" s="7">
        <f t="shared" si="34"/>
        <v>-300</v>
      </c>
      <c r="M54" s="2"/>
      <c r="N54" s="6">
        <f t="shared" si="35"/>
        <v>-1</v>
      </c>
      <c r="O54" s="11"/>
      <c r="P54" s="7"/>
      <c r="Q54" s="2"/>
      <c r="R54" s="6">
        <f t="shared" si="36"/>
        <v>0</v>
      </c>
      <c r="S54" s="2"/>
      <c r="T54" s="7">
        <v>1800</v>
      </c>
      <c r="U54" s="2"/>
      <c r="V54" s="6">
        <f t="shared" si="37"/>
        <v>0</v>
      </c>
      <c r="W54" s="2"/>
      <c r="X54" s="7">
        <f t="shared" si="38"/>
        <v>-1800</v>
      </c>
      <c r="Y54" s="2"/>
      <c r="Z54" s="6">
        <f t="shared" si="39"/>
        <v>-1</v>
      </c>
    </row>
    <row r="55" spans="1:26" s="53" customFormat="1" x14ac:dyDescent="0.25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6" t="s">
        <v>0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5" t="s">
        <v>3</v>
      </c>
      <c r="C58" s="25"/>
      <c r="D58" s="21">
        <f>+D16-D18+D56</f>
        <v>-17675.349999999999</v>
      </c>
      <c r="E58" s="13"/>
      <c r="F58" s="19">
        <f>IF(D$12=0,0,D58/D$12)</f>
        <v>0</v>
      </c>
      <c r="G58" s="13"/>
      <c r="H58" s="21">
        <f>+H16-H18+H56</f>
        <v>-13801.532740000001</v>
      </c>
      <c r="I58" s="13"/>
      <c r="J58" s="19">
        <f>IF(H$12=0,0,H58/H$12)</f>
        <v>0</v>
      </c>
      <c r="K58" s="16"/>
      <c r="L58" s="21">
        <f>+D58-H58</f>
        <v>-3873.817259999998</v>
      </c>
      <c r="M58" s="16"/>
      <c r="N58" s="19">
        <f>IF(H58=0,0,L58/H58)</f>
        <v>0.28068022102884188</v>
      </c>
      <c r="O58" s="26"/>
      <c r="P58" s="21">
        <f>+P16-P18+P56</f>
        <v>-97828.569999999992</v>
      </c>
      <c r="Q58" s="13"/>
      <c r="R58" s="19">
        <f>IF(P$12=0,0,P58/P$12)</f>
        <v>0</v>
      </c>
      <c r="S58" s="13"/>
      <c r="T58" s="21">
        <f>+T16-T18+T56</f>
        <v>-88219.962809999997</v>
      </c>
      <c r="U58" s="13"/>
      <c r="V58" s="19">
        <f>IF(T$12=0,0,T58/T$12)</f>
        <v>0</v>
      </c>
      <c r="W58" s="16"/>
      <c r="X58" s="21">
        <f>+P58-T58</f>
        <v>-9608.6071899999952</v>
      </c>
      <c r="Y58" s="16"/>
      <c r="Z58" s="19">
        <f>IF(T58=0,0,X58/T58)</f>
        <v>0.10891647291547975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2"/>
      <c r="B60" s="10" t="s">
        <v>14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5" t="s">
        <v>4</v>
      </c>
      <c r="C62" s="25"/>
      <c r="D62" s="34">
        <f>+D58-D60</f>
        <v>-17675.349999999999</v>
      </c>
      <c r="E62" s="13"/>
      <c r="F62" s="31">
        <f>IF(D$12=0,0,D62/D$12)</f>
        <v>0</v>
      </c>
      <c r="G62" s="13"/>
      <c r="H62" s="34">
        <f>+H58-H60</f>
        <v>-13801.532740000001</v>
      </c>
      <c r="I62" s="13"/>
      <c r="J62" s="31">
        <f>IF(H$12=0,0,H62/H$12)</f>
        <v>0</v>
      </c>
      <c r="K62" s="16"/>
      <c r="L62" s="34">
        <f>D62-H62</f>
        <v>-3873.817259999998</v>
      </c>
      <c r="M62" s="16"/>
      <c r="N62" s="31">
        <f>IF(H62=0,0,L62/H62)</f>
        <v>0.28068022102884188</v>
      </c>
      <c r="O62" s="26"/>
      <c r="P62" s="34">
        <f>+P58-P60</f>
        <v>-97828.569999999992</v>
      </c>
      <c r="Q62" s="13"/>
      <c r="R62" s="31">
        <f>IF(P$12=0,0,P62/P$12)</f>
        <v>0</v>
      </c>
      <c r="S62" s="13"/>
      <c r="T62" s="34">
        <f>+T58-T60</f>
        <v>-88219.962809999997</v>
      </c>
      <c r="U62" s="13"/>
      <c r="V62" s="31">
        <f>IF(T$12=0,0,T62/T$12)</f>
        <v>0</v>
      </c>
      <c r="W62" s="16"/>
      <c r="X62" s="34">
        <f>P62-T62</f>
        <v>-9608.6071899999952</v>
      </c>
      <c r="Y62" s="16"/>
      <c r="Z62" s="31">
        <f>IF(T62=0,0,X62/T62)</f>
        <v>0.10891647291547975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5" t="s">
        <v>5</v>
      </c>
      <c r="C65" s="25"/>
      <c r="D65" s="33">
        <f>SUM(D62:D64)</f>
        <v>-17675.349999999999</v>
      </c>
      <c r="E65" s="13"/>
      <c r="F65" s="32">
        <f>IF(D$12=0,0,D65/D$12)</f>
        <v>0</v>
      </c>
      <c r="G65" s="13"/>
      <c r="H65" s="33">
        <f>SUM(H62:H64)</f>
        <v>-13801.532740000001</v>
      </c>
      <c r="I65" s="13"/>
      <c r="J65" s="32">
        <f>IF(H$12=0,0,H65/H$12)</f>
        <v>0</v>
      </c>
      <c r="K65" s="16"/>
      <c r="L65" s="33">
        <f>+D65-H65</f>
        <v>-3873.817259999998</v>
      </c>
      <c r="M65" s="16"/>
      <c r="N65" s="32">
        <f>IF(H65=0,0,L65/H65)</f>
        <v>0.28068022102884188</v>
      </c>
      <c r="O65" s="26"/>
      <c r="P65" s="33">
        <f>SUM(P62:P64)</f>
        <v>-97828.569999999992</v>
      </c>
      <c r="Q65" s="13"/>
      <c r="R65" s="32">
        <f>IF(P$12=0,0,P65/P$12)</f>
        <v>0</v>
      </c>
      <c r="S65" s="13"/>
      <c r="T65" s="33">
        <f>SUM(T62:T64)</f>
        <v>-88219.962809999997</v>
      </c>
      <c r="U65" s="13"/>
      <c r="V65" s="32">
        <f>IF(T$12=0,0,T65/T$12)</f>
        <v>0</v>
      </c>
      <c r="W65" s="16"/>
      <c r="X65" s="33">
        <f>+P65-T65</f>
        <v>-9608.6071899999952</v>
      </c>
      <c r="Y65" s="16"/>
      <c r="Z65" s="32">
        <f>IF(T65=0,0,X65/T65)</f>
        <v>0.10891647291547975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6" x14ac:dyDescent="0.25">
      <c r="A67" s="9"/>
      <c r="B67" s="63">
        <v>44209.518880520831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6" x14ac:dyDescent="0.25">
      <c r="A68" s="9"/>
      <c r="B68" s="60" t="s">
        <v>314</v>
      </c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58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","433", " - ", "Hillside Dining Hall")</f>
        <v>Department 433 - Hillside Dining Hall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138957</v>
      </c>
      <c r="I12" s="4"/>
      <c r="J12" s="12"/>
      <c r="K12" s="4"/>
      <c r="L12" s="4">
        <f t="shared" ref="L12:L16" si="0">+D12-H12</f>
        <v>-138957</v>
      </c>
      <c r="M12" s="4"/>
      <c r="N12" s="12">
        <f t="shared" ref="N12:N16" si="1">IF(H12=0,0,L12/H12)</f>
        <v>-1</v>
      </c>
      <c r="O12" s="10"/>
      <c r="P12" s="4">
        <f>SUM(OSRRefP13x_0)</f>
        <v>23802.12</v>
      </c>
      <c r="Q12" s="4"/>
      <c r="R12" s="12"/>
      <c r="S12" s="4"/>
      <c r="T12" s="4">
        <f>SUM(OSRRefT13x_0)</f>
        <v>767572</v>
      </c>
      <c r="U12" s="4"/>
      <c r="V12" s="12"/>
      <c r="W12" s="4"/>
      <c r="X12" s="4">
        <f t="shared" ref="X12:X16" si="2">+P12-T12</f>
        <v>-743769.88</v>
      </c>
      <c r="Y12" s="4"/>
      <c r="Z12" s="12">
        <f t="shared" ref="Z12:Z16" si="3">IF(T12=0,0,X12/T12)</f>
        <v>-0.96899037484431427</v>
      </c>
    </row>
    <row r="13" spans="1:26" s="24" customFormat="1" hidden="1" outlineLevel="1" x14ac:dyDescent="0.2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6" si="4"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--217.65</f>
        <v>217.65</v>
      </c>
      <c r="Q13" s="2"/>
      <c r="R13" s="22"/>
      <c r="S13" s="2"/>
      <c r="T13" s="2"/>
      <c r="U13" s="2"/>
      <c r="V13" s="22"/>
      <c r="W13" s="2"/>
      <c r="X13" s="2">
        <f t="shared" si="2"/>
        <v>217.65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138957</v>
      </c>
      <c r="I14" s="2"/>
      <c r="J14" s="22"/>
      <c r="K14" s="2"/>
      <c r="L14" s="2">
        <f t="shared" si="0"/>
        <v>-138957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767572</v>
      </c>
      <c r="U14" s="2"/>
      <c r="V14" s="22"/>
      <c r="W14" s="2"/>
      <c r="X14" s="2">
        <f t="shared" si="2"/>
        <v>-767572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 t="shared" si="4"/>
        <v>0</v>
      </c>
      <c r="E15" s="2"/>
      <c r="F15" s="22"/>
      <c r="G15" s="2"/>
      <c r="H15" s="2"/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--16096</f>
        <v>16096</v>
      </c>
      <c r="Q15" s="2"/>
      <c r="R15" s="22"/>
      <c r="S15" s="2"/>
      <c r="T15" s="2"/>
      <c r="U15" s="2"/>
      <c r="V15" s="22"/>
      <c r="W15" s="2"/>
      <c r="X15" s="2">
        <f t="shared" si="2"/>
        <v>16096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 t="shared" si="4"/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--7488.47</f>
        <v>7488.47</v>
      </c>
      <c r="Q16" s="2"/>
      <c r="R16" s="22"/>
      <c r="S16" s="2"/>
      <c r="T16" s="2"/>
      <c r="U16" s="2"/>
      <c r="V16" s="22"/>
      <c r="W16" s="2"/>
      <c r="X16" s="2">
        <f t="shared" si="2"/>
        <v>7488.47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8</v>
      </c>
      <c r="C18" s="10"/>
      <c r="D18" s="4">
        <f>SUM(OSRRefD16x_0)</f>
        <v>0</v>
      </c>
      <c r="E18" s="4"/>
      <c r="F18" s="12">
        <f t="shared" ref="F18:F21" si="5">IF(D$12=0,0,D18/D$12)</f>
        <v>0</v>
      </c>
      <c r="G18" s="4"/>
      <c r="H18" s="4">
        <f>SUM(OSRRefH16x_0)</f>
        <v>36129</v>
      </c>
      <c r="I18" s="4"/>
      <c r="J18" s="12">
        <f t="shared" ref="J18:J21" si="6">IF(H$12=0,0,H18/H$12)</f>
        <v>0.26000129536475314</v>
      </c>
      <c r="K18" s="4"/>
      <c r="L18" s="4">
        <f t="shared" ref="L18:L21" si="7">+D18-H18</f>
        <v>-36129</v>
      </c>
      <c r="M18" s="4"/>
      <c r="N18" s="12">
        <f t="shared" ref="N18:N21" si="8">IF(H18=0,0,L18/H18)</f>
        <v>-1</v>
      </c>
      <c r="O18" s="10"/>
      <c r="P18" s="4">
        <f>SUM(OSRRefP16x_0)</f>
        <v>25322.92</v>
      </c>
      <c r="Q18" s="4"/>
      <c r="R18" s="12">
        <f t="shared" ref="R18:R21" si="9">IF(P$12=0,0,P18/P$12)</f>
        <v>1.0638934683129067</v>
      </c>
      <c r="S18" s="4"/>
      <c r="T18" s="4">
        <f>SUM(OSRRefT16x_0)</f>
        <v>209494</v>
      </c>
      <c r="U18" s="4"/>
      <c r="V18" s="12">
        <f t="shared" ref="V18:V21" si="10">IF(T$12=0,0,T18/T$12)</f>
        <v>0.27293074786469546</v>
      </c>
      <c r="W18" s="4"/>
      <c r="X18" s="4">
        <f t="shared" ref="X18:X21" si="11">+P18-T18</f>
        <v>-184171.08000000002</v>
      </c>
      <c r="Y18" s="4"/>
      <c r="Z18" s="12">
        <f t="shared" ref="Z18:Z21" si="12">IF(T18=0,0,X18/T18)</f>
        <v>-0.87912341164902108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5"/>
        <v>0</v>
      </c>
      <c r="G19" s="2"/>
      <c r="H19" s="2">
        <v>36129</v>
      </c>
      <c r="I19" s="2"/>
      <c r="J19" s="22">
        <f t="shared" si="6"/>
        <v>0.26000129536475314</v>
      </c>
      <c r="K19" s="2"/>
      <c r="L19" s="2">
        <f t="shared" si="7"/>
        <v>-36129</v>
      </c>
      <c r="M19" s="2"/>
      <c r="N19" s="22">
        <f t="shared" si="8"/>
        <v>-1</v>
      </c>
      <c r="O19" s="11"/>
      <c r="P19" s="2"/>
      <c r="Q19" s="2"/>
      <c r="R19" s="22">
        <f t="shared" si="9"/>
        <v>0</v>
      </c>
      <c r="S19" s="2"/>
      <c r="T19" s="2">
        <v>209494</v>
      </c>
      <c r="U19" s="2"/>
      <c r="V19" s="22">
        <f t="shared" si="10"/>
        <v>0.27293074786469546</v>
      </c>
      <c r="W19" s="2"/>
      <c r="X19" s="2">
        <f t="shared" si="11"/>
        <v>-209494</v>
      </c>
      <c r="Y19" s="2"/>
      <c r="Z19" s="22">
        <f t="shared" si="12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22">
        <f t="shared" si="5"/>
        <v>0</v>
      </c>
      <c r="G20" s="2"/>
      <c r="H20" s="2"/>
      <c r="I20" s="2"/>
      <c r="J20" s="22">
        <f t="shared" si="6"/>
        <v>0</v>
      </c>
      <c r="K20" s="2"/>
      <c r="L20" s="2">
        <f t="shared" si="7"/>
        <v>0</v>
      </c>
      <c r="M20" s="2"/>
      <c r="N20" s="22">
        <f t="shared" si="8"/>
        <v>0</v>
      </c>
      <c r="O20" s="11"/>
      <c r="P20" s="2">
        <v>14410.92</v>
      </c>
      <c r="Q20" s="2"/>
      <c r="R20" s="22">
        <f t="shared" si="9"/>
        <v>0.60544690977106241</v>
      </c>
      <c r="S20" s="2"/>
      <c r="T20" s="2"/>
      <c r="U20" s="2"/>
      <c r="V20" s="22">
        <f t="shared" si="10"/>
        <v>0</v>
      </c>
      <c r="W20" s="2"/>
      <c r="X20" s="2">
        <f t="shared" si="11"/>
        <v>14410.92</v>
      </c>
      <c r="Y20" s="2"/>
      <c r="Z20" s="22">
        <f t="shared" si="12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22">
        <f t="shared" si="5"/>
        <v>0</v>
      </c>
      <c r="G21" s="2"/>
      <c r="H21" s="2"/>
      <c r="I21" s="2"/>
      <c r="J21" s="22">
        <f t="shared" si="6"/>
        <v>0</v>
      </c>
      <c r="K21" s="2"/>
      <c r="L21" s="2">
        <f t="shared" si="7"/>
        <v>0</v>
      </c>
      <c r="M21" s="2"/>
      <c r="N21" s="22">
        <f t="shared" si="8"/>
        <v>0</v>
      </c>
      <c r="O21" s="11"/>
      <c r="P21" s="2">
        <v>10912</v>
      </c>
      <c r="Q21" s="2"/>
      <c r="R21" s="22">
        <f t="shared" si="9"/>
        <v>0.45844655854184418</v>
      </c>
      <c r="S21" s="2"/>
      <c r="T21" s="2"/>
      <c r="U21" s="2"/>
      <c r="V21" s="22">
        <f t="shared" si="10"/>
        <v>0</v>
      </c>
      <c r="W21" s="2"/>
      <c r="X21" s="2">
        <f t="shared" si="11"/>
        <v>10912</v>
      </c>
      <c r="Y21" s="2"/>
      <c r="Z21" s="22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6</v>
      </c>
      <c r="C23" s="25"/>
      <c r="D23" s="21">
        <f>D12-D18</f>
        <v>0</v>
      </c>
      <c r="E23" s="13"/>
      <c r="F23" s="19">
        <f>IF(D$12=0,0,D23/D$12)</f>
        <v>0</v>
      </c>
      <c r="G23" s="13"/>
      <c r="H23" s="21">
        <f>H12-H18</f>
        <v>102828</v>
      </c>
      <c r="I23" s="13"/>
      <c r="J23" s="19">
        <f>IF(H$12=0,0,H23/H$12)</f>
        <v>0.73999870463524686</v>
      </c>
      <c r="K23" s="16"/>
      <c r="L23" s="21">
        <f>+D23-H23</f>
        <v>-102828</v>
      </c>
      <c r="M23" s="16"/>
      <c r="N23" s="19">
        <f>IF(H23=0,0,L23/H23)</f>
        <v>-1</v>
      </c>
      <c r="O23" s="26"/>
      <c r="P23" s="21">
        <f>P12-P18</f>
        <v>-1520.7999999999993</v>
      </c>
      <c r="Q23" s="13"/>
      <c r="R23" s="19">
        <f>IF(P$12=0,0,P23/P$12)</f>
        <v>-6.3893468312906557E-2</v>
      </c>
      <c r="S23" s="13"/>
      <c r="T23" s="21">
        <f>T12-T18</f>
        <v>558078</v>
      </c>
      <c r="U23" s="13"/>
      <c r="V23" s="19">
        <f>IF(T$12=0,0,T23/T$12)</f>
        <v>0.7270692521353046</v>
      </c>
      <c r="W23" s="16"/>
      <c r="X23" s="21">
        <f>+P23-T23</f>
        <v>-559598.80000000005</v>
      </c>
      <c r="Y23" s="16"/>
      <c r="Z23" s="19">
        <f>IF(T23=0,0,X23/T23)</f>
        <v>-1.0027250671053152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9</v>
      </c>
      <c r="C25" s="10"/>
      <c r="D25" s="20">
        <f>SUM(OSRRefD22x_0)</f>
        <v>46482.100000000013</v>
      </c>
      <c r="E25" s="20"/>
      <c r="F25" s="30">
        <f t="shared" ref="F25:F36" si="13">IF(D$12=0,0,D25/D$12)</f>
        <v>0</v>
      </c>
      <c r="G25" s="20"/>
      <c r="H25" s="20">
        <f>SUM(OSRRefH22x_0)</f>
        <v>125284.76273076923</v>
      </c>
      <c r="I25" s="20"/>
      <c r="J25" s="30">
        <f t="shared" ref="J25:J36" si="14">IF(H$12=0,0,H25/H$12)</f>
        <v>0.90160814302819747</v>
      </c>
      <c r="K25" s="4"/>
      <c r="L25" s="20">
        <f t="shared" ref="L25:L36" si="15">+D25-H25</f>
        <v>-78802.662730769225</v>
      </c>
      <c r="M25" s="4"/>
      <c r="N25" s="30">
        <f t="shared" ref="N25:N36" si="16">IF(H25=0,0,L25/H25)</f>
        <v>-0.62898840220587926</v>
      </c>
      <c r="O25" s="10"/>
      <c r="P25" s="20">
        <f>SUM(OSRRefP22x_0)</f>
        <v>317084.25999999995</v>
      </c>
      <c r="Q25" s="20"/>
      <c r="R25" s="30">
        <f t="shared" ref="R25:R36" si="17">IF(P$12=0,0,P25/P$12)</f>
        <v>13.32168143005749</v>
      </c>
      <c r="S25" s="20"/>
      <c r="T25" s="20">
        <f>SUM(OSRRefT22x_0)</f>
        <v>735449.63686999993</v>
      </c>
      <c r="U25" s="20"/>
      <c r="V25" s="30">
        <f t="shared" ref="V25:V36" si="18">IF(T$12=0,0,T25/T$12)</f>
        <v>0.95815068406612014</v>
      </c>
      <c r="W25" s="4"/>
      <c r="X25" s="20">
        <f t="shared" ref="X25:X36" si="19">+P25-T25</f>
        <v>-418365.37686999998</v>
      </c>
      <c r="Y25" s="4"/>
      <c r="Z25" s="30">
        <f t="shared" ref="Z25:Z36" si="20">IF(T25=0,0,X25/T25)</f>
        <v>-0.56885659587857185</v>
      </c>
    </row>
    <row r="26" spans="1:26" s="28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20699.210000000003</v>
      </c>
      <c r="E26" s="1"/>
      <c r="F26" s="5">
        <f t="shared" si="13"/>
        <v>0</v>
      </c>
      <c r="G26" s="1"/>
      <c r="H26" s="1">
        <f>SUM(OSRRefH22_0x_0)</f>
        <v>30663.141192307739</v>
      </c>
      <c r="I26" s="1"/>
      <c r="J26" s="5">
        <f t="shared" si="14"/>
        <v>0.22066640178118224</v>
      </c>
      <c r="K26" s="1"/>
      <c r="L26" s="1">
        <f t="shared" si="15"/>
        <v>-9963.9311923077366</v>
      </c>
      <c r="M26" s="1"/>
      <c r="N26" s="5">
        <f t="shared" si="16"/>
        <v>-0.32494815615326855</v>
      </c>
      <c r="O26" s="14"/>
      <c r="P26" s="1">
        <f>SUM(OSRRefP22_0x_0)</f>
        <v>126268.62999999999</v>
      </c>
      <c r="Q26" s="1"/>
      <c r="R26" s="5">
        <f t="shared" si="17"/>
        <v>5.3049320816801186</v>
      </c>
      <c r="S26" s="1"/>
      <c r="T26" s="1">
        <f>SUM(OSRRefT22_0x_0)</f>
        <v>190682.09687000018</v>
      </c>
      <c r="U26" s="1"/>
      <c r="V26" s="5">
        <f t="shared" si="18"/>
        <v>0.24842242404621348</v>
      </c>
      <c r="W26" s="1"/>
      <c r="X26" s="1">
        <f t="shared" si="19"/>
        <v>-64413.466870000193</v>
      </c>
      <c r="Y26" s="1"/>
      <c r="Z26" s="5">
        <f t="shared" si="20"/>
        <v>-0.33780553039499484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1725.14</v>
      </c>
      <c r="E27" s="2"/>
      <c r="F27" s="6">
        <f t="shared" si="13"/>
        <v>0</v>
      </c>
      <c r="G27" s="2"/>
      <c r="H27" s="7">
        <v>3540.6898846153804</v>
      </c>
      <c r="I27" s="2"/>
      <c r="J27" s="6">
        <f t="shared" si="14"/>
        <v>2.5480471545984588E-2</v>
      </c>
      <c r="K27" s="2"/>
      <c r="L27" s="7">
        <f t="shared" si="15"/>
        <v>-1815.5498846153803</v>
      </c>
      <c r="M27" s="2"/>
      <c r="N27" s="6">
        <f t="shared" si="16"/>
        <v>-0.51276726959458085</v>
      </c>
      <c r="O27" s="11"/>
      <c r="P27" s="7">
        <v>12526.82</v>
      </c>
      <c r="Q27" s="2"/>
      <c r="R27" s="6">
        <f t="shared" si="17"/>
        <v>0.52629009516799341</v>
      </c>
      <c r="S27" s="2"/>
      <c r="T27" s="7">
        <v>21537.761369999978</v>
      </c>
      <c r="U27" s="2"/>
      <c r="V27" s="6">
        <f t="shared" si="18"/>
        <v>2.8059597497042593E-2</v>
      </c>
      <c r="W27" s="2"/>
      <c r="X27" s="7">
        <f t="shared" si="19"/>
        <v>-9010.9413699999786</v>
      </c>
      <c r="Y27" s="2"/>
      <c r="Z27" s="6">
        <f t="shared" si="20"/>
        <v>-0.41837873561694067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1717.48</v>
      </c>
      <c r="E28" s="2"/>
      <c r="F28" s="6">
        <f t="shared" si="13"/>
        <v>0</v>
      </c>
      <c r="G28" s="2"/>
      <c r="H28" s="7">
        <v>2465.2649999999999</v>
      </c>
      <c r="I28" s="2"/>
      <c r="J28" s="6">
        <f t="shared" si="14"/>
        <v>1.7741207711738163E-2</v>
      </c>
      <c r="K28" s="2"/>
      <c r="L28" s="7">
        <f t="shared" si="15"/>
        <v>-747.78499999999985</v>
      </c>
      <c r="M28" s="2"/>
      <c r="N28" s="6">
        <f t="shared" si="16"/>
        <v>-0.30332844542067483</v>
      </c>
      <c r="O28" s="11"/>
      <c r="P28" s="7">
        <v>7809.15</v>
      </c>
      <c r="Q28" s="2"/>
      <c r="R28" s="6">
        <f t="shared" si="17"/>
        <v>0.32808632172260288</v>
      </c>
      <c r="S28" s="2"/>
      <c r="T28" s="7">
        <v>14145.374099999999</v>
      </c>
      <c r="U28" s="2"/>
      <c r="V28" s="6">
        <f t="shared" si="18"/>
        <v>1.8428726034821489E-2</v>
      </c>
      <c r="W28" s="2"/>
      <c r="X28" s="7">
        <f t="shared" si="19"/>
        <v>-6336.2240999999995</v>
      </c>
      <c r="Y28" s="2"/>
      <c r="Z28" s="6">
        <f t="shared" si="20"/>
        <v>-0.44793612775500929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>
        <v>12526.51</v>
      </c>
      <c r="E29" s="2"/>
      <c r="F29" s="6">
        <f t="shared" si="13"/>
        <v>0</v>
      </c>
      <c r="G29" s="2"/>
      <c r="H29" s="7">
        <v>18733.8461538462</v>
      </c>
      <c r="I29" s="2"/>
      <c r="J29" s="6">
        <f t="shared" si="14"/>
        <v>0.13481757776755543</v>
      </c>
      <c r="K29" s="2"/>
      <c r="L29" s="7">
        <f t="shared" si="15"/>
        <v>-6207.3361538461995</v>
      </c>
      <c r="M29" s="2"/>
      <c r="N29" s="6">
        <f t="shared" si="16"/>
        <v>-0.3313433932824193</v>
      </c>
      <c r="O29" s="11"/>
      <c r="P29" s="7">
        <v>72459.13</v>
      </c>
      <c r="Q29" s="2"/>
      <c r="R29" s="6">
        <f t="shared" si="17"/>
        <v>3.0442300937899653</v>
      </c>
      <c r="S29" s="2"/>
      <c r="T29" s="7">
        <v>118800.0000000002</v>
      </c>
      <c r="U29" s="2"/>
      <c r="V29" s="6">
        <f t="shared" si="18"/>
        <v>0.15477375412339195</v>
      </c>
      <c r="W29" s="2"/>
      <c r="X29" s="7">
        <f t="shared" si="19"/>
        <v>-46340.870000000199</v>
      </c>
      <c r="Y29" s="2"/>
      <c r="Z29" s="6">
        <f t="shared" si="20"/>
        <v>-0.39007466329966428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/>
      <c r="E30" s="2"/>
      <c r="F30" s="6">
        <f t="shared" si="13"/>
        <v>0</v>
      </c>
      <c r="G30" s="2"/>
      <c r="H30" s="7">
        <v>149.41</v>
      </c>
      <c r="I30" s="2"/>
      <c r="J30" s="6">
        <f t="shared" si="14"/>
        <v>1.0752247098023129E-3</v>
      </c>
      <c r="K30" s="2"/>
      <c r="L30" s="7">
        <f t="shared" si="15"/>
        <v>-149.41</v>
      </c>
      <c r="M30" s="2"/>
      <c r="N30" s="6">
        <f t="shared" si="16"/>
        <v>-1</v>
      </c>
      <c r="O30" s="11"/>
      <c r="P30" s="7">
        <v>369.19</v>
      </c>
      <c r="Q30" s="2"/>
      <c r="R30" s="6">
        <f t="shared" si="17"/>
        <v>1.5510803239375317E-2</v>
      </c>
      <c r="S30" s="2"/>
      <c r="T30" s="7">
        <v>857.29539999999997</v>
      </c>
      <c r="U30" s="2"/>
      <c r="V30" s="6">
        <f t="shared" si="18"/>
        <v>1.1168924869588781E-3</v>
      </c>
      <c r="W30" s="2"/>
      <c r="X30" s="7">
        <f t="shared" si="19"/>
        <v>-488.10539999999997</v>
      </c>
      <c r="Y30" s="2"/>
      <c r="Z30" s="6">
        <f t="shared" si="20"/>
        <v>-0.56935497379316391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>
        <v>868.56</v>
      </c>
      <c r="E31" s="2"/>
      <c r="F31" s="6">
        <f t="shared" si="13"/>
        <v>0</v>
      </c>
      <c r="G31" s="2"/>
      <c r="H31" s="7">
        <v>1246.0870769230798</v>
      </c>
      <c r="I31" s="2"/>
      <c r="J31" s="6">
        <f t="shared" si="14"/>
        <v>8.9674293265044579E-3</v>
      </c>
      <c r="K31" s="2"/>
      <c r="L31" s="7">
        <f t="shared" si="15"/>
        <v>-377.5270769230799</v>
      </c>
      <c r="M31" s="2"/>
      <c r="N31" s="6">
        <f t="shared" si="16"/>
        <v>-0.30297006037113761</v>
      </c>
      <c r="O31" s="11"/>
      <c r="P31" s="7">
        <v>6337.18</v>
      </c>
      <c r="Q31" s="2"/>
      <c r="R31" s="6">
        <f t="shared" si="17"/>
        <v>0.26624435134349378</v>
      </c>
      <c r="S31" s="2"/>
      <c r="T31" s="7">
        <v>8099.5660000000198</v>
      </c>
      <c r="U31" s="2"/>
      <c r="V31" s="6">
        <f t="shared" si="18"/>
        <v>1.0552190543688436E-2</v>
      </c>
      <c r="W31" s="2"/>
      <c r="X31" s="7">
        <f t="shared" si="19"/>
        <v>-1762.3860000000195</v>
      </c>
      <c r="Y31" s="2"/>
      <c r="Z31" s="6">
        <f t="shared" si="20"/>
        <v>-0.21759017705393291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3"/>
        <v>0</v>
      </c>
      <c r="G32" s="2"/>
      <c r="H32" s="7">
        <v>0</v>
      </c>
      <c r="I32" s="2"/>
      <c r="J32" s="6">
        <f t="shared" si="14"/>
        <v>0</v>
      </c>
      <c r="K32" s="2"/>
      <c r="L32" s="7">
        <f t="shared" si="15"/>
        <v>0</v>
      </c>
      <c r="M32" s="2"/>
      <c r="N32" s="6">
        <f t="shared" si="16"/>
        <v>0</v>
      </c>
      <c r="O32" s="11"/>
      <c r="P32" s="7"/>
      <c r="Q32" s="2"/>
      <c r="R32" s="6">
        <f t="shared" si="17"/>
        <v>0</v>
      </c>
      <c r="S32" s="2"/>
      <c r="T32" s="7">
        <v>0</v>
      </c>
      <c r="U32" s="2"/>
      <c r="V32" s="6">
        <f t="shared" si="18"/>
        <v>0</v>
      </c>
      <c r="W32" s="2"/>
      <c r="X32" s="7">
        <f t="shared" si="19"/>
        <v>0</v>
      </c>
      <c r="Y32" s="2"/>
      <c r="Z32" s="6">
        <f t="shared" si="20"/>
        <v>0</v>
      </c>
    </row>
    <row r="33" spans="1:26" s="24" customFormat="1" hidden="1" outlineLevel="2" x14ac:dyDescent="0.25">
      <c r="A33" s="29"/>
      <c r="B33" s="11" t="str">
        <f>CONCATENATE("          ", "6117", " - ", "RETIREMENT STAFF HOURLY")</f>
        <v xml:space="preserve">          6117 - RETIREMENT STAFF HOURLY</v>
      </c>
      <c r="C33" s="11"/>
      <c r="D33" s="7">
        <v>374.72</v>
      </c>
      <c r="E33" s="2"/>
      <c r="F33" s="6">
        <f t="shared" si="13"/>
        <v>0</v>
      </c>
      <c r="G33" s="2"/>
      <c r="H33" s="7"/>
      <c r="I33" s="2"/>
      <c r="J33" s="6">
        <f t="shared" si="14"/>
        <v>0</v>
      </c>
      <c r="K33" s="2"/>
      <c r="L33" s="7">
        <f t="shared" si="15"/>
        <v>374.72</v>
      </c>
      <c r="M33" s="2"/>
      <c r="N33" s="6">
        <f t="shared" si="16"/>
        <v>0</v>
      </c>
      <c r="O33" s="11"/>
      <c r="P33" s="7">
        <v>2389.09</v>
      </c>
      <c r="Q33" s="2"/>
      <c r="R33" s="6">
        <f t="shared" si="17"/>
        <v>0.10037299198558784</v>
      </c>
      <c r="S33" s="2"/>
      <c r="T33" s="7"/>
      <c r="U33" s="2"/>
      <c r="V33" s="6">
        <f t="shared" si="18"/>
        <v>0</v>
      </c>
      <c r="W33" s="2"/>
      <c r="X33" s="7">
        <f t="shared" si="19"/>
        <v>2389.09</v>
      </c>
      <c r="Y33" s="2"/>
      <c r="Z33" s="6">
        <f t="shared" si="20"/>
        <v>0</v>
      </c>
    </row>
    <row r="34" spans="1:26" s="24" customFormat="1" hidden="1" outlineLevel="2" x14ac:dyDescent="0.25">
      <c r="A34" s="29"/>
      <c r="B34" s="11" t="str">
        <f>CONCATENATE("          ", "6118", " - ", "VACATION")</f>
        <v xml:space="preserve">          6118 - VACATION</v>
      </c>
      <c r="C34" s="11"/>
      <c r="D34" s="7">
        <v>1768.02</v>
      </c>
      <c r="E34" s="2"/>
      <c r="F34" s="6">
        <f t="shared" si="13"/>
        <v>0</v>
      </c>
      <c r="G34" s="2"/>
      <c r="H34" s="7">
        <v>1260.2815384615399</v>
      </c>
      <c r="I34" s="2"/>
      <c r="J34" s="6">
        <f t="shared" si="14"/>
        <v>9.0695793552072936E-3</v>
      </c>
      <c r="K34" s="2"/>
      <c r="L34" s="7">
        <f t="shared" si="15"/>
        <v>507.73846153846011</v>
      </c>
      <c r="M34" s="2"/>
      <c r="N34" s="6">
        <f t="shared" si="16"/>
        <v>0.40287701282863381</v>
      </c>
      <c r="O34" s="11"/>
      <c r="P34" s="7">
        <v>11852.65</v>
      </c>
      <c r="Q34" s="2"/>
      <c r="R34" s="6">
        <f t="shared" si="17"/>
        <v>0.49796614755324314</v>
      </c>
      <c r="S34" s="2"/>
      <c r="T34" s="7">
        <v>8191.83</v>
      </c>
      <c r="U34" s="2"/>
      <c r="V34" s="6">
        <f t="shared" si="18"/>
        <v>1.0672392948153397E-2</v>
      </c>
      <c r="W34" s="2"/>
      <c r="X34" s="7">
        <f t="shared" si="19"/>
        <v>3660.8199999999997</v>
      </c>
      <c r="Y34" s="2"/>
      <c r="Z34" s="6">
        <f t="shared" si="20"/>
        <v>0.44688671517841555</v>
      </c>
    </row>
    <row r="35" spans="1:26" s="24" customFormat="1" hidden="1" outlineLevel="2" x14ac:dyDescent="0.25">
      <c r="A35" s="29"/>
      <c r="B35" s="11" t="str">
        <f>CONCATENATE("          ", "6119", " - ", "SICK LEAVE")</f>
        <v xml:space="preserve">          6119 - SICK LEAVE</v>
      </c>
      <c r="C35" s="11"/>
      <c r="D35" s="7">
        <v>1214.78</v>
      </c>
      <c r="E35" s="2"/>
      <c r="F35" s="6">
        <f t="shared" si="13"/>
        <v>0</v>
      </c>
      <c r="G35" s="2"/>
      <c r="H35" s="7">
        <v>1517.5615384615398</v>
      </c>
      <c r="I35" s="2"/>
      <c r="J35" s="6">
        <f t="shared" si="14"/>
        <v>1.0921087375674056E-2</v>
      </c>
      <c r="K35" s="2"/>
      <c r="L35" s="7">
        <f t="shared" si="15"/>
        <v>-302.78153846153987</v>
      </c>
      <c r="M35" s="2"/>
      <c r="N35" s="6">
        <f t="shared" si="16"/>
        <v>-0.19951845825540035</v>
      </c>
      <c r="O35" s="11"/>
      <c r="P35" s="7">
        <v>7759.91</v>
      </c>
      <c r="Q35" s="2"/>
      <c r="R35" s="6">
        <f t="shared" si="17"/>
        <v>0.32601759843240857</v>
      </c>
      <c r="S35" s="2"/>
      <c r="T35" s="7">
        <v>8550.27</v>
      </c>
      <c r="U35" s="2"/>
      <c r="V35" s="6">
        <f t="shared" si="18"/>
        <v>1.1139371941654985E-2</v>
      </c>
      <c r="W35" s="2"/>
      <c r="X35" s="7">
        <f t="shared" si="19"/>
        <v>-790.36000000000058</v>
      </c>
      <c r="Y35" s="2"/>
      <c r="Z35" s="6">
        <f t="shared" si="20"/>
        <v>-9.243684702354435E-2</v>
      </c>
    </row>
    <row r="36" spans="1:26" s="24" customFormat="1" hidden="1" outlineLevel="2" x14ac:dyDescent="0.25">
      <c r="A36" s="29"/>
      <c r="B36" s="11" t="str">
        <f>CONCATENATE("          ", "6156", " - ", "EMPLOYEE MEALS")</f>
        <v xml:space="preserve">          6156 - EMPLOYEE MEALS</v>
      </c>
      <c r="C36" s="11"/>
      <c r="D36" s="7">
        <v>504</v>
      </c>
      <c r="E36" s="2"/>
      <c r="F36" s="6">
        <f t="shared" si="13"/>
        <v>0</v>
      </c>
      <c r="G36" s="2"/>
      <c r="H36" s="7">
        <v>1750</v>
      </c>
      <c r="I36" s="2"/>
      <c r="J36" s="6">
        <f t="shared" si="14"/>
        <v>1.2593823988715934E-2</v>
      </c>
      <c r="K36" s="2"/>
      <c r="L36" s="7">
        <f t="shared" si="15"/>
        <v>-1246</v>
      </c>
      <c r="M36" s="2"/>
      <c r="N36" s="6">
        <f t="shared" si="16"/>
        <v>-0.71199999999999997</v>
      </c>
      <c r="O36" s="11"/>
      <c r="P36" s="7">
        <v>4765.51</v>
      </c>
      <c r="Q36" s="2"/>
      <c r="R36" s="6">
        <f t="shared" si="17"/>
        <v>0.20021367844544941</v>
      </c>
      <c r="S36" s="2"/>
      <c r="T36" s="7">
        <v>10500</v>
      </c>
      <c r="U36" s="2"/>
      <c r="V36" s="6">
        <f t="shared" si="18"/>
        <v>1.367949847050179E-2</v>
      </c>
      <c r="W36" s="2"/>
      <c r="X36" s="7">
        <f t="shared" si="19"/>
        <v>-5734.49</v>
      </c>
      <c r="Y36" s="2"/>
      <c r="Z36" s="6">
        <f t="shared" si="20"/>
        <v>-0.54614190476190472</v>
      </c>
    </row>
    <row r="37" spans="1:26" s="28" customFormat="1" outlineLevel="1" collapsed="1" x14ac:dyDescent="0.2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17998.71</v>
      </c>
      <c r="E37" s="1"/>
      <c r="F37" s="5">
        <f t="shared" ref="F37:F47" si="21">IF(D$12=0,0,D37/D$12)</f>
        <v>0</v>
      </c>
      <c r="G37" s="1"/>
      <c r="H37" s="1">
        <f>SUM(OSRRefH22_1x_0)</f>
        <v>55357.621538461499</v>
      </c>
      <c r="I37" s="1"/>
      <c r="J37" s="5">
        <f t="shared" ref="J37:J47" si="22">IF(H$12=0,0,H37/H$12)</f>
        <v>0.39837950976533387</v>
      </c>
      <c r="K37" s="1"/>
      <c r="L37" s="1">
        <f t="shared" ref="L37:L47" si="23">+D37-H37</f>
        <v>-37358.9115384615</v>
      </c>
      <c r="M37" s="1"/>
      <c r="N37" s="5">
        <f t="shared" ref="N37:N47" si="24">IF(H37=0,0,L37/H37)</f>
        <v>-0.67486482439468953</v>
      </c>
      <c r="O37" s="14"/>
      <c r="P37" s="1">
        <f>SUM(OSRRefP22_1x_0)</f>
        <v>135120.26</v>
      </c>
      <c r="Q37" s="1"/>
      <c r="R37" s="5">
        <f t="shared" ref="R37:R47" si="25">IF(P$12=0,0,P37/P$12)</f>
        <v>5.6768161827601915</v>
      </c>
      <c r="S37" s="1"/>
      <c r="T37" s="1">
        <f>SUM(OSRRefT22_1x_0)</f>
        <v>316028.5399999998</v>
      </c>
      <c r="U37" s="1"/>
      <c r="V37" s="5">
        <f t="shared" ref="V37:V47" si="26">IF(T$12=0,0,T37/T$12)</f>
        <v>0.41172494567284867</v>
      </c>
      <c r="W37" s="1"/>
      <c r="X37" s="1">
        <f t="shared" ref="X37:X47" si="27">+P37-T37</f>
        <v>-180908.2799999998</v>
      </c>
      <c r="Y37" s="1"/>
      <c r="Z37" s="5">
        <f t="shared" ref="Z37:Z47" si="28">IF(T37=0,0,X37/T37)</f>
        <v>-0.5724428559521868</v>
      </c>
    </row>
    <row r="38" spans="1:26" s="24" customFormat="1" hidden="1" outlineLevel="2" x14ac:dyDescent="0.25">
      <c r="A38" s="29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1"/>
        <v>0</v>
      </c>
      <c r="G38" s="2"/>
      <c r="H38" s="7">
        <v>0</v>
      </c>
      <c r="I38" s="2"/>
      <c r="J38" s="6">
        <f t="shared" si="22"/>
        <v>0</v>
      </c>
      <c r="K38" s="2"/>
      <c r="L38" s="7">
        <f t="shared" si="23"/>
        <v>0</v>
      </c>
      <c r="M38" s="2"/>
      <c r="N38" s="6">
        <f t="shared" si="24"/>
        <v>0</v>
      </c>
      <c r="O38" s="11"/>
      <c r="P38" s="7"/>
      <c r="Q38" s="2"/>
      <c r="R38" s="6">
        <f t="shared" si="25"/>
        <v>0</v>
      </c>
      <c r="S38" s="2"/>
      <c r="T38" s="7">
        <v>0</v>
      </c>
      <c r="U38" s="2"/>
      <c r="V38" s="6">
        <f t="shared" si="26"/>
        <v>0</v>
      </c>
      <c r="W38" s="2"/>
      <c r="X38" s="7">
        <f t="shared" si="27"/>
        <v>0</v>
      </c>
      <c r="Y38" s="2"/>
      <c r="Z38" s="6">
        <f t="shared" si="28"/>
        <v>0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7">
        <v>6284.92</v>
      </c>
      <c r="E39" s="2"/>
      <c r="F39" s="6">
        <f t="shared" si="21"/>
        <v>0</v>
      </c>
      <c r="G39" s="2"/>
      <c r="H39" s="7">
        <v>13620.021538461498</v>
      </c>
      <c r="I39" s="2"/>
      <c r="J39" s="6">
        <f t="shared" si="22"/>
        <v>9.8016087987373782E-2</v>
      </c>
      <c r="K39" s="2"/>
      <c r="L39" s="7">
        <f t="shared" si="23"/>
        <v>-7335.1015384614984</v>
      </c>
      <c r="M39" s="2"/>
      <c r="N39" s="6">
        <f t="shared" si="24"/>
        <v>-0.53855285894724536</v>
      </c>
      <c r="O39" s="11"/>
      <c r="P39" s="7">
        <v>54750.729999999996</v>
      </c>
      <c r="Q39" s="2"/>
      <c r="R39" s="6">
        <f t="shared" si="25"/>
        <v>2.300245944478895</v>
      </c>
      <c r="S39" s="2"/>
      <c r="T39" s="7">
        <v>88530.139999999796</v>
      </c>
      <c r="U39" s="2"/>
      <c r="V39" s="6">
        <f t="shared" si="26"/>
        <v>0.11533789664031491</v>
      </c>
      <c r="W39" s="2"/>
      <c r="X39" s="7">
        <f t="shared" si="27"/>
        <v>-33779.4099999998</v>
      </c>
      <c r="Y39" s="2"/>
      <c r="Z39" s="6">
        <f t="shared" si="28"/>
        <v>-0.3815583031948202</v>
      </c>
    </row>
    <row r="40" spans="1:26" s="24" customFormat="1" hidden="1" outlineLevel="2" x14ac:dyDescent="0.25">
      <c r="A40" s="29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1"/>
        <v>0</v>
      </c>
      <c r="G40" s="2"/>
      <c r="H40" s="7">
        <v>0</v>
      </c>
      <c r="I40" s="2"/>
      <c r="J40" s="6">
        <f t="shared" si="22"/>
        <v>0</v>
      </c>
      <c r="K40" s="2"/>
      <c r="L40" s="7">
        <f t="shared" si="23"/>
        <v>0</v>
      </c>
      <c r="M40" s="2"/>
      <c r="N40" s="6">
        <f t="shared" si="24"/>
        <v>0</v>
      </c>
      <c r="O40" s="11"/>
      <c r="P40" s="7"/>
      <c r="Q40" s="2"/>
      <c r="R40" s="6">
        <f t="shared" si="25"/>
        <v>0</v>
      </c>
      <c r="S40" s="2"/>
      <c r="T40" s="7">
        <v>0</v>
      </c>
      <c r="U40" s="2"/>
      <c r="V40" s="6">
        <f t="shared" si="26"/>
        <v>0</v>
      </c>
      <c r="W40" s="2"/>
      <c r="X40" s="7">
        <f t="shared" si="27"/>
        <v>0</v>
      </c>
      <c r="Y40" s="2"/>
      <c r="Z40" s="6">
        <f t="shared" si="28"/>
        <v>0</v>
      </c>
    </row>
    <row r="41" spans="1:26" s="24" customFormat="1" hidden="1" outlineLevel="2" x14ac:dyDescent="0.25">
      <c r="A41" s="29"/>
      <c r="B41" s="11" t="str">
        <f>CONCATENATE("          ", "6004", " - ", "STAFF HOURLY")</f>
        <v xml:space="preserve">          6004 - STAFF HOURLY</v>
      </c>
      <c r="C41" s="11"/>
      <c r="D41" s="7">
        <v>11713.79</v>
      </c>
      <c r="E41" s="2"/>
      <c r="F41" s="6">
        <f t="shared" si="21"/>
        <v>0</v>
      </c>
      <c r="G41" s="2"/>
      <c r="H41" s="7">
        <v>30537.599999999999</v>
      </c>
      <c r="I41" s="2"/>
      <c r="J41" s="6">
        <f t="shared" si="22"/>
        <v>0.21976294825017811</v>
      </c>
      <c r="K41" s="2"/>
      <c r="L41" s="7">
        <f t="shared" si="23"/>
        <v>-18823.809999999998</v>
      </c>
      <c r="M41" s="2"/>
      <c r="N41" s="6">
        <f t="shared" si="24"/>
        <v>-0.61641419103007433</v>
      </c>
      <c r="O41" s="11"/>
      <c r="P41" s="7">
        <v>80369.53</v>
      </c>
      <c r="Q41" s="2"/>
      <c r="R41" s="6">
        <f t="shared" si="25"/>
        <v>3.3765702382812961</v>
      </c>
      <c r="S41" s="2"/>
      <c r="T41" s="7">
        <v>179198.4</v>
      </c>
      <c r="U41" s="2"/>
      <c r="V41" s="6">
        <f t="shared" si="26"/>
        <v>0.23346135606822552</v>
      </c>
      <c r="W41" s="2"/>
      <c r="X41" s="7">
        <f t="shared" si="27"/>
        <v>-98828.87</v>
      </c>
      <c r="Y41" s="2"/>
      <c r="Z41" s="6">
        <f t="shared" si="28"/>
        <v>-0.55150531477959619</v>
      </c>
    </row>
    <row r="42" spans="1:26" s="24" customFormat="1" hidden="1" outlineLevel="2" x14ac:dyDescent="0.25">
      <c r="A42" s="29"/>
      <c r="B42" s="11" t="str">
        <f>CONCATENATE("          ", "6005", " - ", "TEMPORARY WAGES-HOURLY")</f>
        <v xml:space="preserve">          6005 - TEMPORARY WAGES-HOURLY</v>
      </c>
      <c r="C42" s="11"/>
      <c r="D42" s="7"/>
      <c r="E42" s="2"/>
      <c r="F42" s="6">
        <f t="shared" si="21"/>
        <v>0</v>
      </c>
      <c r="G42" s="2"/>
      <c r="H42" s="7">
        <v>0</v>
      </c>
      <c r="I42" s="2"/>
      <c r="J42" s="6">
        <f t="shared" si="22"/>
        <v>0</v>
      </c>
      <c r="K42" s="2"/>
      <c r="L42" s="7">
        <f t="shared" si="23"/>
        <v>0</v>
      </c>
      <c r="M42" s="2"/>
      <c r="N42" s="6">
        <f t="shared" si="24"/>
        <v>0</v>
      </c>
      <c r="O42" s="11"/>
      <c r="P42" s="7"/>
      <c r="Q42" s="2"/>
      <c r="R42" s="6">
        <f t="shared" si="25"/>
        <v>0</v>
      </c>
      <c r="S42" s="2"/>
      <c r="T42" s="7">
        <v>0</v>
      </c>
      <c r="U42" s="2"/>
      <c r="V42" s="6">
        <f t="shared" si="26"/>
        <v>0</v>
      </c>
      <c r="W42" s="2"/>
      <c r="X42" s="7">
        <f t="shared" si="27"/>
        <v>0</v>
      </c>
      <c r="Y42" s="2"/>
      <c r="Z42" s="6">
        <f t="shared" si="28"/>
        <v>0</v>
      </c>
    </row>
    <row r="43" spans="1:26" s="24" customFormat="1" hidden="1" outlineLevel="2" x14ac:dyDescent="0.25">
      <c r="A43" s="29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1"/>
        <v>0</v>
      </c>
      <c r="G43" s="2"/>
      <c r="H43" s="7">
        <v>0</v>
      </c>
      <c r="I43" s="2"/>
      <c r="J43" s="6">
        <f t="shared" si="22"/>
        <v>0</v>
      </c>
      <c r="K43" s="2"/>
      <c r="L43" s="7">
        <f t="shared" si="23"/>
        <v>0</v>
      </c>
      <c r="M43" s="2"/>
      <c r="N43" s="6">
        <f t="shared" si="24"/>
        <v>0</v>
      </c>
      <c r="O43" s="11"/>
      <c r="P43" s="7"/>
      <c r="Q43" s="2"/>
      <c r="R43" s="6">
        <f t="shared" si="25"/>
        <v>0</v>
      </c>
      <c r="S43" s="2"/>
      <c r="T43" s="7">
        <v>0</v>
      </c>
      <c r="U43" s="2"/>
      <c r="V43" s="6">
        <f t="shared" si="26"/>
        <v>0</v>
      </c>
      <c r="W43" s="2"/>
      <c r="X43" s="7">
        <f t="shared" si="27"/>
        <v>0</v>
      </c>
      <c r="Y43" s="2"/>
      <c r="Z43" s="6">
        <f t="shared" si="28"/>
        <v>0</v>
      </c>
    </row>
    <row r="44" spans="1:26" s="24" customFormat="1" hidden="1" outlineLevel="2" x14ac:dyDescent="0.25">
      <c r="A44" s="29"/>
      <c r="B44" s="11" t="str">
        <f>CONCATENATE("          ", "6007", " - ", "STUDENT HOURLY")</f>
        <v xml:space="preserve">          6007 - STUDENT HOURLY</v>
      </c>
      <c r="C44" s="11"/>
      <c r="D44" s="7"/>
      <c r="E44" s="2"/>
      <c r="F44" s="6">
        <f t="shared" si="21"/>
        <v>0</v>
      </c>
      <c r="G44" s="2"/>
      <c r="H44" s="7">
        <v>0</v>
      </c>
      <c r="I44" s="2"/>
      <c r="J44" s="6">
        <f t="shared" si="22"/>
        <v>0</v>
      </c>
      <c r="K44" s="2"/>
      <c r="L44" s="7">
        <f t="shared" si="23"/>
        <v>0</v>
      </c>
      <c r="M44" s="2"/>
      <c r="N44" s="6">
        <f t="shared" si="24"/>
        <v>0</v>
      </c>
      <c r="O44" s="11"/>
      <c r="P44" s="7">
        <v>0</v>
      </c>
      <c r="Q44" s="2"/>
      <c r="R44" s="6">
        <f t="shared" si="25"/>
        <v>0</v>
      </c>
      <c r="S44" s="2"/>
      <c r="T44" s="7">
        <v>0</v>
      </c>
      <c r="U44" s="2"/>
      <c r="V44" s="6">
        <f t="shared" si="26"/>
        <v>0</v>
      </c>
      <c r="W44" s="2"/>
      <c r="X44" s="7">
        <f t="shared" si="27"/>
        <v>0</v>
      </c>
      <c r="Y44" s="2"/>
      <c r="Z44" s="6">
        <f t="shared" si="28"/>
        <v>0</v>
      </c>
    </row>
    <row r="45" spans="1:26" s="24" customFormat="1" hidden="1" outlineLevel="2" x14ac:dyDescent="0.25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7"/>
      <c r="E45" s="2"/>
      <c r="F45" s="6">
        <f t="shared" si="21"/>
        <v>0</v>
      </c>
      <c r="G45" s="2"/>
      <c r="H45" s="7">
        <v>11200</v>
      </c>
      <c r="I45" s="2"/>
      <c r="J45" s="6">
        <f t="shared" si="22"/>
        <v>8.0600473527781977E-2</v>
      </c>
      <c r="K45" s="2"/>
      <c r="L45" s="7">
        <f t="shared" si="23"/>
        <v>-11200</v>
      </c>
      <c r="M45" s="2"/>
      <c r="N45" s="6">
        <f t="shared" si="24"/>
        <v>-1</v>
      </c>
      <c r="O45" s="11"/>
      <c r="P45" s="7"/>
      <c r="Q45" s="2"/>
      <c r="R45" s="6">
        <f t="shared" si="25"/>
        <v>0</v>
      </c>
      <c r="S45" s="2"/>
      <c r="T45" s="7">
        <v>48300</v>
      </c>
      <c r="U45" s="2"/>
      <c r="V45" s="6">
        <f t="shared" si="26"/>
        <v>6.2925692964308236E-2</v>
      </c>
      <c r="W45" s="2"/>
      <c r="X45" s="7">
        <f t="shared" si="27"/>
        <v>-48300</v>
      </c>
      <c r="Y45" s="2"/>
      <c r="Z45" s="6">
        <f t="shared" si="28"/>
        <v>-1</v>
      </c>
    </row>
    <row r="46" spans="1:26" s="24" customFormat="1" hidden="1" outlineLevel="2" x14ac:dyDescent="0.25">
      <c r="A46" s="29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1"/>
        <v>0</v>
      </c>
      <c r="G46" s="2"/>
      <c r="H46" s="7">
        <v>0</v>
      </c>
      <c r="I46" s="2"/>
      <c r="J46" s="6">
        <f t="shared" si="22"/>
        <v>0</v>
      </c>
      <c r="K46" s="2"/>
      <c r="L46" s="7">
        <f t="shared" si="23"/>
        <v>0</v>
      </c>
      <c r="M46" s="2"/>
      <c r="N46" s="6">
        <f t="shared" si="24"/>
        <v>0</v>
      </c>
      <c r="O46" s="11"/>
      <c r="P46" s="7"/>
      <c r="Q46" s="2"/>
      <c r="R46" s="6">
        <f t="shared" si="25"/>
        <v>0</v>
      </c>
      <c r="S46" s="2"/>
      <c r="T46" s="7">
        <v>0</v>
      </c>
      <c r="U46" s="2"/>
      <c r="V46" s="6">
        <f t="shared" si="26"/>
        <v>0</v>
      </c>
      <c r="W46" s="2"/>
      <c r="X46" s="7">
        <f t="shared" si="27"/>
        <v>0</v>
      </c>
      <c r="Y46" s="2"/>
      <c r="Z46" s="6">
        <f t="shared" si="28"/>
        <v>0</v>
      </c>
    </row>
    <row r="47" spans="1:26" s="24" customFormat="1" hidden="1" outlineLevel="2" x14ac:dyDescent="0.25">
      <c r="A47" s="29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1"/>
        <v>0</v>
      </c>
      <c r="G47" s="2"/>
      <c r="H47" s="7">
        <v>0</v>
      </c>
      <c r="I47" s="2"/>
      <c r="J47" s="6">
        <f t="shared" si="22"/>
        <v>0</v>
      </c>
      <c r="K47" s="2"/>
      <c r="L47" s="7">
        <f t="shared" si="23"/>
        <v>0</v>
      </c>
      <c r="M47" s="2"/>
      <c r="N47" s="6">
        <f t="shared" si="24"/>
        <v>0</v>
      </c>
      <c r="O47" s="11"/>
      <c r="P47" s="7"/>
      <c r="Q47" s="2"/>
      <c r="R47" s="6">
        <f t="shared" si="25"/>
        <v>0</v>
      </c>
      <c r="S47" s="2"/>
      <c r="T47" s="7">
        <v>0</v>
      </c>
      <c r="U47" s="2"/>
      <c r="V47" s="6">
        <f t="shared" si="26"/>
        <v>0</v>
      </c>
      <c r="W47" s="2"/>
      <c r="X47" s="7">
        <f t="shared" si="27"/>
        <v>0</v>
      </c>
      <c r="Y47" s="2"/>
      <c r="Z47" s="6">
        <f t="shared" si="28"/>
        <v>0</v>
      </c>
    </row>
    <row r="48" spans="1:26" s="28" customFormat="1" outlineLevel="1" collapsed="1" x14ac:dyDescent="0.2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68" si="29">IF(D$12=0,0,D48/D$12)</f>
        <v>0</v>
      </c>
      <c r="G48" s="1"/>
      <c r="H48" s="1">
        <f>SUM(OSRRefH22_2x_0)</f>
        <v>500</v>
      </c>
      <c r="I48" s="1"/>
      <c r="J48" s="5">
        <f t="shared" ref="J48:J68" si="30">IF(H$12=0,0,H48/H$12)</f>
        <v>3.5982354253474096E-3</v>
      </c>
      <c r="K48" s="1"/>
      <c r="L48" s="1">
        <f t="shared" ref="L48:L68" si="31">+D48-H48</f>
        <v>-500</v>
      </c>
      <c r="M48" s="1"/>
      <c r="N48" s="5">
        <f t="shared" ref="N48:N68" si="32">IF(H48=0,0,L48/H48)</f>
        <v>-1</v>
      </c>
      <c r="O48" s="14"/>
      <c r="P48" s="1">
        <f>SUM(OSRRefP22_2x_0)</f>
        <v>204.75</v>
      </c>
      <c r="Q48" s="1"/>
      <c r="R48" s="5">
        <f t="shared" ref="R48:R68" si="33">IF(P$12=0,0,P48/P$12)</f>
        <v>8.6021749323169534E-3</v>
      </c>
      <c r="S48" s="1"/>
      <c r="T48" s="1">
        <f>SUM(OSRRefT22_2x_0)</f>
        <v>3000</v>
      </c>
      <c r="U48" s="1"/>
      <c r="V48" s="5">
        <f t="shared" ref="V48:V68" si="34">IF(T$12=0,0,T48/T$12)</f>
        <v>3.9084281344290827E-3</v>
      </c>
      <c r="W48" s="1"/>
      <c r="X48" s="1">
        <f t="shared" ref="X48:X68" si="35">+P48-T48</f>
        <v>-2795.25</v>
      </c>
      <c r="Y48" s="1"/>
      <c r="Z48" s="5">
        <f t="shared" ref="Z48:Z68" si="36">IF(T48=0,0,X48/T48)</f>
        <v>-0.93174999999999997</v>
      </c>
    </row>
    <row r="49" spans="1:26" s="24" customFormat="1" hidden="1" outlineLevel="2" x14ac:dyDescent="0.25">
      <c r="A49" s="29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9"/>
        <v>0</v>
      </c>
      <c r="G49" s="2"/>
      <c r="H49" s="7">
        <v>500</v>
      </c>
      <c r="I49" s="2"/>
      <c r="J49" s="6">
        <f t="shared" si="30"/>
        <v>3.5982354253474096E-3</v>
      </c>
      <c r="K49" s="2"/>
      <c r="L49" s="7">
        <f t="shared" si="31"/>
        <v>-500</v>
      </c>
      <c r="M49" s="2"/>
      <c r="N49" s="6">
        <f t="shared" si="32"/>
        <v>-1</v>
      </c>
      <c r="O49" s="11"/>
      <c r="P49" s="7">
        <v>204.75</v>
      </c>
      <c r="Q49" s="2"/>
      <c r="R49" s="6">
        <f t="shared" si="33"/>
        <v>8.6021749323169534E-3</v>
      </c>
      <c r="S49" s="2"/>
      <c r="T49" s="7">
        <v>3000</v>
      </c>
      <c r="U49" s="2"/>
      <c r="V49" s="6">
        <f t="shared" si="34"/>
        <v>3.9084281344290827E-3</v>
      </c>
      <c r="W49" s="2"/>
      <c r="X49" s="7">
        <f t="shared" si="35"/>
        <v>-2795.25</v>
      </c>
      <c r="Y49" s="2"/>
      <c r="Z49" s="6">
        <f t="shared" si="36"/>
        <v>-0.93174999999999997</v>
      </c>
    </row>
    <row r="50" spans="1:26" s="28" customFormat="1" outlineLevel="1" collapsed="1" x14ac:dyDescent="0.2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9"/>
        <v>0</v>
      </c>
      <c r="G50" s="1"/>
      <c r="H50" s="1">
        <f>SUM(OSRRefH22_3x_0)</f>
        <v>15</v>
      </c>
      <c r="I50" s="1"/>
      <c r="J50" s="5">
        <f t="shared" si="30"/>
        <v>1.0794706276042229E-4</v>
      </c>
      <c r="K50" s="1"/>
      <c r="L50" s="1">
        <f t="shared" si="31"/>
        <v>-15</v>
      </c>
      <c r="M50" s="1"/>
      <c r="N50" s="5">
        <f t="shared" si="32"/>
        <v>-1</v>
      </c>
      <c r="O50" s="14"/>
      <c r="P50" s="1">
        <f>SUM(OSRRefP22_3x_0)</f>
        <v>0</v>
      </c>
      <c r="Q50" s="1"/>
      <c r="R50" s="5">
        <f t="shared" si="33"/>
        <v>0</v>
      </c>
      <c r="S50" s="1"/>
      <c r="T50" s="1">
        <f>SUM(OSRRefT22_3x_0)</f>
        <v>90</v>
      </c>
      <c r="U50" s="1"/>
      <c r="V50" s="5">
        <f t="shared" si="34"/>
        <v>1.1725284403287249E-4</v>
      </c>
      <c r="W50" s="1"/>
      <c r="X50" s="1">
        <f t="shared" si="35"/>
        <v>-90</v>
      </c>
      <c r="Y50" s="1"/>
      <c r="Z50" s="5">
        <f t="shared" si="36"/>
        <v>-1</v>
      </c>
    </row>
    <row r="51" spans="1:26" s="24" customFormat="1" hidden="1" outlineLevel="2" x14ac:dyDescent="0.25">
      <c r="A51" s="29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9"/>
        <v>0</v>
      </c>
      <c r="G51" s="2"/>
      <c r="H51" s="7">
        <v>15</v>
      </c>
      <c r="I51" s="2"/>
      <c r="J51" s="6">
        <f t="shared" si="30"/>
        <v>1.0794706276042229E-4</v>
      </c>
      <c r="K51" s="2"/>
      <c r="L51" s="7">
        <f t="shared" si="31"/>
        <v>-15</v>
      </c>
      <c r="M51" s="2"/>
      <c r="N51" s="6">
        <f t="shared" si="32"/>
        <v>-1</v>
      </c>
      <c r="O51" s="11"/>
      <c r="P51" s="7"/>
      <c r="Q51" s="2"/>
      <c r="R51" s="6">
        <f t="shared" si="33"/>
        <v>0</v>
      </c>
      <c r="S51" s="2"/>
      <c r="T51" s="7">
        <v>90</v>
      </c>
      <c r="U51" s="2"/>
      <c r="V51" s="6">
        <f t="shared" si="34"/>
        <v>1.1725284403287249E-4</v>
      </c>
      <c r="W51" s="2"/>
      <c r="X51" s="7">
        <f t="shared" si="35"/>
        <v>-90</v>
      </c>
      <c r="Y51" s="2"/>
      <c r="Z51" s="6">
        <f t="shared" si="36"/>
        <v>-1</v>
      </c>
    </row>
    <row r="52" spans="1:26" s="28" customFormat="1" outlineLevel="1" collapsed="1" x14ac:dyDescent="0.2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0</v>
      </c>
      <c r="E52" s="1"/>
      <c r="F52" s="5">
        <f t="shared" si="29"/>
        <v>0</v>
      </c>
      <c r="G52" s="1"/>
      <c r="H52" s="1">
        <f>SUM(OSRRefH22_4x_0)</f>
        <v>250</v>
      </c>
      <c r="I52" s="1"/>
      <c r="J52" s="5">
        <f t="shared" si="30"/>
        <v>1.7991177126737048E-3</v>
      </c>
      <c r="K52" s="1"/>
      <c r="L52" s="1">
        <f t="shared" si="31"/>
        <v>-250</v>
      </c>
      <c r="M52" s="1"/>
      <c r="N52" s="5">
        <f t="shared" si="32"/>
        <v>-1</v>
      </c>
      <c r="O52" s="14"/>
      <c r="P52" s="1">
        <f>SUM(OSRRefP22_4x_0)</f>
        <v>0</v>
      </c>
      <c r="Q52" s="1"/>
      <c r="R52" s="5">
        <f t="shared" si="33"/>
        <v>0</v>
      </c>
      <c r="S52" s="1"/>
      <c r="T52" s="1">
        <f>SUM(OSRRefT22_4x_0)</f>
        <v>1500</v>
      </c>
      <c r="U52" s="1"/>
      <c r="V52" s="5">
        <f t="shared" si="34"/>
        <v>1.9542140672145413E-3</v>
      </c>
      <c r="W52" s="1"/>
      <c r="X52" s="1">
        <f t="shared" si="35"/>
        <v>-1500</v>
      </c>
      <c r="Y52" s="1"/>
      <c r="Z52" s="5">
        <f t="shared" si="36"/>
        <v>-1</v>
      </c>
    </row>
    <row r="53" spans="1:26" s="24" customFormat="1" hidden="1" outlineLevel="2" x14ac:dyDescent="0.25">
      <c r="A53" s="29"/>
      <c r="B53" s="11" t="str">
        <f>CONCATENATE("          ", "6381", " - ", "BANK/CREDIT CARD FEES")</f>
        <v xml:space="preserve">          6381 - BANK/CREDIT CARD FEES</v>
      </c>
      <c r="C53" s="11"/>
      <c r="D53" s="7"/>
      <c r="E53" s="2"/>
      <c r="F53" s="6">
        <f t="shared" si="29"/>
        <v>0</v>
      </c>
      <c r="G53" s="2"/>
      <c r="H53" s="7">
        <v>250</v>
      </c>
      <c r="I53" s="2"/>
      <c r="J53" s="6">
        <f t="shared" si="30"/>
        <v>1.7991177126737048E-3</v>
      </c>
      <c r="K53" s="2"/>
      <c r="L53" s="7">
        <f t="shared" si="31"/>
        <v>-250</v>
      </c>
      <c r="M53" s="2"/>
      <c r="N53" s="6">
        <f t="shared" si="32"/>
        <v>-1</v>
      </c>
      <c r="O53" s="11"/>
      <c r="P53" s="7"/>
      <c r="Q53" s="2"/>
      <c r="R53" s="6">
        <f t="shared" si="33"/>
        <v>0</v>
      </c>
      <c r="S53" s="2"/>
      <c r="T53" s="7">
        <v>1500</v>
      </c>
      <c r="U53" s="2"/>
      <c r="V53" s="6">
        <f t="shared" si="34"/>
        <v>1.9542140672145413E-3</v>
      </c>
      <c r="W53" s="2"/>
      <c r="X53" s="7">
        <f t="shared" si="35"/>
        <v>-1500</v>
      </c>
      <c r="Y53" s="2"/>
      <c r="Z53" s="6">
        <f t="shared" si="36"/>
        <v>-1</v>
      </c>
    </row>
    <row r="54" spans="1:26" s="28" customFormat="1" outlineLevel="1" collapsed="1" x14ac:dyDescent="0.2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272.74</v>
      </c>
      <c r="E54" s="1"/>
      <c r="F54" s="5">
        <f t="shared" si="29"/>
        <v>0</v>
      </c>
      <c r="G54" s="1"/>
      <c r="H54" s="1">
        <f>SUM(OSRRefH22_5x_0)</f>
        <v>0</v>
      </c>
      <c r="I54" s="1"/>
      <c r="J54" s="5">
        <f t="shared" si="30"/>
        <v>0</v>
      </c>
      <c r="K54" s="1"/>
      <c r="L54" s="1">
        <f t="shared" si="31"/>
        <v>272.74</v>
      </c>
      <c r="M54" s="1"/>
      <c r="N54" s="5">
        <f t="shared" si="32"/>
        <v>0</v>
      </c>
      <c r="O54" s="14"/>
      <c r="P54" s="1">
        <f>SUM(OSRRefP22_5x_0)</f>
        <v>1372.22</v>
      </c>
      <c r="Q54" s="1"/>
      <c r="R54" s="5">
        <f t="shared" si="33"/>
        <v>5.7651167206954679E-2</v>
      </c>
      <c r="S54" s="1"/>
      <c r="T54" s="1">
        <f>SUM(OSRRefT22_5x_0)</f>
        <v>0</v>
      </c>
      <c r="U54" s="1"/>
      <c r="V54" s="5">
        <f t="shared" si="34"/>
        <v>0</v>
      </c>
      <c r="W54" s="1"/>
      <c r="X54" s="1">
        <f t="shared" si="35"/>
        <v>1372.22</v>
      </c>
      <c r="Y54" s="1"/>
      <c r="Z54" s="5">
        <f t="shared" si="36"/>
        <v>0</v>
      </c>
    </row>
    <row r="55" spans="1:26" s="24" customFormat="1" hidden="1" outlineLevel="2" x14ac:dyDescent="0.25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272.74</v>
      </c>
      <c r="E55" s="2"/>
      <c r="F55" s="6">
        <f t="shared" si="29"/>
        <v>0</v>
      </c>
      <c r="G55" s="2"/>
      <c r="H55" s="7"/>
      <c r="I55" s="2"/>
      <c r="J55" s="6">
        <f t="shared" si="30"/>
        <v>0</v>
      </c>
      <c r="K55" s="2"/>
      <c r="L55" s="7">
        <f t="shared" si="31"/>
        <v>272.74</v>
      </c>
      <c r="M55" s="2"/>
      <c r="N55" s="6">
        <f t="shared" si="32"/>
        <v>0</v>
      </c>
      <c r="O55" s="11"/>
      <c r="P55" s="7">
        <v>1372.22</v>
      </c>
      <c r="Q55" s="2"/>
      <c r="R55" s="6">
        <f t="shared" si="33"/>
        <v>5.7651167206954679E-2</v>
      </c>
      <c r="S55" s="2"/>
      <c r="T55" s="7"/>
      <c r="U55" s="2"/>
      <c r="V55" s="6">
        <f t="shared" si="34"/>
        <v>0</v>
      </c>
      <c r="W55" s="2"/>
      <c r="X55" s="7">
        <f t="shared" si="35"/>
        <v>1372.22</v>
      </c>
      <c r="Y55" s="2"/>
      <c r="Z55" s="6">
        <f t="shared" si="36"/>
        <v>0</v>
      </c>
    </row>
    <row r="56" spans="1:26" s="28" customFormat="1" outlineLevel="1" collapsed="1" x14ac:dyDescent="0.25">
      <c r="A56" s="27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0</v>
      </c>
      <c r="E56" s="1"/>
      <c r="F56" s="5">
        <f t="shared" si="29"/>
        <v>0</v>
      </c>
      <c r="G56" s="1"/>
      <c r="H56" s="1">
        <f>SUM(OSRRefH22_6x_0)</f>
        <v>8000</v>
      </c>
      <c r="I56" s="1"/>
      <c r="J56" s="5">
        <f t="shared" si="30"/>
        <v>5.7571766805558554E-2</v>
      </c>
      <c r="K56" s="1"/>
      <c r="L56" s="1">
        <f t="shared" si="31"/>
        <v>-8000</v>
      </c>
      <c r="M56" s="1"/>
      <c r="N56" s="5">
        <f t="shared" si="32"/>
        <v>-1</v>
      </c>
      <c r="O56" s="14"/>
      <c r="P56" s="1">
        <f>SUM(OSRRefP22_6x_0)</f>
        <v>0</v>
      </c>
      <c r="Q56" s="1"/>
      <c r="R56" s="5">
        <f t="shared" si="33"/>
        <v>0</v>
      </c>
      <c r="S56" s="1"/>
      <c r="T56" s="1">
        <f>SUM(OSRRefT22_6x_0)</f>
        <v>37000</v>
      </c>
      <c r="U56" s="1"/>
      <c r="V56" s="5">
        <f t="shared" si="34"/>
        <v>4.8203946991292025E-2</v>
      </c>
      <c r="W56" s="1"/>
      <c r="X56" s="1">
        <f t="shared" si="35"/>
        <v>-37000</v>
      </c>
      <c r="Y56" s="1"/>
      <c r="Z56" s="5">
        <f t="shared" si="36"/>
        <v>-1</v>
      </c>
    </row>
    <row r="57" spans="1:26" s="24" customFormat="1" hidden="1" outlineLevel="2" x14ac:dyDescent="0.25">
      <c r="A57" s="29"/>
      <c r="B57" s="11" t="str">
        <f>CONCATENATE("          ", "6399", " - ", "DONATION-ON CAMPUS")</f>
        <v xml:space="preserve">          6399 - DONATION-ON CAMPUS</v>
      </c>
      <c r="C57" s="11"/>
      <c r="D57" s="7"/>
      <c r="E57" s="2"/>
      <c r="F57" s="6">
        <f t="shared" si="29"/>
        <v>0</v>
      </c>
      <c r="G57" s="2"/>
      <c r="H57" s="7">
        <v>8000</v>
      </c>
      <c r="I57" s="2"/>
      <c r="J57" s="6">
        <f t="shared" si="30"/>
        <v>5.7571766805558554E-2</v>
      </c>
      <c r="K57" s="2"/>
      <c r="L57" s="7">
        <f t="shared" si="31"/>
        <v>-8000</v>
      </c>
      <c r="M57" s="2"/>
      <c r="N57" s="6">
        <f t="shared" si="32"/>
        <v>-1</v>
      </c>
      <c r="O57" s="11"/>
      <c r="P57" s="7"/>
      <c r="Q57" s="2"/>
      <c r="R57" s="6">
        <f t="shared" si="33"/>
        <v>0</v>
      </c>
      <c r="S57" s="2"/>
      <c r="T57" s="7">
        <v>37000</v>
      </c>
      <c r="U57" s="2"/>
      <c r="V57" s="6">
        <f t="shared" si="34"/>
        <v>4.8203946991292025E-2</v>
      </c>
      <c r="W57" s="2"/>
      <c r="X57" s="7">
        <f t="shared" si="35"/>
        <v>-37000</v>
      </c>
      <c r="Y57" s="2"/>
      <c r="Z57" s="6">
        <f t="shared" si="36"/>
        <v>-1</v>
      </c>
    </row>
    <row r="58" spans="1:26" s="28" customFormat="1" outlineLevel="1" collapsed="1" x14ac:dyDescent="0.25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9"/>
        <v>0</v>
      </c>
      <c r="G58" s="1"/>
      <c r="H58" s="1">
        <f>SUM(OSRRefH22_7x_0)</f>
        <v>100</v>
      </c>
      <c r="I58" s="1"/>
      <c r="J58" s="5">
        <f t="shared" si="30"/>
        <v>7.1964708506948197E-4</v>
      </c>
      <c r="K58" s="1"/>
      <c r="L58" s="1">
        <f t="shared" si="31"/>
        <v>-100</v>
      </c>
      <c r="M58" s="1"/>
      <c r="N58" s="5">
        <f t="shared" si="32"/>
        <v>-1</v>
      </c>
      <c r="O58" s="14"/>
      <c r="P58" s="1">
        <f>SUM(OSRRefP22_7x_0)</f>
        <v>0</v>
      </c>
      <c r="Q58" s="1"/>
      <c r="R58" s="5">
        <f t="shared" si="33"/>
        <v>0</v>
      </c>
      <c r="S58" s="1"/>
      <c r="T58" s="1">
        <f>SUM(OSRRefT22_7x_0)</f>
        <v>600</v>
      </c>
      <c r="U58" s="1"/>
      <c r="V58" s="5">
        <f t="shared" si="34"/>
        <v>7.8168562688581654E-4</v>
      </c>
      <c r="W58" s="1"/>
      <c r="X58" s="1">
        <f t="shared" si="35"/>
        <v>-600</v>
      </c>
      <c r="Y58" s="1"/>
      <c r="Z58" s="5">
        <f t="shared" si="36"/>
        <v>-1</v>
      </c>
    </row>
    <row r="59" spans="1:26" s="24" customFormat="1" hidden="1" outlineLevel="2" x14ac:dyDescent="0.25">
      <c r="A59" s="29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9"/>
        <v>0</v>
      </c>
      <c r="G59" s="2"/>
      <c r="H59" s="7">
        <v>100</v>
      </c>
      <c r="I59" s="2"/>
      <c r="J59" s="6">
        <f t="shared" si="30"/>
        <v>7.1964708506948197E-4</v>
      </c>
      <c r="K59" s="2"/>
      <c r="L59" s="7">
        <f t="shared" si="31"/>
        <v>-100</v>
      </c>
      <c r="M59" s="2"/>
      <c r="N59" s="6">
        <f t="shared" si="32"/>
        <v>-1</v>
      </c>
      <c r="O59" s="11"/>
      <c r="P59" s="7"/>
      <c r="Q59" s="2"/>
      <c r="R59" s="6">
        <f t="shared" si="33"/>
        <v>0</v>
      </c>
      <c r="S59" s="2"/>
      <c r="T59" s="7">
        <v>600</v>
      </c>
      <c r="U59" s="2"/>
      <c r="V59" s="6">
        <f t="shared" si="34"/>
        <v>7.8168562688581654E-4</v>
      </c>
      <c r="W59" s="2"/>
      <c r="X59" s="7">
        <f t="shared" si="35"/>
        <v>-600</v>
      </c>
      <c r="Y59" s="2"/>
      <c r="Z59" s="6">
        <f t="shared" si="36"/>
        <v>-1</v>
      </c>
    </row>
    <row r="60" spans="1:26" s="28" customFormat="1" outlineLevel="1" collapsed="1" x14ac:dyDescent="0.25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276.64999999999998</v>
      </c>
      <c r="E60" s="1"/>
      <c r="F60" s="5">
        <f t="shared" si="29"/>
        <v>0</v>
      </c>
      <c r="G60" s="1"/>
      <c r="H60" s="1">
        <f>SUM(OSRRefH22_8x_0)</f>
        <v>400</v>
      </c>
      <c r="I60" s="1"/>
      <c r="J60" s="5">
        <f t="shared" si="30"/>
        <v>2.8785883402779279E-3</v>
      </c>
      <c r="K60" s="1"/>
      <c r="L60" s="1">
        <f t="shared" si="31"/>
        <v>-123.35000000000002</v>
      </c>
      <c r="M60" s="1"/>
      <c r="N60" s="5">
        <f t="shared" si="32"/>
        <v>-0.30837500000000007</v>
      </c>
      <c r="O60" s="14"/>
      <c r="P60" s="1">
        <f>SUM(OSRRefP22_8x_0)</f>
        <v>1386.67</v>
      </c>
      <c r="Q60" s="1"/>
      <c r="R60" s="5">
        <f t="shared" si="33"/>
        <v>5.8258255987281814E-2</v>
      </c>
      <c r="S60" s="1"/>
      <c r="T60" s="1">
        <f>SUM(OSRRefT22_8x_0)</f>
        <v>2400</v>
      </c>
      <c r="U60" s="1"/>
      <c r="V60" s="5">
        <f t="shared" si="34"/>
        <v>3.1267425075432662E-3</v>
      </c>
      <c r="W60" s="1"/>
      <c r="X60" s="1">
        <f t="shared" si="35"/>
        <v>-1013.3299999999999</v>
      </c>
      <c r="Y60" s="1"/>
      <c r="Z60" s="5">
        <f t="shared" si="36"/>
        <v>-0.42222083333333332</v>
      </c>
    </row>
    <row r="61" spans="1:26" s="24" customFormat="1" hidden="1" outlineLevel="2" x14ac:dyDescent="0.25">
      <c r="A61" s="29"/>
      <c r="B61" s="11" t="str">
        <f>CONCATENATE("          ", "6351", " - ", "EQUIPMENT RENTAL")</f>
        <v xml:space="preserve">          6351 - EQUIPMENT RENTAL</v>
      </c>
      <c r="C61" s="11"/>
      <c r="D61" s="7">
        <v>276.64999999999998</v>
      </c>
      <c r="E61" s="2"/>
      <c r="F61" s="6">
        <f t="shared" si="29"/>
        <v>0</v>
      </c>
      <c r="G61" s="2"/>
      <c r="H61" s="7">
        <v>400</v>
      </c>
      <c r="I61" s="2"/>
      <c r="J61" s="6">
        <f t="shared" si="30"/>
        <v>2.8785883402779279E-3</v>
      </c>
      <c r="K61" s="2"/>
      <c r="L61" s="7">
        <f t="shared" si="31"/>
        <v>-123.35000000000002</v>
      </c>
      <c r="M61" s="2"/>
      <c r="N61" s="6">
        <f t="shared" si="32"/>
        <v>-0.30837500000000007</v>
      </c>
      <c r="O61" s="11"/>
      <c r="P61" s="7">
        <v>1386.67</v>
      </c>
      <c r="Q61" s="2"/>
      <c r="R61" s="6">
        <f t="shared" si="33"/>
        <v>5.8258255987281814E-2</v>
      </c>
      <c r="S61" s="2"/>
      <c r="T61" s="7">
        <v>2400</v>
      </c>
      <c r="U61" s="2"/>
      <c r="V61" s="6">
        <f t="shared" si="34"/>
        <v>3.1267425075432662E-3</v>
      </c>
      <c r="W61" s="2"/>
      <c r="X61" s="7">
        <f t="shared" si="35"/>
        <v>-1013.3299999999999</v>
      </c>
      <c r="Y61" s="2"/>
      <c r="Z61" s="6">
        <f t="shared" si="36"/>
        <v>-0.42222083333333332</v>
      </c>
    </row>
    <row r="62" spans="1:26" s="28" customFormat="1" outlineLevel="1" collapsed="1" x14ac:dyDescent="0.25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290.25</v>
      </c>
      <c r="E62" s="1"/>
      <c r="F62" s="5">
        <f t="shared" si="29"/>
        <v>0</v>
      </c>
      <c r="G62" s="1"/>
      <c r="H62" s="1">
        <f>SUM(OSRRefH22_9x_0)</f>
        <v>150</v>
      </c>
      <c r="I62" s="1"/>
      <c r="J62" s="5">
        <f t="shared" si="30"/>
        <v>1.0794706276042228E-3</v>
      </c>
      <c r="K62" s="1"/>
      <c r="L62" s="1">
        <f t="shared" si="31"/>
        <v>140.25</v>
      </c>
      <c r="M62" s="1"/>
      <c r="N62" s="5">
        <f t="shared" si="32"/>
        <v>0.93500000000000005</v>
      </c>
      <c r="O62" s="14"/>
      <c r="P62" s="1">
        <f>SUM(OSRRefP22_9x_0)</f>
        <v>3828.45</v>
      </c>
      <c r="Q62" s="1"/>
      <c r="R62" s="5">
        <f t="shared" si="33"/>
        <v>0.16084491633518358</v>
      </c>
      <c r="S62" s="1"/>
      <c r="T62" s="1">
        <f>SUM(OSRRefT22_9x_0)</f>
        <v>2250</v>
      </c>
      <c r="U62" s="1"/>
      <c r="V62" s="5">
        <f t="shared" si="34"/>
        <v>2.931321100821812E-3</v>
      </c>
      <c r="W62" s="1"/>
      <c r="X62" s="1">
        <f t="shared" si="35"/>
        <v>1578.4499999999998</v>
      </c>
      <c r="Y62" s="1"/>
      <c r="Z62" s="5">
        <f t="shared" si="36"/>
        <v>0.70153333333333323</v>
      </c>
    </row>
    <row r="63" spans="1:26" s="24" customFormat="1" hidden="1" outlineLevel="2" x14ac:dyDescent="0.25">
      <c r="A63" s="29"/>
      <c r="B63" s="11" t="str">
        <f>CONCATENATE("          ", "6279", " - ", "GENERAL EXPENSE")</f>
        <v xml:space="preserve">          6279 - GENERAL EXPENSE</v>
      </c>
      <c r="C63" s="11"/>
      <c r="D63" s="7">
        <v>290.25</v>
      </c>
      <c r="E63" s="2"/>
      <c r="F63" s="6">
        <f t="shared" si="29"/>
        <v>0</v>
      </c>
      <c r="G63" s="2"/>
      <c r="H63" s="7">
        <v>150</v>
      </c>
      <c r="I63" s="2"/>
      <c r="J63" s="6">
        <f t="shared" si="30"/>
        <v>1.0794706276042228E-3</v>
      </c>
      <c r="K63" s="2"/>
      <c r="L63" s="7">
        <f t="shared" si="31"/>
        <v>140.25</v>
      </c>
      <c r="M63" s="2"/>
      <c r="N63" s="6">
        <f t="shared" si="32"/>
        <v>0.93500000000000005</v>
      </c>
      <c r="O63" s="11"/>
      <c r="P63" s="7">
        <v>3828.45</v>
      </c>
      <c r="Q63" s="2"/>
      <c r="R63" s="6">
        <f t="shared" si="33"/>
        <v>0.16084491633518358</v>
      </c>
      <c r="S63" s="2"/>
      <c r="T63" s="7">
        <v>2250</v>
      </c>
      <c r="U63" s="2"/>
      <c r="V63" s="6">
        <f t="shared" si="34"/>
        <v>2.931321100821812E-3</v>
      </c>
      <c r="W63" s="2"/>
      <c r="X63" s="7">
        <f t="shared" si="35"/>
        <v>1578.4499999999998</v>
      </c>
      <c r="Y63" s="2"/>
      <c r="Z63" s="6">
        <f t="shared" si="36"/>
        <v>0.70153333333333323</v>
      </c>
    </row>
    <row r="64" spans="1:26" s="28" customFormat="1" outlineLevel="1" collapsed="1" x14ac:dyDescent="0.25">
      <c r="A64" s="27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0</v>
      </c>
      <c r="E64" s="1"/>
      <c r="F64" s="5">
        <f t="shared" si="29"/>
        <v>0</v>
      </c>
      <c r="G64" s="1"/>
      <c r="H64" s="1">
        <f>SUM(OSRRefH22_10x_0)</f>
        <v>11117</v>
      </c>
      <c r="I64" s="1"/>
      <c r="J64" s="5">
        <f t="shared" si="30"/>
        <v>8.0003166447174312E-2</v>
      </c>
      <c r="K64" s="1"/>
      <c r="L64" s="1">
        <f t="shared" si="31"/>
        <v>-11117</v>
      </c>
      <c r="M64" s="1"/>
      <c r="N64" s="5">
        <f t="shared" si="32"/>
        <v>-1</v>
      </c>
      <c r="O64" s="14"/>
      <c r="P64" s="1">
        <f>SUM(OSRRefP22_10x_0)</f>
        <v>1912.17</v>
      </c>
      <c r="Q64" s="1"/>
      <c r="R64" s="5">
        <f t="shared" si="33"/>
        <v>8.0336121320285767E-2</v>
      </c>
      <c r="S64" s="1"/>
      <c r="T64" s="1">
        <f>SUM(OSRRefT22_10x_0)</f>
        <v>61407.000000000007</v>
      </c>
      <c r="U64" s="1"/>
      <c r="V64" s="5">
        <f t="shared" si="34"/>
        <v>8.0001615483628913E-2</v>
      </c>
      <c r="W64" s="1"/>
      <c r="X64" s="1">
        <f t="shared" si="35"/>
        <v>-59494.830000000009</v>
      </c>
      <c r="Y64" s="1"/>
      <c r="Z64" s="5">
        <f t="shared" si="36"/>
        <v>-0.96886071620499292</v>
      </c>
    </row>
    <row r="65" spans="1:26" s="24" customFormat="1" hidden="1" outlineLevel="2" x14ac:dyDescent="0.25">
      <c r="A65" s="29"/>
      <c r="B65" s="11" t="str">
        <f>CONCATENATE("          ", "6387", " - ", "COMMISSION DUE HOUSING")</f>
        <v xml:space="preserve">          6387 - COMMISSION DUE HOUSING</v>
      </c>
      <c r="C65" s="11"/>
      <c r="D65" s="7"/>
      <c r="E65" s="2"/>
      <c r="F65" s="6">
        <f t="shared" si="29"/>
        <v>0</v>
      </c>
      <c r="G65" s="2"/>
      <c r="H65" s="7">
        <v>11117</v>
      </c>
      <c r="I65" s="2"/>
      <c r="J65" s="6">
        <f t="shared" si="30"/>
        <v>8.0003166447174312E-2</v>
      </c>
      <c r="K65" s="2"/>
      <c r="L65" s="7">
        <f t="shared" si="31"/>
        <v>-11117</v>
      </c>
      <c r="M65" s="2"/>
      <c r="N65" s="6">
        <f t="shared" si="32"/>
        <v>-1</v>
      </c>
      <c r="O65" s="11"/>
      <c r="P65" s="7">
        <v>1912.17</v>
      </c>
      <c r="Q65" s="2"/>
      <c r="R65" s="6">
        <f t="shared" si="33"/>
        <v>8.0336121320285767E-2</v>
      </c>
      <c r="S65" s="2"/>
      <c r="T65" s="7">
        <v>61407.000000000007</v>
      </c>
      <c r="U65" s="2"/>
      <c r="V65" s="6">
        <f t="shared" si="34"/>
        <v>8.0001615483628913E-2</v>
      </c>
      <c r="W65" s="2"/>
      <c r="X65" s="7">
        <f t="shared" si="35"/>
        <v>-59494.830000000009</v>
      </c>
      <c r="Y65" s="2"/>
      <c r="Z65" s="6">
        <f t="shared" si="36"/>
        <v>-0.96886071620499292</v>
      </c>
    </row>
    <row r="66" spans="1:26" s="28" customFormat="1" outlineLevel="1" collapsed="1" x14ac:dyDescent="0.25">
      <c r="A66" s="27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84.4</v>
      </c>
      <c r="E66" s="1"/>
      <c r="F66" s="5">
        <f t="shared" si="29"/>
        <v>0</v>
      </c>
      <c r="G66" s="1"/>
      <c r="H66" s="1">
        <f>SUM(OSRRefH22_11x_0)</f>
        <v>200</v>
      </c>
      <c r="I66" s="1"/>
      <c r="J66" s="5">
        <f t="shared" si="30"/>
        <v>1.4392941701389639E-3</v>
      </c>
      <c r="K66" s="1"/>
      <c r="L66" s="1">
        <f t="shared" si="31"/>
        <v>-115.6</v>
      </c>
      <c r="M66" s="1"/>
      <c r="N66" s="5">
        <f t="shared" si="32"/>
        <v>-0.57799999999999996</v>
      </c>
      <c r="O66" s="14"/>
      <c r="P66" s="1">
        <f>SUM(OSRRefP22_11x_0)</f>
        <v>1241.8499999999999</v>
      </c>
      <c r="Q66" s="1"/>
      <c r="R66" s="5">
        <f t="shared" si="33"/>
        <v>5.2173924003408097E-2</v>
      </c>
      <c r="S66" s="1"/>
      <c r="T66" s="1">
        <f>SUM(OSRRefT22_11x_0)</f>
        <v>4800</v>
      </c>
      <c r="U66" s="1"/>
      <c r="V66" s="5">
        <f t="shared" si="34"/>
        <v>6.2534850150865323E-3</v>
      </c>
      <c r="W66" s="1"/>
      <c r="X66" s="1">
        <f t="shared" si="35"/>
        <v>-3558.15</v>
      </c>
      <c r="Y66" s="1"/>
      <c r="Z66" s="5">
        <f t="shared" si="36"/>
        <v>-0.74128125</v>
      </c>
    </row>
    <row r="67" spans="1:26" s="24" customFormat="1" hidden="1" outlineLevel="2" x14ac:dyDescent="0.25">
      <c r="A67" s="29"/>
      <c r="B67" s="11" t="str">
        <f>CONCATENATE("          ", "6373", " - ", "MAINTENANCE CONTRACTS")</f>
        <v xml:space="preserve">          6373 - MAINTENANCE CONTRACTS</v>
      </c>
      <c r="C67" s="11"/>
      <c r="D67" s="7">
        <v>84.4</v>
      </c>
      <c r="E67" s="2"/>
      <c r="F67" s="6">
        <f t="shared" si="29"/>
        <v>0</v>
      </c>
      <c r="G67" s="2"/>
      <c r="H67" s="7"/>
      <c r="I67" s="2"/>
      <c r="J67" s="6">
        <f t="shared" si="30"/>
        <v>0</v>
      </c>
      <c r="K67" s="2"/>
      <c r="L67" s="7">
        <f t="shared" si="31"/>
        <v>84.4</v>
      </c>
      <c r="M67" s="2"/>
      <c r="N67" s="6">
        <f t="shared" si="32"/>
        <v>0</v>
      </c>
      <c r="O67" s="11"/>
      <c r="P67" s="7">
        <v>1241.8499999999999</v>
      </c>
      <c r="Q67" s="2"/>
      <c r="R67" s="6">
        <f t="shared" si="33"/>
        <v>5.2173924003408097E-2</v>
      </c>
      <c r="S67" s="2"/>
      <c r="T67" s="7">
        <v>3600</v>
      </c>
      <c r="U67" s="2"/>
      <c r="V67" s="6">
        <f t="shared" si="34"/>
        <v>4.6901137613148992E-3</v>
      </c>
      <c r="W67" s="2"/>
      <c r="X67" s="7">
        <f t="shared" si="35"/>
        <v>-2358.15</v>
      </c>
      <c r="Y67" s="2"/>
      <c r="Z67" s="6">
        <f t="shared" si="36"/>
        <v>-0.65504166666666674</v>
      </c>
    </row>
    <row r="68" spans="1:26" s="24" customFormat="1" hidden="1" outlineLevel="2" x14ac:dyDescent="0.25">
      <c r="A68" s="29"/>
      <c r="B68" s="11" t="str">
        <f>CONCATENATE("          ", "6375", " - ", "OUTSIDE REPAIRS &amp; MAINTENANCE")</f>
        <v xml:space="preserve">          6375 - OUTSIDE REPAIRS &amp; MAINTENANCE</v>
      </c>
      <c r="C68" s="11"/>
      <c r="D68" s="7"/>
      <c r="E68" s="2"/>
      <c r="F68" s="6">
        <f t="shared" si="29"/>
        <v>0</v>
      </c>
      <c r="G68" s="2"/>
      <c r="H68" s="7">
        <v>200</v>
      </c>
      <c r="I68" s="2"/>
      <c r="J68" s="6">
        <f t="shared" si="30"/>
        <v>1.4392941701389639E-3</v>
      </c>
      <c r="K68" s="2"/>
      <c r="L68" s="7">
        <f t="shared" si="31"/>
        <v>-200</v>
      </c>
      <c r="M68" s="2"/>
      <c r="N68" s="6">
        <f t="shared" si="32"/>
        <v>-1</v>
      </c>
      <c r="O68" s="11"/>
      <c r="P68" s="7"/>
      <c r="Q68" s="2"/>
      <c r="R68" s="6">
        <f t="shared" si="33"/>
        <v>0</v>
      </c>
      <c r="S68" s="2"/>
      <c r="T68" s="7">
        <v>1200</v>
      </c>
      <c r="U68" s="2"/>
      <c r="V68" s="6">
        <f t="shared" si="34"/>
        <v>1.5633712537716331E-3</v>
      </c>
      <c r="W68" s="2"/>
      <c r="X68" s="7">
        <f t="shared" si="35"/>
        <v>-1200</v>
      </c>
      <c r="Y68" s="2"/>
      <c r="Z68" s="6">
        <f t="shared" si="36"/>
        <v>-1</v>
      </c>
    </row>
    <row r="69" spans="1:26" s="28" customFormat="1" outlineLevel="1" collapsed="1" x14ac:dyDescent="0.25">
      <c r="A69" s="27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SUM(OSRRefD22_12x_0)</f>
        <v>5385.85</v>
      </c>
      <c r="E69" s="1"/>
      <c r="F69" s="5">
        <f t="shared" ref="F69:F73" si="37">IF(D$12=0,0,D69/D$12)</f>
        <v>0</v>
      </c>
      <c r="G69" s="1"/>
      <c r="H69" s="1">
        <f>SUM(OSRRefH22_12x_0)</f>
        <v>6607</v>
      </c>
      <c r="I69" s="1"/>
      <c r="J69" s="5">
        <f t="shared" ref="J69:J73" si="38">IF(H$12=0,0,H69/H$12)</f>
        <v>4.7547082910540668E-2</v>
      </c>
      <c r="K69" s="1"/>
      <c r="L69" s="1">
        <f t="shared" ref="L69:L73" si="39">+D69-H69</f>
        <v>-1221.1499999999996</v>
      </c>
      <c r="M69" s="1"/>
      <c r="N69" s="5">
        <f t="shared" ref="N69:N73" si="40">IF(H69=0,0,L69/H69)</f>
        <v>-0.18482669895565304</v>
      </c>
      <c r="O69" s="14"/>
      <c r="P69" s="1">
        <f>SUM(OSRRefP22_12x_0)</f>
        <v>35507.58</v>
      </c>
      <c r="Q69" s="1"/>
      <c r="R69" s="5">
        <f t="shared" ref="R69:R73" si="41">IF(P$12=0,0,P69/P$12)</f>
        <v>1.491782244606783</v>
      </c>
      <c r="S69" s="1"/>
      <c r="T69" s="1">
        <f>SUM(OSRRefT22_12x_0)</f>
        <v>39642</v>
      </c>
      <c r="U69" s="1"/>
      <c r="V69" s="5">
        <f t="shared" ref="V69:V73" si="42">IF(T$12=0,0,T69/T$12)</f>
        <v>5.1645969368345902E-2</v>
      </c>
      <c r="W69" s="1"/>
      <c r="X69" s="1">
        <f t="shared" ref="X69:X73" si="43">+P69-T69</f>
        <v>-4134.4199999999983</v>
      </c>
      <c r="Y69" s="1"/>
      <c r="Z69" s="5">
        <f t="shared" ref="Z69:Z73" si="44">IF(T69=0,0,X69/T69)</f>
        <v>-0.10429393067958222</v>
      </c>
    </row>
    <row r="70" spans="1:26" s="24" customFormat="1" hidden="1" outlineLevel="2" x14ac:dyDescent="0.25">
      <c r="A70" s="29"/>
      <c r="B70" s="11" t="str">
        <f>CONCATENATE("          ", "6282", " - ", "JANITORIAL/EXTERMINATOR EXPENS")</f>
        <v xml:space="preserve">          6282 - JANITORIAL/EXTERMINATOR EXPENS</v>
      </c>
      <c r="C70" s="11"/>
      <c r="D70" s="7">
        <v>792.32</v>
      </c>
      <c r="E70" s="2"/>
      <c r="F70" s="6">
        <f t="shared" si="37"/>
        <v>0</v>
      </c>
      <c r="G70" s="2"/>
      <c r="H70" s="7">
        <v>450</v>
      </c>
      <c r="I70" s="2"/>
      <c r="J70" s="6">
        <f t="shared" si="38"/>
        <v>3.2384118828126685E-3</v>
      </c>
      <c r="K70" s="2"/>
      <c r="L70" s="7">
        <f t="shared" si="39"/>
        <v>342.32000000000005</v>
      </c>
      <c r="M70" s="2"/>
      <c r="N70" s="6">
        <f t="shared" si="40"/>
        <v>0.76071111111111123</v>
      </c>
      <c r="O70" s="11"/>
      <c r="P70" s="7">
        <v>1757.66</v>
      </c>
      <c r="Q70" s="2"/>
      <c r="R70" s="6">
        <f t="shared" si="41"/>
        <v>7.3844682742545631E-2</v>
      </c>
      <c r="S70" s="2"/>
      <c r="T70" s="7">
        <v>2700</v>
      </c>
      <c r="U70" s="2"/>
      <c r="V70" s="6">
        <f t="shared" si="42"/>
        <v>3.5175853209861744E-3</v>
      </c>
      <c r="W70" s="2"/>
      <c r="X70" s="7">
        <f t="shared" si="43"/>
        <v>-942.33999999999992</v>
      </c>
      <c r="Y70" s="2"/>
      <c r="Z70" s="6">
        <f t="shared" si="44"/>
        <v>-0.34901481481481478</v>
      </c>
    </row>
    <row r="71" spans="1:26" s="24" customFormat="1" hidden="1" outlineLevel="2" x14ac:dyDescent="0.25">
      <c r="A71" s="29"/>
      <c r="B71" s="11" t="str">
        <f>CONCATENATE("          ", "6284", " - ", "TRASH REMOVAL EXPENSE")</f>
        <v xml:space="preserve">          6284 - TRASH REMOVAL EXPENSE</v>
      </c>
      <c r="C71" s="11"/>
      <c r="D71" s="7"/>
      <c r="E71" s="2"/>
      <c r="F71" s="6">
        <f t="shared" si="37"/>
        <v>0</v>
      </c>
      <c r="G71" s="2"/>
      <c r="H71" s="7">
        <v>500</v>
      </c>
      <c r="I71" s="2"/>
      <c r="J71" s="6">
        <f t="shared" si="38"/>
        <v>3.5982354253474096E-3</v>
      </c>
      <c r="K71" s="2"/>
      <c r="L71" s="7">
        <f t="shared" si="39"/>
        <v>-500</v>
      </c>
      <c r="M71" s="2"/>
      <c r="N71" s="6">
        <f t="shared" si="40"/>
        <v>-1</v>
      </c>
      <c r="O71" s="11"/>
      <c r="P71" s="7"/>
      <c r="Q71" s="2"/>
      <c r="R71" s="6">
        <f t="shared" si="41"/>
        <v>0</v>
      </c>
      <c r="S71" s="2"/>
      <c r="T71" s="7">
        <v>3000</v>
      </c>
      <c r="U71" s="2"/>
      <c r="V71" s="6">
        <f t="shared" si="42"/>
        <v>3.9084281344290827E-3</v>
      </c>
      <c r="W71" s="2"/>
      <c r="X71" s="7">
        <f t="shared" si="43"/>
        <v>-3000</v>
      </c>
      <c r="Y71" s="2"/>
      <c r="Z71" s="6">
        <f t="shared" si="44"/>
        <v>-1</v>
      </c>
    </row>
    <row r="72" spans="1:26" s="24" customFormat="1" hidden="1" outlineLevel="2" x14ac:dyDescent="0.25">
      <c r="A72" s="29"/>
      <c r="B72" s="11" t="str">
        <f>CONCATENATE("          ", "6285", " - ", "JANITORIAL SERVICES")</f>
        <v xml:space="preserve">          6285 - JANITORIAL SERVICES</v>
      </c>
      <c r="C72" s="11"/>
      <c r="D72" s="7">
        <v>4157.05</v>
      </c>
      <c r="E72" s="2"/>
      <c r="F72" s="6">
        <f t="shared" si="37"/>
        <v>0</v>
      </c>
      <c r="G72" s="2"/>
      <c r="H72" s="7">
        <v>4157</v>
      </c>
      <c r="I72" s="2"/>
      <c r="J72" s="6">
        <f t="shared" si="38"/>
        <v>2.9915729326338365E-2</v>
      </c>
      <c r="K72" s="2"/>
      <c r="L72" s="7">
        <f t="shared" si="39"/>
        <v>5.0000000000181899E-2</v>
      </c>
      <c r="M72" s="2"/>
      <c r="N72" s="6">
        <f t="shared" si="40"/>
        <v>1.2027904739038225E-5</v>
      </c>
      <c r="O72" s="11"/>
      <c r="P72" s="7">
        <v>29099.350000000002</v>
      </c>
      <c r="Q72" s="2"/>
      <c r="R72" s="6">
        <f t="shared" si="41"/>
        <v>1.2225528650389126</v>
      </c>
      <c r="S72" s="2"/>
      <c r="T72" s="7">
        <v>24942</v>
      </c>
      <c r="U72" s="2"/>
      <c r="V72" s="6">
        <f t="shared" si="42"/>
        <v>3.2494671509643393E-2</v>
      </c>
      <c r="W72" s="2"/>
      <c r="X72" s="7">
        <f t="shared" si="43"/>
        <v>4157.3500000000022</v>
      </c>
      <c r="Y72" s="2"/>
      <c r="Z72" s="6">
        <f t="shared" si="44"/>
        <v>0.16668069922219558</v>
      </c>
    </row>
    <row r="73" spans="1:26" s="24" customFormat="1" hidden="1" outlineLevel="2" x14ac:dyDescent="0.25">
      <c r="A73" s="29"/>
      <c r="B73" s="11" t="str">
        <f>CONCATENATE("          ", "6286", " - ", "LAUNDRY EXPENSE")</f>
        <v xml:space="preserve">          6286 - LAUNDRY EXPENSE</v>
      </c>
      <c r="C73" s="11"/>
      <c r="D73" s="7">
        <v>436.48</v>
      </c>
      <c r="E73" s="2"/>
      <c r="F73" s="6">
        <f t="shared" si="37"/>
        <v>0</v>
      </c>
      <c r="G73" s="2"/>
      <c r="H73" s="7">
        <v>1500</v>
      </c>
      <c r="I73" s="2"/>
      <c r="J73" s="6">
        <f t="shared" si="38"/>
        <v>1.0794706276042228E-2</v>
      </c>
      <c r="K73" s="2"/>
      <c r="L73" s="7">
        <f t="shared" si="39"/>
        <v>-1063.52</v>
      </c>
      <c r="M73" s="2"/>
      <c r="N73" s="6">
        <f t="shared" si="40"/>
        <v>-0.70901333333333327</v>
      </c>
      <c r="O73" s="11"/>
      <c r="P73" s="7">
        <v>4650.57</v>
      </c>
      <c r="Q73" s="2"/>
      <c r="R73" s="6">
        <f t="shared" si="41"/>
        <v>0.19538469682532481</v>
      </c>
      <c r="S73" s="2"/>
      <c r="T73" s="7">
        <v>9000</v>
      </c>
      <c r="U73" s="2"/>
      <c r="V73" s="6">
        <f t="shared" si="42"/>
        <v>1.1725284403287248E-2</v>
      </c>
      <c r="W73" s="2"/>
      <c r="X73" s="7">
        <f t="shared" si="43"/>
        <v>-4349.43</v>
      </c>
      <c r="Y73" s="2"/>
      <c r="Z73" s="6">
        <f t="shared" si="44"/>
        <v>-0.48327000000000003</v>
      </c>
    </row>
    <row r="74" spans="1:26" s="28" customFormat="1" outlineLevel="1" collapsed="1" x14ac:dyDescent="0.25">
      <c r="A74" s="27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SUM(OSRRefD22_13x_0)</f>
        <v>1335.29</v>
      </c>
      <c r="E74" s="1"/>
      <c r="F74" s="5">
        <f t="shared" ref="F74:F82" si="45">IF(D$12=0,0,D74/D$12)</f>
        <v>0</v>
      </c>
      <c r="G74" s="1"/>
      <c r="H74" s="1">
        <f>SUM(OSRRefH22_13x_0)</f>
        <v>11750</v>
      </c>
      <c r="I74" s="1"/>
      <c r="J74" s="5">
        <f t="shared" ref="J74:J82" si="46">IF(H$12=0,0,H74/H$12)</f>
        <v>8.4558532495664127E-2</v>
      </c>
      <c r="K74" s="1"/>
      <c r="L74" s="1">
        <f t="shared" ref="L74:L82" si="47">+D74-H74</f>
        <v>-10414.709999999999</v>
      </c>
      <c r="M74" s="1"/>
      <c r="N74" s="5">
        <f t="shared" ref="N74:N82" si="48">IF(H74=0,0,L74/H74)</f>
        <v>-0.88635829787234033</v>
      </c>
      <c r="O74" s="14"/>
      <c r="P74" s="1">
        <f>SUM(OSRRefP22_13x_0)</f>
        <v>9321.68</v>
      </c>
      <c r="Q74" s="1"/>
      <c r="R74" s="5">
        <f t="shared" ref="R74:R82" si="49">IF(P$12=0,0,P74/P$12)</f>
        <v>0.39163234199306618</v>
      </c>
      <c r="S74" s="1"/>
      <c r="T74" s="1">
        <f>SUM(OSRRefT22_13x_0)</f>
        <v>75000</v>
      </c>
      <c r="U74" s="1"/>
      <c r="V74" s="5">
        <f t="shared" ref="V74:V82" si="50">IF(T$12=0,0,T74/T$12)</f>
        <v>9.7710703360727069E-2</v>
      </c>
      <c r="W74" s="1"/>
      <c r="X74" s="1">
        <f t="shared" ref="X74:X82" si="51">+P74-T74</f>
        <v>-65678.320000000007</v>
      </c>
      <c r="Y74" s="1"/>
      <c r="Z74" s="5">
        <f t="shared" ref="Z74:Z82" si="52">IF(T74=0,0,X74/T74)</f>
        <v>-0.87571093333333339</v>
      </c>
    </row>
    <row r="75" spans="1:26" s="24" customFormat="1" hidden="1" outlineLevel="2" x14ac:dyDescent="0.25">
      <c r="A75" s="29"/>
      <c r="B75" s="11" t="str">
        <f>CONCATENATE("          ", "6235", " - ", "COVID-19 EXPENSES")</f>
        <v xml:space="preserve">          6235 - COVID-19 EXPENSES</v>
      </c>
      <c r="C75" s="11"/>
      <c r="D75" s="7"/>
      <c r="E75" s="2"/>
      <c r="F75" s="6">
        <f t="shared" si="45"/>
        <v>0</v>
      </c>
      <c r="G75" s="2"/>
      <c r="H75" s="7">
        <v>5000</v>
      </c>
      <c r="I75" s="2"/>
      <c r="J75" s="6">
        <f t="shared" si="46"/>
        <v>3.5982354253474097E-2</v>
      </c>
      <c r="K75" s="2"/>
      <c r="L75" s="7">
        <f t="shared" si="47"/>
        <v>-5000</v>
      </c>
      <c r="M75" s="2"/>
      <c r="N75" s="6">
        <f t="shared" si="48"/>
        <v>-1</v>
      </c>
      <c r="O75" s="11"/>
      <c r="P75" s="7">
        <v>1375.08</v>
      </c>
      <c r="Q75" s="2"/>
      <c r="R75" s="6">
        <f t="shared" si="49"/>
        <v>5.7771324571088627E-2</v>
      </c>
      <c r="S75" s="2"/>
      <c r="T75" s="7">
        <v>30000</v>
      </c>
      <c r="U75" s="2"/>
      <c r="V75" s="6">
        <f t="shared" si="50"/>
        <v>3.908428134429083E-2</v>
      </c>
      <c r="W75" s="2"/>
      <c r="X75" s="7">
        <f t="shared" si="51"/>
        <v>-28624.92</v>
      </c>
      <c r="Y75" s="2"/>
      <c r="Z75" s="6">
        <f t="shared" si="52"/>
        <v>-0.9541639999999999</v>
      </c>
    </row>
    <row r="76" spans="1:26" s="24" customFormat="1" hidden="1" outlineLevel="2" x14ac:dyDescent="0.25">
      <c r="A76" s="29"/>
      <c r="B76" s="11" t="str">
        <f>CONCATENATE("          ", "6237", " - ", "JANITORIAL SUPPLIES")</f>
        <v xml:space="preserve">          6237 - JANITORIAL SUPPLIES</v>
      </c>
      <c r="C76" s="11"/>
      <c r="D76" s="7">
        <v>1335.29</v>
      </c>
      <c r="E76" s="2"/>
      <c r="F76" s="6">
        <f t="shared" si="45"/>
        <v>0</v>
      </c>
      <c r="G76" s="2"/>
      <c r="H76" s="7">
        <v>4000</v>
      </c>
      <c r="I76" s="2"/>
      <c r="J76" s="6">
        <f t="shared" si="46"/>
        <v>2.8785883402779277E-2</v>
      </c>
      <c r="K76" s="2"/>
      <c r="L76" s="7">
        <f t="shared" si="47"/>
        <v>-2664.71</v>
      </c>
      <c r="M76" s="2"/>
      <c r="N76" s="6">
        <f t="shared" si="48"/>
        <v>-0.66617749999999998</v>
      </c>
      <c r="O76" s="11"/>
      <c r="P76" s="7">
        <v>3886.28</v>
      </c>
      <c r="Q76" s="2"/>
      <c r="R76" s="6">
        <f t="shared" si="49"/>
        <v>0.16327453184842361</v>
      </c>
      <c r="S76" s="2"/>
      <c r="T76" s="7">
        <v>24000</v>
      </c>
      <c r="U76" s="2"/>
      <c r="V76" s="6">
        <f t="shared" si="50"/>
        <v>3.1267425075432662E-2</v>
      </c>
      <c r="W76" s="2"/>
      <c r="X76" s="7">
        <f t="shared" si="51"/>
        <v>-20113.72</v>
      </c>
      <c r="Y76" s="2"/>
      <c r="Z76" s="6">
        <f t="shared" si="52"/>
        <v>-0.83807166666666677</v>
      </c>
    </row>
    <row r="77" spans="1:26" s="24" customFormat="1" hidden="1" outlineLevel="2" x14ac:dyDescent="0.25">
      <c r="A77" s="29"/>
      <c r="B77" s="11" t="str">
        <f>CONCATENATE("          ", "6239", " - ", "KITCHEN SUPPLIES")</f>
        <v xml:space="preserve">          6239 - KITCHEN SUPPLIES</v>
      </c>
      <c r="C77" s="11"/>
      <c r="D77" s="7"/>
      <c r="E77" s="2"/>
      <c r="F77" s="6">
        <f t="shared" si="45"/>
        <v>0</v>
      </c>
      <c r="G77" s="2"/>
      <c r="H77" s="7">
        <v>1500</v>
      </c>
      <c r="I77" s="2"/>
      <c r="J77" s="6">
        <f t="shared" si="46"/>
        <v>1.0794706276042228E-2</v>
      </c>
      <c r="K77" s="2"/>
      <c r="L77" s="7">
        <f t="shared" si="47"/>
        <v>-1500</v>
      </c>
      <c r="M77" s="2"/>
      <c r="N77" s="6">
        <f t="shared" si="48"/>
        <v>-1</v>
      </c>
      <c r="O77" s="11"/>
      <c r="P77" s="7">
        <v>1031.07</v>
      </c>
      <c r="Q77" s="2"/>
      <c r="R77" s="6">
        <f t="shared" si="49"/>
        <v>4.3318410292864672E-2</v>
      </c>
      <c r="S77" s="2"/>
      <c r="T77" s="7">
        <v>9000</v>
      </c>
      <c r="U77" s="2"/>
      <c r="V77" s="6">
        <f t="shared" si="50"/>
        <v>1.1725284403287248E-2</v>
      </c>
      <c r="W77" s="2"/>
      <c r="X77" s="7">
        <f t="shared" si="51"/>
        <v>-7968.93</v>
      </c>
      <c r="Y77" s="2"/>
      <c r="Z77" s="6">
        <f t="shared" si="52"/>
        <v>-0.88543666666666665</v>
      </c>
    </row>
    <row r="78" spans="1:26" s="24" customFormat="1" hidden="1" outlineLevel="2" x14ac:dyDescent="0.25">
      <c r="A78" s="29"/>
      <c r="B78" s="11" t="str">
        <f>CONCATENATE("          ", "6241", " - ", "OFFICE EXPENSE")</f>
        <v xml:space="preserve">          6241 - OFFICE EXPENSE</v>
      </c>
      <c r="C78" s="11"/>
      <c r="D78" s="7"/>
      <c r="E78" s="2"/>
      <c r="F78" s="6">
        <f t="shared" si="45"/>
        <v>0</v>
      </c>
      <c r="G78" s="2"/>
      <c r="H78" s="7">
        <v>500</v>
      </c>
      <c r="I78" s="2"/>
      <c r="J78" s="6">
        <f t="shared" si="46"/>
        <v>3.5982354253474096E-3</v>
      </c>
      <c r="K78" s="2"/>
      <c r="L78" s="7">
        <f t="shared" si="47"/>
        <v>-500</v>
      </c>
      <c r="M78" s="2"/>
      <c r="N78" s="6">
        <f t="shared" si="48"/>
        <v>-1</v>
      </c>
      <c r="O78" s="11"/>
      <c r="P78" s="7">
        <v>19.7</v>
      </c>
      <c r="Q78" s="2"/>
      <c r="R78" s="6">
        <f t="shared" si="49"/>
        <v>8.2765736833525757E-4</v>
      </c>
      <c r="S78" s="2"/>
      <c r="T78" s="7">
        <v>3000</v>
      </c>
      <c r="U78" s="2"/>
      <c r="V78" s="6">
        <f t="shared" si="50"/>
        <v>3.9084281344290827E-3</v>
      </c>
      <c r="W78" s="2"/>
      <c r="X78" s="7">
        <f t="shared" si="51"/>
        <v>-2980.3</v>
      </c>
      <c r="Y78" s="2"/>
      <c r="Z78" s="6">
        <f t="shared" si="52"/>
        <v>-0.99343333333333339</v>
      </c>
    </row>
    <row r="79" spans="1:26" s="24" customFormat="1" hidden="1" outlineLevel="2" x14ac:dyDescent="0.25">
      <c r="A79" s="29"/>
      <c r="B79" s="11" t="str">
        <f>CONCATENATE("          ", "6243", " - ", "PAPER SUPPLIES")</f>
        <v xml:space="preserve">          6243 - PAPER SUPPLIES</v>
      </c>
      <c r="C79" s="11"/>
      <c r="D79" s="7"/>
      <c r="E79" s="2"/>
      <c r="F79" s="6">
        <f t="shared" si="45"/>
        <v>0</v>
      </c>
      <c r="G79" s="2"/>
      <c r="H79" s="7">
        <v>500</v>
      </c>
      <c r="I79" s="2"/>
      <c r="J79" s="6">
        <f t="shared" si="46"/>
        <v>3.5982354253474096E-3</v>
      </c>
      <c r="K79" s="2"/>
      <c r="L79" s="7">
        <f t="shared" si="47"/>
        <v>-500</v>
      </c>
      <c r="M79" s="2"/>
      <c r="N79" s="6">
        <f t="shared" si="48"/>
        <v>-1</v>
      </c>
      <c r="O79" s="11"/>
      <c r="P79" s="7">
        <v>3009.55</v>
      </c>
      <c r="Q79" s="2"/>
      <c r="R79" s="6">
        <f t="shared" si="49"/>
        <v>0.12644041791235403</v>
      </c>
      <c r="S79" s="2"/>
      <c r="T79" s="7">
        <v>3000</v>
      </c>
      <c r="U79" s="2"/>
      <c r="V79" s="6">
        <f t="shared" si="50"/>
        <v>3.9084281344290827E-3</v>
      </c>
      <c r="W79" s="2"/>
      <c r="X79" s="7">
        <f t="shared" si="51"/>
        <v>9.5500000000001819</v>
      </c>
      <c r="Y79" s="2"/>
      <c r="Z79" s="6">
        <f t="shared" si="52"/>
        <v>3.1833333333333939E-3</v>
      </c>
    </row>
    <row r="80" spans="1:26" s="24" customFormat="1" hidden="1" outlineLevel="2" x14ac:dyDescent="0.25">
      <c r="A80" s="29"/>
      <c r="B80" s="11" t="str">
        <f>CONCATENATE("          ", "6244", " - ", "SAFETY SUPPLY EXPENSE")</f>
        <v xml:space="preserve">          6244 - SAFETY SUPPLY EXPENSE</v>
      </c>
      <c r="C80" s="11"/>
      <c r="D80" s="7"/>
      <c r="E80" s="2"/>
      <c r="F80" s="6">
        <f t="shared" si="45"/>
        <v>0</v>
      </c>
      <c r="G80" s="2"/>
      <c r="H80" s="7">
        <v>100</v>
      </c>
      <c r="I80" s="2"/>
      <c r="J80" s="6">
        <f t="shared" si="46"/>
        <v>7.1964708506948197E-4</v>
      </c>
      <c r="K80" s="2"/>
      <c r="L80" s="7">
        <f t="shared" si="47"/>
        <v>-100</v>
      </c>
      <c r="M80" s="2"/>
      <c r="N80" s="6">
        <f t="shared" si="48"/>
        <v>-1</v>
      </c>
      <c r="O80" s="11"/>
      <c r="P80" s="7"/>
      <c r="Q80" s="2"/>
      <c r="R80" s="6">
        <f t="shared" si="49"/>
        <v>0</v>
      </c>
      <c r="S80" s="2"/>
      <c r="T80" s="7">
        <v>600</v>
      </c>
      <c r="U80" s="2"/>
      <c r="V80" s="6">
        <f t="shared" si="50"/>
        <v>7.8168562688581654E-4</v>
      </c>
      <c r="W80" s="2"/>
      <c r="X80" s="7">
        <f t="shared" si="51"/>
        <v>-600</v>
      </c>
      <c r="Y80" s="2"/>
      <c r="Z80" s="6">
        <f t="shared" si="52"/>
        <v>-1</v>
      </c>
    </row>
    <row r="81" spans="1:26" s="24" customFormat="1" hidden="1" outlineLevel="2" x14ac:dyDescent="0.25">
      <c r="A81" s="29"/>
      <c r="B81" s="11" t="str">
        <f>CONCATENATE("          ", "6245", " - ", "PRINTING")</f>
        <v xml:space="preserve">          6245 - PRINTING</v>
      </c>
      <c r="C81" s="11"/>
      <c r="D81" s="7"/>
      <c r="E81" s="2"/>
      <c r="F81" s="6">
        <f t="shared" si="45"/>
        <v>0</v>
      </c>
      <c r="G81" s="2"/>
      <c r="H81" s="7">
        <v>150</v>
      </c>
      <c r="I81" s="2"/>
      <c r="J81" s="6">
        <f t="shared" si="46"/>
        <v>1.0794706276042228E-3</v>
      </c>
      <c r="K81" s="2"/>
      <c r="L81" s="7">
        <f t="shared" si="47"/>
        <v>-150</v>
      </c>
      <c r="M81" s="2"/>
      <c r="N81" s="6">
        <f t="shared" si="48"/>
        <v>-1</v>
      </c>
      <c r="O81" s="11"/>
      <c r="P81" s="7"/>
      <c r="Q81" s="2"/>
      <c r="R81" s="6">
        <f t="shared" si="49"/>
        <v>0</v>
      </c>
      <c r="S81" s="2"/>
      <c r="T81" s="7">
        <v>900</v>
      </c>
      <c r="U81" s="2"/>
      <c r="V81" s="6">
        <f t="shared" si="50"/>
        <v>1.1725284403287248E-3</v>
      </c>
      <c r="W81" s="2"/>
      <c r="X81" s="7">
        <f t="shared" si="51"/>
        <v>-900</v>
      </c>
      <c r="Y81" s="2"/>
      <c r="Z81" s="6">
        <f t="shared" si="52"/>
        <v>-1</v>
      </c>
    </row>
    <row r="82" spans="1:26" s="24" customFormat="1" hidden="1" outlineLevel="2" x14ac:dyDescent="0.25">
      <c r="A82" s="29"/>
      <c r="B82" s="11" t="str">
        <f>CONCATENATE("          ", "6248", " - ", "UNIFORMS")</f>
        <v xml:space="preserve">          6248 - UNIFORMS</v>
      </c>
      <c r="C82" s="11"/>
      <c r="D82" s="7"/>
      <c r="E82" s="2"/>
      <c r="F82" s="6">
        <f t="shared" si="45"/>
        <v>0</v>
      </c>
      <c r="G82" s="2"/>
      <c r="H82" s="7"/>
      <c r="I82" s="2"/>
      <c r="J82" s="6">
        <f t="shared" si="46"/>
        <v>0</v>
      </c>
      <c r="K82" s="2"/>
      <c r="L82" s="7">
        <f t="shared" si="47"/>
        <v>0</v>
      </c>
      <c r="M82" s="2"/>
      <c r="N82" s="6">
        <f t="shared" si="48"/>
        <v>0</v>
      </c>
      <c r="O82" s="11"/>
      <c r="P82" s="7"/>
      <c r="Q82" s="2"/>
      <c r="R82" s="6">
        <f t="shared" si="49"/>
        <v>0</v>
      </c>
      <c r="S82" s="2"/>
      <c r="T82" s="7">
        <v>4500</v>
      </c>
      <c r="U82" s="2"/>
      <c r="V82" s="6">
        <f t="shared" si="50"/>
        <v>5.862642201643624E-3</v>
      </c>
      <c r="W82" s="2"/>
      <c r="X82" s="7">
        <f t="shared" si="51"/>
        <v>-4500</v>
      </c>
      <c r="Y82" s="2"/>
      <c r="Z82" s="6">
        <f t="shared" si="52"/>
        <v>-1</v>
      </c>
    </row>
    <row r="83" spans="1:26" s="28" customFormat="1" outlineLevel="1" collapsed="1" x14ac:dyDescent="0.25">
      <c r="A83" s="27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SUM(OSRRefD22_14x_0)</f>
        <v>139</v>
      </c>
      <c r="E83" s="1"/>
      <c r="F83" s="5">
        <f t="shared" ref="F83:F84" si="53">IF(D$12=0,0,D83/D$12)</f>
        <v>0</v>
      </c>
      <c r="G83" s="1"/>
      <c r="H83" s="1">
        <f>SUM(OSRRefH22_14x_0)</f>
        <v>175</v>
      </c>
      <c r="I83" s="1"/>
      <c r="J83" s="5">
        <f t="shared" ref="J83:J84" si="54">IF(H$12=0,0,H83/H$12)</f>
        <v>1.2593823988715934E-3</v>
      </c>
      <c r="K83" s="1"/>
      <c r="L83" s="1">
        <f t="shared" ref="L83:L84" si="55">+D83-H83</f>
        <v>-36</v>
      </c>
      <c r="M83" s="1"/>
      <c r="N83" s="5">
        <f t="shared" ref="N83:N84" si="56">IF(H83=0,0,L83/H83)</f>
        <v>-0.20571428571428571</v>
      </c>
      <c r="O83" s="14"/>
      <c r="P83" s="1">
        <f>SUM(OSRRefP22_14x_0)</f>
        <v>920</v>
      </c>
      <c r="Q83" s="1"/>
      <c r="R83" s="5">
        <f t="shared" ref="R83:R84" si="57">IF(P$12=0,0,P83/P$12)</f>
        <v>3.8652019231900356E-2</v>
      </c>
      <c r="S83" s="1"/>
      <c r="T83" s="1">
        <f>SUM(OSRRefT22_14x_0)</f>
        <v>1050</v>
      </c>
      <c r="U83" s="1"/>
      <c r="V83" s="5">
        <f t="shared" ref="V83:V84" si="58">IF(T$12=0,0,T83/T$12)</f>
        <v>1.3679498470501789E-3</v>
      </c>
      <c r="W83" s="1"/>
      <c r="X83" s="1">
        <f t="shared" ref="X83:X84" si="59">+P83-T83</f>
        <v>-130</v>
      </c>
      <c r="Y83" s="1"/>
      <c r="Z83" s="5">
        <f t="shared" ref="Z83:Z84" si="60">IF(T83=0,0,X83/T83)</f>
        <v>-0.12380952380952381</v>
      </c>
    </row>
    <row r="84" spans="1:26" s="24" customFormat="1" hidden="1" outlineLevel="2" x14ac:dyDescent="0.25">
      <c r="A84" s="29"/>
      <c r="B84" s="11" t="str">
        <f>CONCATENATE("          ", "6309", " - ", "TELEPHONE")</f>
        <v xml:space="preserve">          6309 - TELEPHONE</v>
      </c>
      <c r="C84" s="11"/>
      <c r="D84" s="7">
        <v>139</v>
      </c>
      <c r="E84" s="2"/>
      <c r="F84" s="6">
        <f t="shared" si="53"/>
        <v>0</v>
      </c>
      <c r="G84" s="2"/>
      <c r="H84" s="7">
        <v>175</v>
      </c>
      <c r="I84" s="2"/>
      <c r="J84" s="6">
        <f t="shared" si="54"/>
        <v>1.2593823988715934E-3</v>
      </c>
      <c r="K84" s="2"/>
      <c r="L84" s="7">
        <f t="shared" si="55"/>
        <v>-36</v>
      </c>
      <c r="M84" s="2"/>
      <c r="N84" s="6">
        <f t="shared" si="56"/>
        <v>-0.20571428571428571</v>
      </c>
      <c r="O84" s="11"/>
      <c r="P84" s="7">
        <v>920</v>
      </c>
      <c r="Q84" s="2"/>
      <c r="R84" s="6">
        <f t="shared" si="57"/>
        <v>3.8652019231900356E-2</v>
      </c>
      <c r="S84" s="2"/>
      <c r="T84" s="7">
        <v>1050</v>
      </c>
      <c r="U84" s="2"/>
      <c r="V84" s="6">
        <f t="shared" si="58"/>
        <v>1.3679498470501789E-3</v>
      </c>
      <c r="W84" s="2"/>
      <c r="X84" s="7">
        <f t="shared" si="59"/>
        <v>-130</v>
      </c>
      <c r="Y84" s="2"/>
      <c r="Z84" s="6">
        <f t="shared" si="60"/>
        <v>-0.12380952380952381</v>
      </c>
    </row>
    <row r="85" spans="1:26" s="53" customFormat="1" x14ac:dyDescent="0.25">
      <c r="A85" s="36"/>
      <c r="B85" s="36"/>
      <c r="C85" s="36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6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6" t="s">
        <v>0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5" t="s">
        <v>3</v>
      </c>
      <c r="C88" s="25"/>
      <c r="D88" s="21">
        <f>+D23-D25+D86</f>
        <v>-46482.100000000013</v>
      </c>
      <c r="E88" s="13"/>
      <c r="F88" s="19">
        <f>IF(D$12=0,0,D88/D$12)</f>
        <v>0</v>
      </c>
      <c r="G88" s="13"/>
      <c r="H88" s="21">
        <f>+H23-H25+H86</f>
        <v>-22456.762730769231</v>
      </c>
      <c r="I88" s="13"/>
      <c r="J88" s="19">
        <f>IF(H$12=0,0,H88/H$12)</f>
        <v>-0.16160943839295056</v>
      </c>
      <c r="K88" s="16"/>
      <c r="L88" s="21">
        <f>+D88-H88</f>
        <v>-24025.337269230782</v>
      </c>
      <c r="M88" s="16"/>
      <c r="N88" s="19">
        <f>IF(H88=0,0,L88/H88)</f>
        <v>1.0698486490357919</v>
      </c>
      <c r="O88" s="26"/>
      <c r="P88" s="21">
        <f>+P23-P25+P86</f>
        <v>-318605.05999999994</v>
      </c>
      <c r="Q88" s="13"/>
      <c r="R88" s="19">
        <f>IF(P$12=0,0,P88/P$12)</f>
        <v>-13.385574898370395</v>
      </c>
      <c r="S88" s="13"/>
      <c r="T88" s="21">
        <f>+T23-T25+T86</f>
        <v>-177371.63686999993</v>
      </c>
      <c r="U88" s="13"/>
      <c r="V88" s="19">
        <f>IF(T$12=0,0,T88/T$12)</f>
        <v>-0.23108143193081551</v>
      </c>
      <c r="W88" s="16"/>
      <c r="X88" s="21">
        <f>+P88-T88</f>
        <v>-141233.42313000001</v>
      </c>
      <c r="Y88" s="16"/>
      <c r="Z88" s="19">
        <f>IF(T88=0,0,X88/T88)</f>
        <v>0.79625708835011477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2"/>
      <c r="B90" s="10" t="s">
        <v>14</v>
      </c>
      <c r="C90" s="10"/>
      <c r="D90" s="4">
        <v>621.74</v>
      </c>
      <c r="E90" s="4"/>
      <c r="F90" s="12">
        <f>IF(D$12=0,0,D90/D$12)</f>
        <v>0</v>
      </c>
      <c r="G90" s="4"/>
      <c r="H90" s="4">
        <v>33488</v>
      </c>
      <c r="I90" s="4"/>
      <c r="J90" s="12">
        <f>IF(H$12=0,0,H90/H$12)</f>
        <v>0.24099541584806811</v>
      </c>
      <c r="K90" s="4"/>
      <c r="L90" s="4">
        <f>+D90-H90</f>
        <v>-32866.26</v>
      </c>
      <c r="M90" s="4"/>
      <c r="N90" s="12">
        <f>IF(H90=0,0,L90/H90)</f>
        <v>-0.98143394648829441</v>
      </c>
      <c r="O90" s="10"/>
      <c r="P90" s="4">
        <v>4403.8999999999996</v>
      </c>
      <c r="Q90" s="4"/>
      <c r="R90" s="12">
        <f>IF(P$12=0,0,P90/P$12)</f>
        <v>0.18502133423409342</v>
      </c>
      <c r="S90" s="4"/>
      <c r="T90" s="4">
        <v>145601</v>
      </c>
      <c r="U90" s="4"/>
      <c r="V90" s="12">
        <f>IF(T$12=0,0,T90/T$12)</f>
        <v>0.18969034826700296</v>
      </c>
      <c r="W90" s="4"/>
      <c r="X90" s="4">
        <f>+P90-T90</f>
        <v>-141197.1</v>
      </c>
      <c r="Y90" s="4"/>
      <c r="Z90" s="12">
        <f>IF(T90=0,0,X90/T90)</f>
        <v>-0.9697536418019107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5" t="s">
        <v>4</v>
      </c>
      <c r="C92" s="25"/>
      <c r="D92" s="34">
        <f>+D88-D90</f>
        <v>-47103.840000000011</v>
      </c>
      <c r="E92" s="13"/>
      <c r="F92" s="31">
        <f>IF(D$12=0,0,D92/D$12)</f>
        <v>0</v>
      </c>
      <c r="G92" s="13"/>
      <c r="H92" s="34">
        <f>+H88-H90</f>
        <v>-55944.762730769231</v>
      </c>
      <c r="I92" s="13"/>
      <c r="J92" s="31">
        <f>IF(H$12=0,0,H92/H$12)</f>
        <v>-0.40260485424101866</v>
      </c>
      <c r="K92" s="16"/>
      <c r="L92" s="34">
        <f>D92-H92</f>
        <v>8840.9227307692199</v>
      </c>
      <c r="M92" s="16"/>
      <c r="N92" s="31">
        <f>IF(H92=0,0,L92/H92)</f>
        <v>-0.15802949729746149</v>
      </c>
      <c r="O92" s="26"/>
      <c r="P92" s="34">
        <f>+P88-P90</f>
        <v>-323008.95999999996</v>
      </c>
      <c r="Q92" s="13"/>
      <c r="R92" s="31">
        <f>IF(P$12=0,0,P92/P$12)</f>
        <v>-13.57059623260449</v>
      </c>
      <c r="S92" s="13"/>
      <c r="T92" s="34">
        <f>+T88-T90</f>
        <v>-322972.63686999993</v>
      </c>
      <c r="U92" s="13"/>
      <c r="V92" s="31">
        <f>IF(T$12=0,0,T92/T$12)</f>
        <v>-0.42077178019781847</v>
      </c>
      <c r="W92" s="16"/>
      <c r="X92" s="34">
        <f>P92-T92</f>
        <v>-36.323130000033416</v>
      </c>
      <c r="Y92" s="16"/>
      <c r="Z92" s="31">
        <f>IF(T92=0,0,X92/T92)</f>
        <v>1.1246503837615779E-4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5" t="s">
        <v>5</v>
      </c>
      <c r="C95" s="25"/>
      <c r="D95" s="33">
        <f>SUM(D92:D94)</f>
        <v>-47103.840000000011</v>
      </c>
      <c r="E95" s="13"/>
      <c r="F95" s="32">
        <f>IF(D$12=0,0,D95/D$12)</f>
        <v>0</v>
      </c>
      <c r="G95" s="13"/>
      <c r="H95" s="33">
        <f>SUM(H92:H94)</f>
        <v>-55944.762730769231</v>
      </c>
      <c r="I95" s="13"/>
      <c r="J95" s="32">
        <f>IF(H$12=0,0,H95/H$12)</f>
        <v>-0.40260485424101866</v>
      </c>
      <c r="K95" s="16"/>
      <c r="L95" s="33">
        <f>+D95-H95</f>
        <v>8840.9227307692199</v>
      </c>
      <c r="M95" s="16"/>
      <c r="N95" s="32">
        <f>IF(H95=0,0,L95/H95)</f>
        <v>-0.15802949729746149</v>
      </c>
      <c r="O95" s="26"/>
      <c r="P95" s="33">
        <f>SUM(P92:P94)</f>
        <v>-323008.95999999996</v>
      </c>
      <c r="Q95" s="13"/>
      <c r="R95" s="32">
        <f>IF(P$12=0,0,P95/P$12)</f>
        <v>-13.57059623260449</v>
      </c>
      <c r="S95" s="13"/>
      <c r="T95" s="33">
        <f>SUM(T92:T94)</f>
        <v>-322972.63686999993</v>
      </c>
      <c r="U95" s="13"/>
      <c r="V95" s="32">
        <f>IF(T$12=0,0,T95/T$12)</f>
        <v>-0.42077178019781847</v>
      </c>
      <c r="W95" s="16"/>
      <c r="X95" s="33">
        <f>+P95-T95</f>
        <v>-36.323130000033416</v>
      </c>
      <c r="Y95" s="16"/>
      <c r="Z95" s="32">
        <f>IF(T95=0,0,X95/T95)</f>
        <v>1.1246503837615779E-4</v>
      </c>
    </row>
    <row r="96" spans="1:26" ht="15.75" thickTop="1" x14ac:dyDescent="0.25">
      <c r="A96" s="9"/>
      <c r="C96" s="9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63">
        <v>44209.518892743057</v>
      </c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60" t="s">
        <v>314</v>
      </c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A99" s="9"/>
      <c r="B99" s="58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4" x14ac:dyDescent="0.25"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300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","435", " - ", "Ground Floor Coffee House")</f>
        <v>Department 435 - Ground Floor Coffee House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1">
        <f>D12-D14</f>
        <v>0</v>
      </c>
      <c r="E16" s="13"/>
      <c r="F16" s="19">
        <f>IF(D$12=0,0,D16/D$12)</f>
        <v>0</v>
      </c>
      <c r="G16" s="13"/>
      <c r="H16" s="21">
        <f>H12-H14</f>
        <v>0</v>
      </c>
      <c r="I16" s="13"/>
      <c r="J16" s="19">
        <f>IF(H$12=0,0,H16/H$12)</f>
        <v>0</v>
      </c>
      <c r="K16" s="16"/>
      <c r="L16" s="21">
        <f>+D16-H16</f>
        <v>0</v>
      </c>
      <c r="M16" s="16"/>
      <c r="N16" s="19">
        <f>IF(H16=0,0,L16/H16)</f>
        <v>0</v>
      </c>
      <c r="O16" s="26"/>
      <c r="P16" s="21">
        <f>P12-P14</f>
        <v>0</v>
      </c>
      <c r="Q16" s="13"/>
      <c r="R16" s="19">
        <f>IF(P$12=0,0,P16/P$12)</f>
        <v>0</v>
      </c>
      <c r="S16" s="13"/>
      <c r="T16" s="21">
        <f>T12-T14</f>
        <v>0</v>
      </c>
      <c r="U16" s="13"/>
      <c r="V16" s="19">
        <f>IF(T$12=0,0,T16/T$12)</f>
        <v>0</v>
      </c>
      <c r="W16" s="16"/>
      <c r="X16" s="21">
        <f>+P16-T16</f>
        <v>0</v>
      </c>
      <c r="Y16" s="16"/>
      <c r="Z16" s="19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0</v>
      </c>
      <c r="E18" s="20"/>
      <c r="F18" s="30">
        <f t="shared" ref="F18:F20" si="0">IF(D$12=0,0,D18/D$12)</f>
        <v>0</v>
      </c>
      <c r="G18" s="20"/>
      <c r="H18" s="20">
        <f>SUM(OSRRefH22x_0)</f>
        <v>0</v>
      </c>
      <c r="I18" s="20"/>
      <c r="J18" s="30">
        <f t="shared" ref="J18:J20" si="1">IF(H$12=0,0,H18/H$12)</f>
        <v>0</v>
      </c>
      <c r="K18" s="4"/>
      <c r="L18" s="20">
        <f t="shared" ref="L18:L20" si="2">+D18-H18</f>
        <v>0</v>
      </c>
      <c r="M18" s="4"/>
      <c r="N18" s="30">
        <f t="shared" ref="N18:N20" si="3">IF(H18=0,0,L18/H18)</f>
        <v>0</v>
      </c>
      <c r="O18" s="10"/>
      <c r="P18" s="20">
        <f>SUM(OSRRefP22x_0)</f>
        <v>178.69</v>
      </c>
      <c r="Q18" s="20"/>
      <c r="R18" s="30">
        <f t="shared" ref="R18:R20" si="4">IF(P$12=0,0,P18/P$12)</f>
        <v>0</v>
      </c>
      <c r="S18" s="20"/>
      <c r="T18" s="20">
        <f>SUM(OSRRefT22x_0)</f>
        <v>0</v>
      </c>
      <c r="U18" s="20"/>
      <c r="V18" s="30">
        <f t="shared" ref="V18:V20" si="5">IF(T$12=0,0,T18/T$12)</f>
        <v>0</v>
      </c>
      <c r="W18" s="4"/>
      <c r="X18" s="20">
        <f t="shared" ref="X18:X20" si="6">+P18-T18</f>
        <v>178.69</v>
      </c>
      <c r="Y18" s="4"/>
      <c r="Z18" s="30">
        <f t="shared" ref="Z18:Z20" si="7">IF(T18=0,0,X18/T18)</f>
        <v>0</v>
      </c>
    </row>
    <row r="19" spans="1:26" s="28" customFormat="1" outlineLevel="1" collapsed="1" x14ac:dyDescent="0.25">
      <c r="A19" s="27"/>
      <c r="B19" s="14" t="str">
        <f>CONCATENATE("     ","Telephone/Data Lines                              ")</f>
        <v xml:space="preserve">     Telephone/Data Lines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178.69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178.69</v>
      </c>
      <c r="Y19" s="1"/>
      <c r="Z19" s="5">
        <f t="shared" si="7"/>
        <v>0</v>
      </c>
    </row>
    <row r="20" spans="1:26" s="24" customFormat="1" hidden="1" outlineLevel="2" x14ac:dyDescent="0.25">
      <c r="A20" s="29"/>
      <c r="B20" s="11" t="str">
        <f>CONCATENATE("          ", "6309", " - ", "TELEPHONE")</f>
        <v xml:space="preserve">          6309 - TELEPHONE</v>
      </c>
      <c r="C20" s="11"/>
      <c r="D20" s="7"/>
      <c r="E20" s="2"/>
      <c r="F20" s="6">
        <f t="shared" si="0"/>
        <v>0</v>
      </c>
      <c r="G20" s="2"/>
      <c r="H20" s="7"/>
      <c r="I20" s="2"/>
      <c r="J20" s="6">
        <f t="shared" si="1"/>
        <v>0</v>
      </c>
      <c r="K20" s="2"/>
      <c r="L20" s="7">
        <f t="shared" si="2"/>
        <v>0</v>
      </c>
      <c r="M20" s="2"/>
      <c r="N20" s="6">
        <f t="shared" si="3"/>
        <v>0</v>
      </c>
      <c r="O20" s="11"/>
      <c r="P20" s="7">
        <v>178.69</v>
      </c>
      <c r="Q20" s="2"/>
      <c r="R20" s="6">
        <f t="shared" si="4"/>
        <v>0</v>
      </c>
      <c r="S20" s="2"/>
      <c r="T20" s="7"/>
      <c r="U20" s="2"/>
      <c r="V20" s="6">
        <f t="shared" si="5"/>
        <v>0</v>
      </c>
      <c r="W20" s="2"/>
      <c r="X20" s="7">
        <f t="shared" si="6"/>
        <v>178.69</v>
      </c>
      <c r="Y20" s="2"/>
      <c r="Z20" s="6">
        <f t="shared" si="7"/>
        <v>0</v>
      </c>
    </row>
    <row r="21" spans="1:26" s="53" customFormat="1" x14ac:dyDescent="0.25">
      <c r="A21" s="36"/>
      <c r="B21" s="36"/>
      <c r="C21" s="36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0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5" t="s">
        <v>3</v>
      </c>
      <c r="C24" s="25"/>
      <c r="D24" s="21">
        <f>+D16-D18+D22</f>
        <v>0</v>
      </c>
      <c r="E24" s="13"/>
      <c r="F24" s="19">
        <f>IF(D$12=0,0,D24/D$12)</f>
        <v>0</v>
      </c>
      <c r="G24" s="13"/>
      <c r="H24" s="21">
        <f>+H16-H18+H22</f>
        <v>0</v>
      </c>
      <c r="I24" s="13"/>
      <c r="J24" s="19">
        <f>IF(H$12=0,0,H24/H$12)</f>
        <v>0</v>
      </c>
      <c r="K24" s="16"/>
      <c r="L24" s="21">
        <f>+D24-H24</f>
        <v>0</v>
      </c>
      <c r="M24" s="16"/>
      <c r="N24" s="19">
        <f>IF(H24=0,0,L24/H24)</f>
        <v>0</v>
      </c>
      <c r="O24" s="26"/>
      <c r="P24" s="21">
        <f>+P16-P18+P22</f>
        <v>-178.69</v>
      </c>
      <c r="Q24" s="13"/>
      <c r="R24" s="19">
        <f>IF(P$12=0,0,P24/P$12)</f>
        <v>0</v>
      </c>
      <c r="S24" s="13"/>
      <c r="T24" s="21">
        <f>+T16-T18+T22</f>
        <v>0</v>
      </c>
      <c r="U24" s="13"/>
      <c r="V24" s="19">
        <f>IF(T$12=0,0,T24/T$12)</f>
        <v>0</v>
      </c>
      <c r="W24" s="16"/>
      <c r="X24" s="21">
        <f>+P24-T24</f>
        <v>-178.69</v>
      </c>
      <c r="Y24" s="16"/>
      <c r="Z24" s="19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2"/>
      <c r="B26" s="10" t="s">
        <v>14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5" t="s">
        <v>4</v>
      </c>
      <c r="C28" s="25"/>
      <c r="D28" s="34">
        <f>+D24-D26</f>
        <v>0</v>
      </c>
      <c r="E28" s="13"/>
      <c r="F28" s="31">
        <f>IF(D$12=0,0,D28/D$12)</f>
        <v>0</v>
      </c>
      <c r="G28" s="13"/>
      <c r="H28" s="34">
        <f>+H24-H26</f>
        <v>0</v>
      </c>
      <c r="I28" s="13"/>
      <c r="J28" s="31">
        <f>IF(H$12=0,0,H28/H$12)</f>
        <v>0</v>
      </c>
      <c r="K28" s="16"/>
      <c r="L28" s="34">
        <f>D28-H28</f>
        <v>0</v>
      </c>
      <c r="M28" s="16"/>
      <c r="N28" s="31">
        <f>IF(H28=0,0,L28/H28)</f>
        <v>0</v>
      </c>
      <c r="O28" s="26"/>
      <c r="P28" s="34">
        <f>+P24-P26</f>
        <v>-178.69</v>
      </c>
      <c r="Q28" s="13"/>
      <c r="R28" s="31">
        <f>IF(P$12=0,0,P28/P$12)</f>
        <v>0</v>
      </c>
      <c r="S28" s="13"/>
      <c r="T28" s="34">
        <f>+T24-T26</f>
        <v>0</v>
      </c>
      <c r="U28" s="13"/>
      <c r="V28" s="31">
        <f>IF(T$12=0,0,T28/T$12)</f>
        <v>0</v>
      </c>
      <c r="W28" s="16"/>
      <c r="X28" s="34">
        <f>P28-T28</f>
        <v>-178.69</v>
      </c>
      <c r="Y28" s="16"/>
      <c r="Z28" s="31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5</v>
      </c>
      <c r="C31" s="25"/>
      <c r="D31" s="33">
        <f>SUM(D28:D30)</f>
        <v>0</v>
      </c>
      <c r="E31" s="13"/>
      <c r="F31" s="32">
        <f>IF(D$12=0,0,D31/D$12)</f>
        <v>0</v>
      </c>
      <c r="G31" s="13"/>
      <c r="H31" s="33">
        <f>SUM(H28:H30)</f>
        <v>0</v>
      </c>
      <c r="I31" s="13"/>
      <c r="J31" s="32">
        <f>IF(H$12=0,0,H31/H$12)</f>
        <v>0</v>
      </c>
      <c r="K31" s="16"/>
      <c r="L31" s="33">
        <f>+D31-H31</f>
        <v>0</v>
      </c>
      <c r="M31" s="16"/>
      <c r="N31" s="32">
        <f>IF(H31=0,0,L31/H31)</f>
        <v>0</v>
      </c>
      <c r="O31" s="26"/>
      <c r="P31" s="33">
        <f>SUM(P28:P30)</f>
        <v>-178.69</v>
      </c>
      <c r="Q31" s="13"/>
      <c r="R31" s="32">
        <f>IF(P$12=0,0,P31/P$12)</f>
        <v>0</v>
      </c>
      <c r="S31" s="13"/>
      <c r="T31" s="33">
        <f>SUM(T28:T30)</f>
        <v>0</v>
      </c>
      <c r="U31" s="13"/>
      <c r="V31" s="32">
        <f>IF(T$12=0,0,T31/T$12)</f>
        <v>0</v>
      </c>
      <c r="W31" s="16"/>
      <c r="X31" s="33">
        <f>+P31-T31</f>
        <v>-178.69</v>
      </c>
      <c r="Y31" s="16"/>
      <c r="Z31" s="32">
        <f>IF(T31=0,0,X31/T31)</f>
        <v>0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63">
        <v>44209.518904826386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60" t="s">
        <v>314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8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","444", " - ", "Parkside Dining Hall")</f>
        <v>Department 444 - Parkside Dining Hall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85078.92</v>
      </c>
      <c r="E12" s="4"/>
      <c r="F12" s="12"/>
      <c r="G12" s="4"/>
      <c r="H12" s="4">
        <f>SUM(OSRRefH13x_0)</f>
        <v>113823</v>
      </c>
      <c r="I12" s="4"/>
      <c r="J12" s="12"/>
      <c r="K12" s="4"/>
      <c r="L12" s="4">
        <f t="shared" ref="L12:L16" si="0">+D12-H12</f>
        <v>-28744.080000000002</v>
      </c>
      <c r="M12" s="4"/>
      <c r="N12" s="12">
        <f t="shared" ref="N12:N16" si="1">IF(H12=0,0,L12/H12)</f>
        <v>-0.25253314356500883</v>
      </c>
      <c r="O12" s="10"/>
      <c r="P12" s="4">
        <f>SUM(OSRRefP13x_0)</f>
        <v>612697.74000000011</v>
      </c>
      <c r="Q12" s="4"/>
      <c r="R12" s="12"/>
      <c r="S12" s="4"/>
      <c r="T12" s="4">
        <f>SUM(OSRRefT13x_0)</f>
        <v>794994</v>
      </c>
      <c r="U12" s="4"/>
      <c r="V12" s="12"/>
      <c r="W12" s="4"/>
      <c r="X12" s="4">
        <f t="shared" ref="X12:X16" si="2">+P12-T12</f>
        <v>-182296.25999999989</v>
      </c>
      <c r="Y12" s="4"/>
      <c r="Z12" s="12">
        <f t="shared" ref="Z12:Z16" si="3">IF(T12=0,0,X12/T12)</f>
        <v>-0.22930520230341347</v>
      </c>
    </row>
    <row r="13" spans="1:26" s="24" customFormat="1" hidden="1" outlineLevel="1" x14ac:dyDescent="0.2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>--38.05</f>
        <v>38.049999999999997</v>
      </c>
      <c r="E13" s="2"/>
      <c r="F13" s="22"/>
      <c r="G13" s="2"/>
      <c r="H13" s="2"/>
      <c r="I13" s="2"/>
      <c r="J13" s="22"/>
      <c r="K13" s="2"/>
      <c r="L13" s="2">
        <f t="shared" si="0"/>
        <v>38.049999999999997</v>
      </c>
      <c r="M13" s="2"/>
      <c r="N13" s="22">
        <f t="shared" si="1"/>
        <v>0</v>
      </c>
      <c r="O13" s="11"/>
      <c r="P13" s="2">
        <f>--315.43</f>
        <v>315.43</v>
      </c>
      <c r="Q13" s="2"/>
      <c r="R13" s="22"/>
      <c r="S13" s="2"/>
      <c r="T13" s="2"/>
      <c r="U13" s="2"/>
      <c r="V13" s="22"/>
      <c r="W13" s="2"/>
      <c r="X13" s="2">
        <f t="shared" si="2"/>
        <v>315.43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2"/>
      <c r="G14" s="2"/>
      <c r="H14" s="2">
        <v>113823</v>
      </c>
      <c r="I14" s="2"/>
      <c r="J14" s="22"/>
      <c r="K14" s="2"/>
      <c r="L14" s="2">
        <f t="shared" si="0"/>
        <v>-113823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794994</v>
      </c>
      <c r="U14" s="2"/>
      <c r="V14" s="22"/>
      <c r="W14" s="2"/>
      <c r="X14" s="2">
        <f t="shared" si="2"/>
        <v>-794994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--81403.33</f>
        <v>81403.33</v>
      </c>
      <c r="E15" s="2"/>
      <c r="F15" s="22"/>
      <c r="G15" s="2"/>
      <c r="H15" s="2"/>
      <c r="I15" s="2"/>
      <c r="J15" s="22"/>
      <c r="K15" s="2"/>
      <c r="L15" s="2">
        <f t="shared" si="0"/>
        <v>81403.33</v>
      </c>
      <c r="M15" s="2"/>
      <c r="N15" s="22">
        <f t="shared" si="1"/>
        <v>0</v>
      </c>
      <c r="O15" s="11"/>
      <c r="P15" s="2">
        <f>--590109.38</f>
        <v>590109.38</v>
      </c>
      <c r="Q15" s="2"/>
      <c r="R15" s="22"/>
      <c r="S15" s="2"/>
      <c r="T15" s="2"/>
      <c r="U15" s="2"/>
      <c r="V15" s="22"/>
      <c r="W15" s="2"/>
      <c r="X15" s="2">
        <f t="shared" si="2"/>
        <v>590109.38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>--3637.54</f>
        <v>3637.54</v>
      </c>
      <c r="E16" s="2"/>
      <c r="F16" s="22"/>
      <c r="G16" s="2"/>
      <c r="H16" s="2"/>
      <c r="I16" s="2"/>
      <c r="J16" s="22"/>
      <c r="K16" s="2"/>
      <c r="L16" s="2">
        <f t="shared" si="0"/>
        <v>3637.54</v>
      </c>
      <c r="M16" s="2"/>
      <c r="N16" s="22">
        <f t="shared" si="1"/>
        <v>0</v>
      </c>
      <c r="O16" s="11"/>
      <c r="P16" s="2">
        <f>--22272.93</f>
        <v>22272.93</v>
      </c>
      <c r="Q16" s="2"/>
      <c r="R16" s="22"/>
      <c r="S16" s="2"/>
      <c r="T16" s="2"/>
      <c r="U16" s="2"/>
      <c r="V16" s="22"/>
      <c r="W16" s="2"/>
      <c r="X16" s="2">
        <f t="shared" si="2"/>
        <v>22272.93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6" t="s">
        <v>8</v>
      </c>
      <c r="C18" s="10"/>
      <c r="D18" s="4">
        <f>SUM(OSRRefD16x_0)</f>
        <v>34611.79</v>
      </c>
      <c r="E18" s="4"/>
      <c r="F18" s="12">
        <f t="shared" ref="F18:F21" si="4">IF(D$12=0,0,D18/D$12)</f>
        <v>0.40681980918422567</v>
      </c>
      <c r="G18" s="4"/>
      <c r="H18" s="4">
        <f>SUM(OSRRefH16x_0)</f>
        <v>29594</v>
      </c>
      <c r="I18" s="4"/>
      <c r="J18" s="12">
        <f t="shared" ref="J18:J21" si="5">IF(H$12=0,0,H18/H$12)</f>
        <v>0.2600001757114116</v>
      </c>
      <c r="K18" s="4"/>
      <c r="L18" s="4">
        <f t="shared" ref="L18:L21" si="6">+D18-H18</f>
        <v>5017.7900000000009</v>
      </c>
      <c r="M18" s="4"/>
      <c r="N18" s="12">
        <f t="shared" ref="N18:N21" si="7">IF(H18=0,0,L18/H18)</f>
        <v>0.16955430154761103</v>
      </c>
      <c r="O18" s="10"/>
      <c r="P18" s="4">
        <f>SUM(OSRRefP16x_0)</f>
        <v>225541.89</v>
      </c>
      <c r="Q18" s="4"/>
      <c r="R18" s="12">
        <f t="shared" ref="R18:R21" si="8">IF(P$12=0,0,P18/P$12)</f>
        <v>0.36811281530106504</v>
      </c>
      <c r="S18" s="4"/>
      <c r="T18" s="4">
        <f>SUM(OSRRefT16x_0)</f>
        <v>214605</v>
      </c>
      <c r="U18" s="4"/>
      <c r="V18" s="12">
        <f t="shared" ref="V18:V21" si="9">IF(T$12=0,0,T18/T$12)</f>
        <v>0.26994543355044187</v>
      </c>
      <c r="W18" s="4"/>
      <c r="X18" s="4">
        <f t="shared" ref="X18:X21" si="10">+P18-T18</f>
        <v>10936.890000000014</v>
      </c>
      <c r="Y18" s="4"/>
      <c r="Z18" s="12">
        <f t="shared" ref="Z18:Z21" si="11">IF(T18=0,0,X18/T18)</f>
        <v>5.096288530090172E-2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29594</v>
      </c>
      <c r="I19" s="2"/>
      <c r="J19" s="22">
        <f t="shared" si="5"/>
        <v>0.2600001757114116</v>
      </c>
      <c r="K19" s="2"/>
      <c r="L19" s="2">
        <f t="shared" si="6"/>
        <v>-29594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214605</v>
      </c>
      <c r="U19" s="2"/>
      <c r="V19" s="22">
        <f t="shared" si="9"/>
        <v>0.26994543355044187</v>
      </c>
      <c r="W19" s="2"/>
      <c r="X19" s="2">
        <f t="shared" si="10"/>
        <v>-214605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32717.79</v>
      </c>
      <c r="E20" s="2"/>
      <c r="F20" s="22">
        <f t="shared" si="4"/>
        <v>0.38455812556153746</v>
      </c>
      <c r="G20" s="2"/>
      <c r="H20" s="2"/>
      <c r="I20" s="2"/>
      <c r="J20" s="22">
        <f t="shared" si="5"/>
        <v>0</v>
      </c>
      <c r="K20" s="2"/>
      <c r="L20" s="2">
        <f t="shared" si="6"/>
        <v>32717.79</v>
      </c>
      <c r="M20" s="2"/>
      <c r="N20" s="22">
        <f t="shared" si="7"/>
        <v>0</v>
      </c>
      <c r="O20" s="11"/>
      <c r="P20" s="2">
        <v>241917.57</v>
      </c>
      <c r="Q20" s="2"/>
      <c r="R20" s="22">
        <f t="shared" si="8"/>
        <v>0.39483999075955456</v>
      </c>
      <c r="S20" s="2"/>
      <c r="T20" s="2"/>
      <c r="U20" s="2"/>
      <c r="V20" s="22">
        <f t="shared" si="9"/>
        <v>0</v>
      </c>
      <c r="W20" s="2"/>
      <c r="X20" s="2">
        <f t="shared" si="10"/>
        <v>241917.57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1894</v>
      </c>
      <c r="E21" s="2"/>
      <c r="F21" s="22">
        <f t="shared" si="4"/>
        <v>2.2261683622688207E-2</v>
      </c>
      <c r="G21" s="2"/>
      <c r="H21" s="2"/>
      <c r="I21" s="2"/>
      <c r="J21" s="22">
        <f t="shared" si="5"/>
        <v>0</v>
      </c>
      <c r="K21" s="2"/>
      <c r="L21" s="2">
        <f t="shared" si="6"/>
        <v>1894</v>
      </c>
      <c r="M21" s="2"/>
      <c r="N21" s="22">
        <f t="shared" si="7"/>
        <v>0</v>
      </c>
      <c r="O21" s="11"/>
      <c r="P21" s="2">
        <v>-16375.68</v>
      </c>
      <c r="Q21" s="2"/>
      <c r="R21" s="22">
        <f t="shared" si="8"/>
        <v>-2.6727175458489526E-2</v>
      </c>
      <c r="S21" s="2"/>
      <c r="T21" s="2"/>
      <c r="U21" s="2"/>
      <c r="V21" s="22">
        <f t="shared" si="9"/>
        <v>0</v>
      </c>
      <c r="W21" s="2"/>
      <c r="X21" s="2">
        <f t="shared" si="10"/>
        <v>-16375.68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6</v>
      </c>
      <c r="C23" s="25"/>
      <c r="D23" s="21">
        <f>D12-D18</f>
        <v>50467.13</v>
      </c>
      <c r="E23" s="13"/>
      <c r="F23" s="19">
        <f>IF(D$12=0,0,D23/D$12)</f>
        <v>0.59318019081577433</v>
      </c>
      <c r="G23" s="13"/>
      <c r="H23" s="21">
        <f>H12-H18</f>
        <v>84229</v>
      </c>
      <c r="I23" s="13"/>
      <c r="J23" s="19">
        <f>IF(H$12=0,0,H23/H$12)</f>
        <v>0.73999982428858846</v>
      </c>
      <c r="K23" s="16"/>
      <c r="L23" s="21">
        <f>+D23-H23</f>
        <v>-33761.870000000003</v>
      </c>
      <c r="M23" s="16"/>
      <c r="N23" s="19">
        <f>IF(H23=0,0,L23/H23)</f>
        <v>-0.40083427323130993</v>
      </c>
      <c r="O23" s="26"/>
      <c r="P23" s="21">
        <f>P12-P18</f>
        <v>387155.85000000009</v>
      </c>
      <c r="Q23" s="13"/>
      <c r="R23" s="19">
        <f>IF(P$12=0,0,P23/P$12)</f>
        <v>0.6318871846989349</v>
      </c>
      <c r="S23" s="13"/>
      <c r="T23" s="21">
        <f>T12-T18</f>
        <v>580389</v>
      </c>
      <c r="U23" s="13"/>
      <c r="V23" s="19">
        <f>IF(T$12=0,0,T23/T$12)</f>
        <v>0.73005456644955813</v>
      </c>
      <c r="W23" s="16"/>
      <c r="X23" s="21">
        <f>+P23-T23</f>
        <v>-193233.14999999991</v>
      </c>
      <c r="Y23" s="16"/>
      <c r="Z23" s="19">
        <f>IF(T23=0,0,X23/T23)</f>
        <v>-0.33293730584142689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9</v>
      </c>
      <c r="C25" s="10"/>
      <c r="D25" s="20">
        <f>SUM(OSRRefD22x_0)</f>
        <v>146486.13</v>
      </c>
      <c r="E25" s="20"/>
      <c r="F25" s="30">
        <f t="shared" ref="F25:F36" si="12">IF(D$12=0,0,D25/D$12)</f>
        <v>1.7217676246948128</v>
      </c>
      <c r="G25" s="20"/>
      <c r="H25" s="20">
        <f>SUM(OSRRefH22x_0)</f>
        <v>120565.79385951928</v>
      </c>
      <c r="I25" s="20"/>
      <c r="J25" s="30">
        <f t="shared" ref="J25:J36" si="13">IF(H$12=0,0,H25/H$12)</f>
        <v>1.0592392913516537</v>
      </c>
      <c r="K25" s="4"/>
      <c r="L25" s="20">
        <f t="shared" ref="L25:L36" si="14">+D25-H25</f>
        <v>25920.336140480722</v>
      </c>
      <c r="M25" s="4"/>
      <c r="N25" s="30">
        <f t="shared" ref="N25:N36" si="15">IF(H25=0,0,L25/H25)</f>
        <v>0.2149891383843294</v>
      </c>
      <c r="O25" s="10"/>
      <c r="P25" s="20">
        <f>SUM(OSRRefP22x_0)</f>
        <v>739505.34999999986</v>
      </c>
      <c r="Q25" s="20"/>
      <c r="R25" s="30">
        <f t="shared" ref="R25:R36" si="16">IF(P$12=0,0,P25/P$12)</f>
        <v>1.2069660155756405</v>
      </c>
      <c r="S25" s="20"/>
      <c r="T25" s="20">
        <f>SUM(OSRRefT22x_0)</f>
        <v>742366.97683175025</v>
      </c>
      <c r="U25" s="20"/>
      <c r="V25" s="30">
        <f t="shared" ref="V25:V36" si="17">IF(T$12=0,0,T25/T$12)</f>
        <v>0.9338019869731724</v>
      </c>
      <c r="W25" s="4"/>
      <c r="X25" s="20">
        <f t="shared" ref="X25:X36" si="18">+P25-T25</f>
        <v>-2861.6268317503855</v>
      </c>
      <c r="Y25" s="4"/>
      <c r="Z25" s="30">
        <f t="shared" ref="Z25:Z36" si="19">IF(T25=0,0,X25/T25)</f>
        <v>-3.8547334688338966E-3</v>
      </c>
    </row>
    <row r="26" spans="1:26" s="28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32282.43</v>
      </c>
      <c r="E26" s="1"/>
      <c r="F26" s="5">
        <f t="shared" si="12"/>
        <v>0.37944099431445533</v>
      </c>
      <c r="G26" s="1"/>
      <c r="H26" s="1">
        <f>SUM(OSRRefH22_0x_0)</f>
        <v>35123.770032980792</v>
      </c>
      <c r="I26" s="1"/>
      <c r="J26" s="5">
        <f t="shared" si="13"/>
        <v>0.3085823606211468</v>
      </c>
      <c r="K26" s="1"/>
      <c r="L26" s="1">
        <f t="shared" si="14"/>
        <v>-2841.3400329807919</v>
      </c>
      <c r="M26" s="1"/>
      <c r="N26" s="5">
        <f t="shared" si="15"/>
        <v>-8.0895075622941626E-2</v>
      </c>
      <c r="O26" s="14"/>
      <c r="P26" s="1">
        <f>SUM(OSRRefP22_0x_0)</f>
        <v>186364.59000000003</v>
      </c>
      <c r="Q26" s="1"/>
      <c r="R26" s="5">
        <f t="shared" si="16"/>
        <v>0.30417051970846176</v>
      </c>
      <c r="S26" s="1"/>
      <c r="T26" s="1">
        <f>SUM(OSRRefT22_0x_0)</f>
        <v>222665.39162675</v>
      </c>
      <c r="U26" s="1"/>
      <c r="V26" s="5">
        <f t="shared" si="17"/>
        <v>0.28008436746283621</v>
      </c>
      <c r="W26" s="1"/>
      <c r="X26" s="1">
        <f t="shared" si="18"/>
        <v>-36300.801626749977</v>
      </c>
      <c r="Y26" s="1"/>
      <c r="Z26" s="5">
        <f t="shared" si="19"/>
        <v>-0.16302848575408774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3279.27</v>
      </c>
      <c r="E27" s="2"/>
      <c r="F27" s="6">
        <f t="shared" si="12"/>
        <v>3.8543860218253831E-2</v>
      </c>
      <c r="G27" s="2"/>
      <c r="H27" s="7">
        <v>3171.7882047692301</v>
      </c>
      <c r="I27" s="2"/>
      <c r="J27" s="6">
        <f t="shared" si="13"/>
        <v>2.7865969134263112E-2</v>
      </c>
      <c r="K27" s="2"/>
      <c r="L27" s="7">
        <f t="shared" si="14"/>
        <v>107.48179523076988</v>
      </c>
      <c r="M27" s="2"/>
      <c r="N27" s="6">
        <f t="shared" si="15"/>
        <v>3.3886813460355221E-2</v>
      </c>
      <c r="O27" s="11"/>
      <c r="P27" s="7">
        <v>21652.09</v>
      </c>
      <c r="Q27" s="2"/>
      <c r="R27" s="6">
        <f t="shared" si="16"/>
        <v>3.5338942167470695E-2</v>
      </c>
      <c r="S27" s="2"/>
      <c r="T27" s="7">
        <v>21346.643001</v>
      </c>
      <c r="U27" s="2"/>
      <c r="V27" s="6">
        <f t="shared" si="17"/>
        <v>2.6851325923214514E-2</v>
      </c>
      <c r="W27" s="2"/>
      <c r="X27" s="7">
        <f t="shared" si="18"/>
        <v>305.44699899999978</v>
      </c>
      <c r="Y27" s="2"/>
      <c r="Z27" s="6">
        <f t="shared" si="19"/>
        <v>1.4308900888335972E-2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4448.62</v>
      </c>
      <c r="E28" s="2"/>
      <c r="F28" s="6">
        <f t="shared" si="12"/>
        <v>5.2288157865661669E-2</v>
      </c>
      <c r="G28" s="2"/>
      <c r="H28" s="7">
        <v>2594.5120030499997</v>
      </c>
      <c r="I28" s="2"/>
      <c r="J28" s="6">
        <f t="shared" si="13"/>
        <v>2.2794268320550325E-2</v>
      </c>
      <c r="K28" s="2"/>
      <c r="L28" s="7">
        <f t="shared" si="14"/>
        <v>1854.1079969500001</v>
      </c>
      <c r="M28" s="2"/>
      <c r="N28" s="6">
        <f t="shared" si="15"/>
        <v>0.71462687193984398</v>
      </c>
      <c r="O28" s="11"/>
      <c r="P28" s="7">
        <v>17190.75</v>
      </c>
      <c r="Q28" s="2"/>
      <c r="R28" s="6">
        <f t="shared" si="16"/>
        <v>2.8057472514914118E-2</v>
      </c>
      <c r="S28" s="2"/>
      <c r="T28" s="7">
        <v>15873.290711849999</v>
      </c>
      <c r="U28" s="2"/>
      <c r="V28" s="6">
        <f t="shared" si="17"/>
        <v>1.9966554102106428E-2</v>
      </c>
      <c r="W28" s="2"/>
      <c r="X28" s="7">
        <f t="shared" si="18"/>
        <v>1317.4592881500012</v>
      </c>
      <c r="Y28" s="2"/>
      <c r="Z28" s="6">
        <f t="shared" si="19"/>
        <v>8.2998498047192518E-2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>
        <v>17824.95</v>
      </c>
      <c r="E29" s="2"/>
      <c r="F29" s="6">
        <f t="shared" si="12"/>
        <v>0.20951076953021971</v>
      </c>
      <c r="G29" s="2"/>
      <c r="H29" s="7">
        <v>19569.615384615401</v>
      </c>
      <c r="I29" s="2"/>
      <c r="J29" s="6">
        <f t="shared" si="13"/>
        <v>0.17193023716309885</v>
      </c>
      <c r="K29" s="2"/>
      <c r="L29" s="7">
        <f t="shared" si="14"/>
        <v>-1744.6653846154004</v>
      </c>
      <c r="M29" s="2"/>
      <c r="N29" s="6">
        <f t="shared" si="15"/>
        <v>-8.9151746231403414E-2</v>
      </c>
      <c r="O29" s="11"/>
      <c r="P29" s="7">
        <v>103003.8</v>
      </c>
      <c r="Q29" s="2"/>
      <c r="R29" s="6">
        <f t="shared" si="16"/>
        <v>0.16811519494098343</v>
      </c>
      <c r="S29" s="2"/>
      <c r="T29" s="7">
        <v>123540</v>
      </c>
      <c r="U29" s="2"/>
      <c r="V29" s="6">
        <f t="shared" si="17"/>
        <v>0.15539739922565454</v>
      </c>
      <c r="W29" s="2"/>
      <c r="X29" s="7">
        <f t="shared" si="18"/>
        <v>-20536.199999999997</v>
      </c>
      <c r="Y29" s="2"/>
      <c r="Z29" s="6">
        <f t="shared" si="19"/>
        <v>-0.1662311801845556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/>
      <c r="E30" s="2"/>
      <c r="F30" s="6">
        <f t="shared" si="12"/>
        <v>0</v>
      </c>
      <c r="G30" s="2"/>
      <c r="H30" s="7">
        <v>157.2431517</v>
      </c>
      <c r="I30" s="2"/>
      <c r="J30" s="6">
        <f t="shared" si="13"/>
        <v>1.3814708073060806E-3</v>
      </c>
      <c r="K30" s="2"/>
      <c r="L30" s="7">
        <f t="shared" si="14"/>
        <v>-157.2431517</v>
      </c>
      <c r="M30" s="2"/>
      <c r="N30" s="6">
        <f t="shared" si="15"/>
        <v>-1</v>
      </c>
      <c r="O30" s="11"/>
      <c r="P30" s="7">
        <v>844.37</v>
      </c>
      <c r="Q30" s="2"/>
      <c r="R30" s="6">
        <f t="shared" si="16"/>
        <v>1.3781183524522219E-3</v>
      </c>
      <c r="S30" s="2"/>
      <c r="T30" s="7">
        <v>962.0176189</v>
      </c>
      <c r="U30" s="2"/>
      <c r="V30" s="6">
        <f t="shared" si="17"/>
        <v>1.2100941880064504E-3</v>
      </c>
      <c r="W30" s="2"/>
      <c r="X30" s="7">
        <f t="shared" si="18"/>
        <v>-117.6476189</v>
      </c>
      <c r="Y30" s="2"/>
      <c r="Z30" s="6">
        <f t="shared" si="19"/>
        <v>-0.12229258236925207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>
        <v>1457.5</v>
      </c>
      <c r="E31" s="2"/>
      <c r="F31" s="6">
        <f t="shared" si="12"/>
        <v>1.7131153051778279E-2</v>
      </c>
      <c r="G31" s="2"/>
      <c r="H31" s="7">
        <v>1778.4998461538501</v>
      </c>
      <c r="I31" s="2"/>
      <c r="J31" s="6">
        <f t="shared" si="13"/>
        <v>1.5625135922914087E-2</v>
      </c>
      <c r="K31" s="2"/>
      <c r="L31" s="7">
        <f t="shared" si="14"/>
        <v>-320.99984615385006</v>
      </c>
      <c r="M31" s="2"/>
      <c r="N31" s="6">
        <f t="shared" si="15"/>
        <v>-0.18048910538172844</v>
      </c>
      <c r="O31" s="11"/>
      <c r="P31" s="7">
        <v>9540.31</v>
      </c>
      <c r="Q31" s="2"/>
      <c r="R31" s="6">
        <f t="shared" si="16"/>
        <v>1.5570989375609575E-2</v>
      </c>
      <c r="S31" s="2"/>
      <c r="T31" s="7">
        <v>11560.24900000002</v>
      </c>
      <c r="U31" s="2"/>
      <c r="V31" s="6">
        <f t="shared" si="17"/>
        <v>1.4541303456378312E-2</v>
      </c>
      <c r="W31" s="2"/>
      <c r="X31" s="7">
        <f t="shared" si="18"/>
        <v>-2019.9390000000203</v>
      </c>
      <c r="Y31" s="2"/>
      <c r="Z31" s="6">
        <f t="shared" si="19"/>
        <v>-0.17473144393343229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7"/>
      <c r="E32" s="2"/>
      <c r="F32" s="6">
        <f t="shared" si="12"/>
        <v>0</v>
      </c>
      <c r="G32" s="2"/>
      <c r="H32" s="7">
        <v>0</v>
      </c>
      <c r="I32" s="2"/>
      <c r="J32" s="6">
        <f t="shared" si="13"/>
        <v>0</v>
      </c>
      <c r="K32" s="2"/>
      <c r="L32" s="7">
        <f t="shared" si="14"/>
        <v>0</v>
      </c>
      <c r="M32" s="2"/>
      <c r="N32" s="6">
        <f t="shared" si="15"/>
        <v>0</v>
      </c>
      <c r="O32" s="11"/>
      <c r="P32" s="7"/>
      <c r="Q32" s="2"/>
      <c r="R32" s="6">
        <f t="shared" si="16"/>
        <v>0</v>
      </c>
      <c r="S32" s="2"/>
      <c r="T32" s="7">
        <v>0</v>
      </c>
      <c r="U32" s="2"/>
      <c r="V32" s="6">
        <f t="shared" si="17"/>
        <v>0</v>
      </c>
      <c r="W32" s="2"/>
      <c r="X32" s="7">
        <f t="shared" si="18"/>
        <v>0</v>
      </c>
      <c r="Y32" s="2"/>
      <c r="Z32" s="6">
        <f t="shared" si="19"/>
        <v>0</v>
      </c>
    </row>
    <row r="33" spans="1:26" s="24" customFormat="1" hidden="1" outlineLevel="2" x14ac:dyDescent="0.25">
      <c r="A33" s="29"/>
      <c r="B33" s="11" t="str">
        <f>CONCATENATE("          ", "6117", " - ", "RETIREMENT STAFF HOURLY")</f>
        <v xml:space="preserve">          6117 - RETIREMENT STAFF HOURLY</v>
      </c>
      <c r="C33" s="11"/>
      <c r="D33" s="7">
        <v>427.63</v>
      </c>
      <c r="E33" s="2"/>
      <c r="F33" s="6">
        <f t="shared" si="12"/>
        <v>5.0262744284953311E-3</v>
      </c>
      <c r="G33" s="2"/>
      <c r="H33" s="7"/>
      <c r="I33" s="2"/>
      <c r="J33" s="6">
        <f t="shared" si="13"/>
        <v>0</v>
      </c>
      <c r="K33" s="2"/>
      <c r="L33" s="7">
        <f t="shared" si="14"/>
        <v>427.63</v>
      </c>
      <c r="M33" s="2"/>
      <c r="N33" s="6">
        <f t="shared" si="15"/>
        <v>0</v>
      </c>
      <c r="O33" s="11"/>
      <c r="P33" s="7">
        <v>3195.22</v>
      </c>
      <c r="Q33" s="2"/>
      <c r="R33" s="6">
        <f t="shared" si="16"/>
        <v>5.2150020987510081E-3</v>
      </c>
      <c r="S33" s="2"/>
      <c r="T33" s="7"/>
      <c r="U33" s="2"/>
      <c r="V33" s="6">
        <f t="shared" si="17"/>
        <v>0</v>
      </c>
      <c r="W33" s="2"/>
      <c r="X33" s="7">
        <f t="shared" si="18"/>
        <v>3195.22</v>
      </c>
      <c r="Y33" s="2"/>
      <c r="Z33" s="6">
        <f t="shared" si="19"/>
        <v>0</v>
      </c>
    </row>
    <row r="34" spans="1:26" s="24" customFormat="1" hidden="1" outlineLevel="2" x14ac:dyDescent="0.25">
      <c r="A34" s="29"/>
      <c r="B34" s="11" t="str">
        <f>CONCATENATE("          ", "6118", " - ", "VACATION")</f>
        <v xml:space="preserve">          6118 - VACATION</v>
      </c>
      <c r="C34" s="11"/>
      <c r="D34" s="7">
        <v>2606.96</v>
      </c>
      <c r="E34" s="2"/>
      <c r="F34" s="6">
        <f t="shared" si="12"/>
        <v>3.0641667759769401E-2</v>
      </c>
      <c r="G34" s="2"/>
      <c r="H34" s="7">
        <v>3283.8667692307704</v>
      </c>
      <c r="I34" s="2"/>
      <c r="J34" s="6">
        <f t="shared" si="13"/>
        <v>2.8850643272719665E-2</v>
      </c>
      <c r="K34" s="2"/>
      <c r="L34" s="7">
        <f t="shared" si="14"/>
        <v>-676.90676923077035</v>
      </c>
      <c r="M34" s="2"/>
      <c r="N34" s="6">
        <f t="shared" si="15"/>
        <v>-0.20613100859427755</v>
      </c>
      <c r="O34" s="11"/>
      <c r="P34" s="7">
        <v>16032.94</v>
      </c>
      <c r="Q34" s="2"/>
      <c r="R34" s="6">
        <f t="shared" si="16"/>
        <v>2.6167780543796353E-2</v>
      </c>
      <c r="S34" s="2"/>
      <c r="T34" s="7">
        <v>21345.134000000002</v>
      </c>
      <c r="U34" s="2"/>
      <c r="V34" s="6">
        <f t="shared" si="17"/>
        <v>2.6849427794423609E-2</v>
      </c>
      <c r="W34" s="2"/>
      <c r="X34" s="7">
        <f t="shared" si="18"/>
        <v>-5312.1940000000013</v>
      </c>
      <c r="Y34" s="2"/>
      <c r="Z34" s="6">
        <f t="shared" si="19"/>
        <v>-0.24887142896362238</v>
      </c>
    </row>
    <row r="35" spans="1:26" s="24" customFormat="1" hidden="1" outlineLevel="2" x14ac:dyDescent="0.25">
      <c r="A35" s="29"/>
      <c r="B35" s="11" t="str">
        <f>CONCATENATE("          ", "6119", " - ", "SICK LEAVE")</f>
        <v xml:space="preserve">          6119 - SICK LEAVE</v>
      </c>
      <c r="C35" s="11"/>
      <c r="D35" s="7">
        <v>1633.22</v>
      </c>
      <c r="E35" s="2"/>
      <c r="F35" s="6">
        <f t="shared" si="12"/>
        <v>1.9196529528113428E-2</v>
      </c>
      <c r="G35" s="2"/>
      <c r="H35" s="7">
        <v>2643.2446734615401</v>
      </c>
      <c r="I35" s="2"/>
      <c r="J35" s="6">
        <f t="shared" si="13"/>
        <v>2.3222412635948271E-2</v>
      </c>
      <c r="K35" s="2"/>
      <c r="L35" s="7">
        <f t="shared" si="14"/>
        <v>-1010.02467346154</v>
      </c>
      <c r="M35" s="2"/>
      <c r="N35" s="6">
        <f t="shared" si="15"/>
        <v>-0.38211546725216022</v>
      </c>
      <c r="O35" s="11"/>
      <c r="P35" s="7">
        <v>10065.76</v>
      </c>
      <c r="Q35" s="2"/>
      <c r="R35" s="6">
        <f t="shared" si="16"/>
        <v>1.642859005812556E-2</v>
      </c>
      <c r="S35" s="2"/>
      <c r="T35" s="7">
        <v>16488.057295000002</v>
      </c>
      <c r="U35" s="2"/>
      <c r="V35" s="6">
        <f t="shared" si="17"/>
        <v>2.073985123787098E-2</v>
      </c>
      <c r="W35" s="2"/>
      <c r="X35" s="7">
        <f t="shared" si="18"/>
        <v>-6422.2972950000021</v>
      </c>
      <c r="Y35" s="2"/>
      <c r="Z35" s="6">
        <f t="shared" si="19"/>
        <v>-0.38951206804379324</v>
      </c>
    </row>
    <row r="36" spans="1:26" s="24" customFormat="1" hidden="1" outlineLevel="2" x14ac:dyDescent="0.25">
      <c r="A36" s="29"/>
      <c r="B36" s="11" t="str">
        <f>CONCATENATE("          ", "6156", " - ", "EMPLOYEE MEALS")</f>
        <v xml:space="preserve">          6156 - EMPLOYEE MEALS</v>
      </c>
      <c r="C36" s="11"/>
      <c r="D36" s="7">
        <v>604.28</v>
      </c>
      <c r="E36" s="2"/>
      <c r="F36" s="6">
        <f t="shared" si="12"/>
        <v>7.1025819321636902E-3</v>
      </c>
      <c r="G36" s="2"/>
      <c r="H36" s="7">
        <v>1925</v>
      </c>
      <c r="I36" s="2"/>
      <c r="J36" s="6">
        <f t="shared" si="13"/>
        <v>1.6912223364346397E-2</v>
      </c>
      <c r="K36" s="2"/>
      <c r="L36" s="7">
        <f t="shared" si="14"/>
        <v>-1320.72</v>
      </c>
      <c r="M36" s="2"/>
      <c r="N36" s="6">
        <f t="shared" si="15"/>
        <v>-0.68608831168831175</v>
      </c>
      <c r="O36" s="11"/>
      <c r="P36" s="7">
        <v>4839.3500000000004</v>
      </c>
      <c r="Q36" s="2"/>
      <c r="R36" s="6">
        <f t="shared" si="16"/>
        <v>7.8984296563587766E-3</v>
      </c>
      <c r="S36" s="2"/>
      <c r="T36" s="7">
        <v>11550</v>
      </c>
      <c r="U36" s="2"/>
      <c r="V36" s="6">
        <f t="shared" si="17"/>
        <v>1.4528411535181397E-2</v>
      </c>
      <c r="W36" s="2"/>
      <c r="X36" s="7">
        <f t="shared" si="18"/>
        <v>-6710.65</v>
      </c>
      <c r="Y36" s="2"/>
      <c r="Z36" s="6">
        <f t="shared" si="19"/>
        <v>-0.58100865800865797</v>
      </c>
    </row>
    <row r="37" spans="1:26" s="28" customFormat="1" outlineLevel="1" collapsed="1" x14ac:dyDescent="0.2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49072.63</v>
      </c>
      <c r="E37" s="1"/>
      <c r="F37" s="5">
        <f t="shared" ref="F37:F47" si="20">IF(D$12=0,0,D37/D$12)</f>
        <v>0.57678952671237482</v>
      </c>
      <c r="G37" s="1"/>
      <c r="H37" s="1">
        <f>SUM(OSRRefH22_1x_0)</f>
        <v>54551.023826538498</v>
      </c>
      <c r="I37" s="1"/>
      <c r="J37" s="5">
        <f t="shared" ref="J37:J47" si="21">IF(H$12=0,0,H37/H$12)</f>
        <v>0.47926186997828646</v>
      </c>
      <c r="K37" s="1"/>
      <c r="L37" s="1">
        <f t="shared" ref="L37:L47" si="22">+D37-H37</f>
        <v>-5478.3938265385004</v>
      </c>
      <c r="M37" s="1"/>
      <c r="N37" s="5">
        <f t="shared" ref="N37:N47" si="23">IF(H37=0,0,L37/H37)</f>
        <v>-0.10042696620981327</v>
      </c>
      <c r="O37" s="14"/>
      <c r="P37" s="1">
        <f>SUM(OSRRefP22_1x_0)</f>
        <v>327947.03000000003</v>
      </c>
      <c r="Q37" s="1"/>
      <c r="R37" s="5">
        <f t="shared" ref="R37:R47" si="24">IF(P$12=0,0,P37/P$12)</f>
        <v>0.53525092160450927</v>
      </c>
      <c r="S37" s="1"/>
      <c r="T37" s="1">
        <f>SUM(OSRRefT22_1x_0)</f>
        <v>332173.58520500018</v>
      </c>
      <c r="U37" s="1"/>
      <c r="V37" s="5">
        <f t="shared" ref="V37:V47" si="25">IF(T$12=0,0,T37/T$12)</f>
        <v>0.41783156250864811</v>
      </c>
      <c r="W37" s="1"/>
      <c r="X37" s="1">
        <f t="shared" ref="X37:X47" si="26">+P37-T37</f>
        <v>-4226.555205000157</v>
      </c>
      <c r="Y37" s="1"/>
      <c r="Z37" s="5">
        <f t="shared" ref="Z37:Z47" si="27">IF(T37=0,0,X37/T37)</f>
        <v>-1.27239352954322E-2</v>
      </c>
    </row>
    <row r="38" spans="1:26" s="24" customFormat="1" hidden="1" outlineLevel="2" x14ac:dyDescent="0.25">
      <c r="A38" s="29"/>
      <c r="B38" s="11" t="str">
        <f>CONCATENATE("          ", "6001", " - ", "ADMINISTRATIVE SALARIES")</f>
        <v xml:space="preserve">          6001 - ADMINISTRATIVE SALARIES</v>
      </c>
      <c r="C38" s="11"/>
      <c r="D38" s="7"/>
      <c r="E38" s="2"/>
      <c r="F38" s="6">
        <f t="shared" si="20"/>
        <v>0</v>
      </c>
      <c r="G38" s="2"/>
      <c r="H38" s="7">
        <v>0</v>
      </c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0</v>
      </c>
      <c r="U38" s="2"/>
      <c r="V38" s="6">
        <f t="shared" si="25"/>
        <v>0</v>
      </c>
      <c r="W38" s="2"/>
      <c r="X38" s="7">
        <f t="shared" si="26"/>
        <v>0</v>
      </c>
      <c r="Y38" s="2"/>
      <c r="Z38" s="6">
        <f t="shared" si="27"/>
        <v>0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7">
        <v>14751.16</v>
      </c>
      <c r="E39" s="2"/>
      <c r="F39" s="6">
        <f t="shared" si="20"/>
        <v>0.17338207866296376</v>
      </c>
      <c r="G39" s="2"/>
      <c r="H39" s="7">
        <v>17815.8884615385</v>
      </c>
      <c r="I39" s="2"/>
      <c r="J39" s="6">
        <f t="shared" si="21"/>
        <v>0.15652274550432249</v>
      </c>
      <c r="K39" s="2"/>
      <c r="L39" s="7">
        <f t="shared" si="22"/>
        <v>-3064.7284615384997</v>
      </c>
      <c r="M39" s="2"/>
      <c r="N39" s="6">
        <f t="shared" si="23"/>
        <v>-0.1720222074893841</v>
      </c>
      <c r="O39" s="11"/>
      <c r="P39" s="7">
        <v>88495.23</v>
      </c>
      <c r="Q39" s="2"/>
      <c r="R39" s="6">
        <f t="shared" si="24"/>
        <v>0.14443537852775495</v>
      </c>
      <c r="S39" s="2"/>
      <c r="T39" s="7">
        <v>115803.2750000002</v>
      </c>
      <c r="U39" s="2"/>
      <c r="V39" s="6">
        <f t="shared" si="25"/>
        <v>0.1456655962183365</v>
      </c>
      <c r="W39" s="2"/>
      <c r="X39" s="7">
        <f t="shared" si="26"/>
        <v>-27308.045000000202</v>
      </c>
      <c r="Y39" s="2"/>
      <c r="Z39" s="6">
        <f t="shared" si="27"/>
        <v>-0.23581409938535983</v>
      </c>
    </row>
    <row r="40" spans="1:26" s="24" customFormat="1" hidden="1" outlineLevel="2" x14ac:dyDescent="0.25">
      <c r="A40" s="29"/>
      <c r="B40" s="11" t="str">
        <f>CONCATENATE("          ", "6003", " - ", "STAFF HOURLY-9 MONTH")</f>
        <v xml:space="preserve">          6003 - STAFF HOURLY-9 MONTH</v>
      </c>
      <c r="C40" s="11"/>
      <c r="D40" s="7"/>
      <c r="E40" s="2"/>
      <c r="F40" s="6">
        <f t="shared" si="20"/>
        <v>0</v>
      </c>
      <c r="G40" s="2"/>
      <c r="H40" s="7">
        <v>0</v>
      </c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/>
      <c r="Q40" s="2"/>
      <c r="R40" s="6">
        <f t="shared" si="24"/>
        <v>0</v>
      </c>
      <c r="S40" s="2"/>
      <c r="T40" s="7">
        <v>0</v>
      </c>
      <c r="U40" s="2"/>
      <c r="V40" s="6">
        <f t="shared" si="25"/>
        <v>0</v>
      </c>
      <c r="W40" s="2"/>
      <c r="X40" s="7">
        <f t="shared" si="26"/>
        <v>0</v>
      </c>
      <c r="Y40" s="2"/>
      <c r="Z40" s="6">
        <f t="shared" si="27"/>
        <v>0</v>
      </c>
    </row>
    <row r="41" spans="1:26" s="24" customFormat="1" hidden="1" outlineLevel="2" x14ac:dyDescent="0.25">
      <c r="A41" s="29"/>
      <c r="B41" s="11" t="str">
        <f>CONCATENATE("          ", "6004", " - ", "STAFF HOURLY")</f>
        <v xml:space="preserve">          6004 - STAFF HOURLY</v>
      </c>
      <c r="C41" s="11"/>
      <c r="D41" s="7">
        <v>10936.34</v>
      </c>
      <c r="E41" s="2"/>
      <c r="F41" s="6">
        <f t="shared" si="20"/>
        <v>0.12854347469384897</v>
      </c>
      <c r="G41" s="2"/>
      <c r="H41" s="7">
        <v>18273.024000000001</v>
      </c>
      <c r="I41" s="2"/>
      <c r="J41" s="6">
        <f t="shared" si="21"/>
        <v>0.16053894204159092</v>
      </c>
      <c r="K41" s="2"/>
      <c r="L41" s="7">
        <f t="shared" si="22"/>
        <v>-7336.6840000000011</v>
      </c>
      <c r="M41" s="2"/>
      <c r="N41" s="6">
        <f t="shared" si="23"/>
        <v>-0.40150354971350122</v>
      </c>
      <c r="O41" s="11"/>
      <c r="P41" s="7">
        <v>97519.76</v>
      </c>
      <c r="Q41" s="2"/>
      <c r="R41" s="6">
        <f t="shared" si="24"/>
        <v>0.15916454988066381</v>
      </c>
      <c r="S41" s="2"/>
      <c r="T41" s="7">
        <v>118774.656</v>
      </c>
      <c r="U41" s="2"/>
      <c r="V41" s="6">
        <f t="shared" si="25"/>
        <v>0.14940321059026862</v>
      </c>
      <c r="W41" s="2"/>
      <c r="X41" s="7">
        <f t="shared" si="26"/>
        <v>-21254.896000000008</v>
      </c>
      <c r="Y41" s="2"/>
      <c r="Z41" s="6">
        <f t="shared" si="27"/>
        <v>-0.17895144230095691</v>
      </c>
    </row>
    <row r="42" spans="1:26" s="24" customFormat="1" hidden="1" outlineLevel="2" x14ac:dyDescent="0.25">
      <c r="A42" s="29"/>
      <c r="B42" s="11" t="str">
        <f>CONCATENATE("          ", "6005", " - ", "TEMPORARY WAGES-HOURLY")</f>
        <v xml:space="preserve">          6005 - TEMPORARY WAGES-HOURLY</v>
      </c>
      <c r="C42" s="11"/>
      <c r="D42" s="7">
        <v>11620.64</v>
      </c>
      <c r="E42" s="2"/>
      <c r="F42" s="6">
        <f t="shared" si="20"/>
        <v>0.13658659512838198</v>
      </c>
      <c r="G42" s="2"/>
      <c r="H42" s="7">
        <v>5260.4113649999999</v>
      </c>
      <c r="I42" s="2"/>
      <c r="J42" s="6">
        <f t="shared" si="21"/>
        <v>4.6215715321156529E-2</v>
      </c>
      <c r="K42" s="2"/>
      <c r="L42" s="7">
        <f t="shared" si="22"/>
        <v>6360.2286349999995</v>
      </c>
      <c r="M42" s="2"/>
      <c r="N42" s="6">
        <f t="shared" si="23"/>
        <v>1.2090743848128691</v>
      </c>
      <c r="O42" s="11"/>
      <c r="P42" s="7">
        <v>62163.73</v>
      </c>
      <c r="Q42" s="2"/>
      <c r="R42" s="6">
        <f t="shared" si="24"/>
        <v>0.10145904895944285</v>
      </c>
      <c r="S42" s="2"/>
      <c r="T42" s="7">
        <v>29091.344205000001</v>
      </c>
      <c r="U42" s="2"/>
      <c r="V42" s="6">
        <f t="shared" si="25"/>
        <v>3.6593161967260132E-2</v>
      </c>
      <c r="W42" s="2"/>
      <c r="X42" s="7">
        <f t="shared" si="26"/>
        <v>33072.385795000002</v>
      </c>
      <c r="Y42" s="2"/>
      <c r="Z42" s="6">
        <f t="shared" si="27"/>
        <v>1.1368462578403569</v>
      </c>
    </row>
    <row r="43" spans="1:26" s="24" customFormat="1" hidden="1" outlineLevel="2" x14ac:dyDescent="0.25">
      <c r="A43" s="29"/>
      <c r="B43" s="11" t="str">
        <f>CONCATENATE("          ", "6006", " - ", "TEMPORARY PART TIME")</f>
        <v xml:space="preserve">          6006 - TEMPORARY PART TIME</v>
      </c>
      <c r="C43" s="11"/>
      <c r="D43" s="7"/>
      <c r="E43" s="2"/>
      <c r="F43" s="6">
        <f t="shared" si="20"/>
        <v>0</v>
      </c>
      <c r="G43" s="2"/>
      <c r="H43" s="7">
        <v>0</v>
      </c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0</v>
      </c>
      <c r="U43" s="2"/>
      <c r="V43" s="6">
        <f t="shared" si="25"/>
        <v>0</v>
      </c>
      <c r="W43" s="2"/>
      <c r="X43" s="7">
        <f t="shared" si="26"/>
        <v>0</v>
      </c>
      <c r="Y43" s="2"/>
      <c r="Z43" s="6">
        <f t="shared" si="27"/>
        <v>0</v>
      </c>
    </row>
    <row r="44" spans="1:26" s="24" customFormat="1" hidden="1" outlineLevel="2" x14ac:dyDescent="0.25">
      <c r="A44" s="29"/>
      <c r="B44" s="11" t="str">
        <f>CONCATENATE("          ", "6007", " - ", "STUDENT HOURLY")</f>
        <v xml:space="preserve">          6007 - STUDENT HOURLY</v>
      </c>
      <c r="C44" s="11"/>
      <c r="D44" s="7">
        <v>10668.46</v>
      </c>
      <c r="E44" s="2"/>
      <c r="F44" s="6">
        <f t="shared" si="20"/>
        <v>0.12539486867017116</v>
      </c>
      <c r="G44" s="2"/>
      <c r="H44" s="7">
        <v>0</v>
      </c>
      <c r="I44" s="2"/>
      <c r="J44" s="6">
        <f t="shared" si="21"/>
        <v>0</v>
      </c>
      <c r="K44" s="2"/>
      <c r="L44" s="7">
        <f t="shared" si="22"/>
        <v>10668.46</v>
      </c>
      <c r="M44" s="2"/>
      <c r="N44" s="6">
        <f t="shared" si="23"/>
        <v>0</v>
      </c>
      <c r="O44" s="11"/>
      <c r="P44" s="7">
        <v>69137.430000000008</v>
      </c>
      <c r="Q44" s="2"/>
      <c r="R44" s="6">
        <f t="shared" si="24"/>
        <v>0.11284100705186213</v>
      </c>
      <c r="S44" s="2"/>
      <c r="T44" s="7">
        <v>9252.83</v>
      </c>
      <c r="U44" s="2"/>
      <c r="V44" s="6">
        <f t="shared" si="25"/>
        <v>1.1638867714724891E-2</v>
      </c>
      <c r="W44" s="2"/>
      <c r="X44" s="7">
        <f t="shared" si="26"/>
        <v>59884.600000000006</v>
      </c>
      <c r="Y44" s="2"/>
      <c r="Z44" s="6">
        <f t="shared" si="27"/>
        <v>6.4720307192502196</v>
      </c>
    </row>
    <row r="45" spans="1:26" s="24" customFormat="1" hidden="1" outlineLevel="2" x14ac:dyDescent="0.25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7">
        <v>1096.03</v>
      </c>
      <c r="E45" s="2"/>
      <c r="F45" s="6">
        <f t="shared" si="20"/>
        <v>1.2882509557008951E-2</v>
      </c>
      <c r="G45" s="2"/>
      <c r="H45" s="7">
        <v>13201.7</v>
      </c>
      <c r="I45" s="2"/>
      <c r="J45" s="6">
        <f t="shared" si="21"/>
        <v>0.11598446711121654</v>
      </c>
      <c r="K45" s="2"/>
      <c r="L45" s="7">
        <f t="shared" si="22"/>
        <v>-12105.67</v>
      </c>
      <c r="M45" s="2"/>
      <c r="N45" s="6">
        <f t="shared" si="23"/>
        <v>-0.91697811645469895</v>
      </c>
      <c r="O45" s="11"/>
      <c r="P45" s="7">
        <v>10630.88</v>
      </c>
      <c r="Q45" s="2"/>
      <c r="R45" s="6">
        <f t="shared" si="24"/>
        <v>1.7350937184785434E-2</v>
      </c>
      <c r="S45" s="2"/>
      <c r="T45" s="7">
        <v>59251.48</v>
      </c>
      <c r="U45" s="2"/>
      <c r="V45" s="6">
        <f t="shared" si="25"/>
        <v>7.4530726018058005E-2</v>
      </c>
      <c r="W45" s="2"/>
      <c r="X45" s="7">
        <f t="shared" si="26"/>
        <v>-48620.600000000006</v>
      </c>
      <c r="Y45" s="2"/>
      <c r="Z45" s="6">
        <f t="shared" si="27"/>
        <v>-0.82058034668501112</v>
      </c>
    </row>
    <row r="46" spans="1:26" s="24" customFormat="1" hidden="1" outlineLevel="2" x14ac:dyDescent="0.25">
      <c r="A46" s="29"/>
      <c r="B46" s="11" t="str">
        <f>CONCATENATE("          ", "6009", " - ", "TEMPORARY-SEASONAL")</f>
        <v xml:space="preserve">          6009 - TEMPORARY-SEASONAL</v>
      </c>
      <c r="C46" s="11"/>
      <c r="D46" s="7"/>
      <c r="E46" s="2"/>
      <c r="F46" s="6">
        <f t="shared" si="20"/>
        <v>0</v>
      </c>
      <c r="G46" s="2"/>
      <c r="H46" s="7">
        <v>0</v>
      </c>
      <c r="I46" s="2"/>
      <c r="J46" s="6">
        <f t="shared" si="21"/>
        <v>0</v>
      </c>
      <c r="K46" s="2"/>
      <c r="L46" s="7">
        <f t="shared" si="22"/>
        <v>0</v>
      </c>
      <c r="M46" s="2"/>
      <c r="N46" s="6">
        <f t="shared" si="23"/>
        <v>0</v>
      </c>
      <c r="O46" s="11"/>
      <c r="P46" s="7"/>
      <c r="Q46" s="2"/>
      <c r="R46" s="6">
        <f t="shared" si="24"/>
        <v>0</v>
      </c>
      <c r="S46" s="2"/>
      <c r="T46" s="7">
        <v>0</v>
      </c>
      <c r="U46" s="2"/>
      <c r="V46" s="6">
        <f t="shared" si="25"/>
        <v>0</v>
      </c>
      <c r="W46" s="2"/>
      <c r="X46" s="7">
        <f t="shared" si="26"/>
        <v>0</v>
      </c>
      <c r="Y46" s="2"/>
      <c r="Z46" s="6">
        <f t="shared" si="27"/>
        <v>0</v>
      </c>
    </row>
    <row r="47" spans="1:26" s="24" customFormat="1" hidden="1" outlineLevel="2" x14ac:dyDescent="0.25">
      <c r="A47" s="29"/>
      <c r="B47" s="11" t="str">
        <f>CONCATENATE("          ", "6010", " - ", "GRATUITY")</f>
        <v xml:space="preserve">          6010 - GRATUITY</v>
      </c>
      <c r="C47" s="11"/>
      <c r="D47" s="7"/>
      <c r="E47" s="2"/>
      <c r="F47" s="6">
        <f t="shared" si="20"/>
        <v>0</v>
      </c>
      <c r="G47" s="2"/>
      <c r="H47" s="7">
        <v>0</v>
      </c>
      <c r="I47" s="2"/>
      <c r="J47" s="6">
        <f t="shared" si="21"/>
        <v>0</v>
      </c>
      <c r="K47" s="2"/>
      <c r="L47" s="7">
        <f t="shared" si="22"/>
        <v>0</v>
      </c>
      <c r="M47" s="2"/>
      <c r="N47" s="6">
        <f t="shared" si="23"/>
        <v>0</v>
      </c>
      <c r="O47" s="11"/>
      <c r="P47" s="7"/>
      <c r="Q47" s="2"/>
      <c r="R47" s="6">
        <f t="shared" si="24"/>
        <v>0</v>
      </c>
      <c r="S47" s="2"/>
      <c r="T47" s="7">
        <v>0</v>
      </c>
      <c r="U47" s="2"/>
      <c r="V47" s="6">
        <f t="shared" si="25"/>
        <v>0</v>
      </c>
      <c r="W47" s="2"/>
      <c r="X47" s="7">
        <f t="shared" si="26"/>
        <v>0</v>
      </c>
      <c r="Y47" s="2"/>
      <c r="Z47" s="6">
        <f t="shared" si="27"/>
        <v>0</v>
      </c>
    </row>
    <row r="48" spans="1:26" s="28" customFormat="1" outlineLevel="1" collapsed="1" x14ac:dyDescent="0.2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70" si="28">IF(D$12=0,0,D48/D$12)</f>
        <v>0</v>
      </c>
      <c r="G48" s="1"/>
      <c r="H48" s="1">
        <f>SUM(OSRRefH22_2x_0)</f>
        <v>369</v>
      </c>
      <c r="I48" s="1"/>
      <c r="J48" s="5">
        <f t="shared" ref="J48:J70" si="29">IF(H$12=0,0,H48/H$12)</f>
        <v>3.2418755436071796E-3</v>
      </c>
      <c r="K48" s="1"/>
      <c r="L48" s="1">
        <f t="shared" ref="L48:L70" si="30">+D48-H48</f>
        <v>-369</v>
      </c>
      <c r="M48" s="1"/>
      <c r="N48" s="5">
        <f t="shared" ref="N48:N70" si="31">IF(H48=0,0,L48/H48)</f>
        <v>-1</v>
      </c>
      <c r="O48" s="14"/>
      <c r="P48" s="1">
        <f>SUM(OSRRefP22_2x_0)</f>
        <v>1224.25</v>
      </c>
      <c r="Q48" s="1"/>
      <c r="R48" s="5">
        <f t="shared" ref="R48:R70" si="32">IF(P$12=0,0,P48/P$12)</f>
        <v>1.9981304321442408E-3</v>
      </c>
      <c r="S48" s="1"/>
      <c r="T48" s="1">
        <f>SUM(OSRRefT22_2x_0)</f>
        <v>2214</v>
      </c>
      <c r="U48" s="1"/>
      <c r="V48" s="5">
        <f t="shared" ref="V48:V70" si="33">IF(T$12=0,0,T48/T$12)</f>
        <v>2.7849266786919148E-3</v>
      </c>
      <c r="W48" s="1"/>
      <c r="X48" s="1">
        <f t="shared" ref="X48:X70" si="34">+P48-T48</f>
        <v>-989.75</v>
      </c>
      <c r="Y48" s="1"/>
      <c r="Z48" s="5">
        <f t="shared" ref="Z48:Z70" si="35">IF(T48=0,0,X48/T48)</f>
        <v>-0.44704155374887083</v>
      </c>
    </row>
    <row r="49" spans="1:26" s="24" customFormat="1" hidden="1" outlineLevel="2" x14ac:dyDescent="0.25">
      <c r="A49" s="29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28"/>
        <v>0</v>
      </c>
      <c r="G49" s="2"/>
      <c r="H49" s="7">
        <v>369</v>
      </c>
      <c r="I49" s="2"/>
      <c r="J49" s="6">
        <f t="shared" si="29"/>
        <v>3.2418755436071796E-3</v>
      </c>
      <c r="K49" s="2"/>
      <c r="L49" s="7">
        <f t="shared" si="30"/>
        <v>-369</v>
      </c>
      <c r="M49" s="2"/>
      <c r="N49" s="6">
        <f t="shared" si="31"/>
        <v>-1</v>
      </c>
      <c r="O49" s="11"/>
      <c r="P49" s="7">
        <v>1224.25</v>
      </c>
      <c r="Q49" s="2"/>
      <c r="R49" s="6">
        <f t="shared" si="32"/>
        <v>1.9981304321442408E-3</v>
      </c>
      <c r="S49" s="2"/>
      <c r="T49" s="7">
        <v>2214</v>
      </c>
      <c r="U49" s="2"/>
      <c r="V49" s="6">
        <f t="shared" si="33"/>
        <v>2.7849266786919148E-3</v>
      </c>
      <c r="W49" s="2"/>
      <c r="X49" s="7">
        <f t="shared" si="34"/>
        <v>-989.75</v>
      </c>
      <c r="Y49" s="2"/>
      <c r="Z49" s="6">
        <f t="shared" si="35"/>
        <v>-0.44704155374887083</v>
      </c>
    </row>
    <row r="50" spans="1:26" s="28" customFormat="1" outlineLevel="1" collapsed="1" x14ac:dyDescent="0.2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8</v>
      </c>
      <c r="I50" s="1"/>
      <c r="J50" s="5">
        <f t="shared" si="29"/>
        <v>7.0284564631049957E-5</v>
      </c>
      <c r="K50" s="1"/>
      <c r="L50" s="1">
        <f t="shared" si="30"/>
        <v>-8</v>
      </c>
      <c r="M50" s="1"/>
      <c r="N50" s="5">
        <f t="shared" si="31"/>
        <v>-1</v>
      </c>
      <c r="O50" s="14"/>
      <c r="P50" s="1">
        <f>SUM(OSRRefP22_3x_0)</f>
        <v>40</v>
      </c>
      <c r="Q50" s="1"/>
      <c r="R50" s="5">
        <f t="shared" si="32"/>
        <v>6.5285045771508785E-5</v>
      </c>
      <c r="S50" s="1"/>
      <c r="T50" s="1">
        <f>SUM(OSRRefT22_3x_0)</f>
        <v>40</v>
      </c>
      <c r="U50" s="1"/>
      <c r="V50" s="5">
        <f t="shared" si="33"/>
        <v>5.031484514348536E-5</v>
      </c>
      <c r="W50" s="1"/>
      <c r="X50" s="1">
        <f t="shared" si="34"/>
        <v>0</v>
      </c>
      <c r="Y50" s="1"/>
      <c r="Z50" s="5">
        <f t="shared" si="35"/>
        <v>0</v>
      </c>
    </row>
    <row r="51" spans="1:26" s="24" customFormat="1" hidden="1" outlineLevel="2" x14ac:dyDescent="0.25">
      <c r="A51" s="29"/>
      <c r="B51" s="11" t="str">
        <f>CONCATENATE("          ", "6272", " - ", "CASH (OVER/SHORT)")</f>
        <v xml:space="preserve">          6272 - CASH (OVER/SHORT)</v>
      </c>
      <c r="C51" s="11"/>
      <c r="D51" s="7"/>
      <c r="E51" s="2"/>
      <c r="F51" s="6">
        <f t="shared" si="28"/>
        <v>0</v>
      </c>
      <c r="G51" s="2"/>
      <c r="H51" s="7">
        <v>8</v>
      </c>
      <c r="I51" s="2"/>
      <c r="J51" s="6">
        <f t="shared" si="29"/>
        <v>7.0284564631049957E-5</v>
      </c>
      <c r="K51" s="2"/>
      <c r="L51" s="7">
        <f t="shared" si="30"/>
        <v>-8</v>
      </c>
      <c r="M51" s="2"/>
      <c r="N51" s="6">
        <f t="shared" si="31"/>
        <v>-1</v>
      </c>
      <c r="O51" s="11"/>
      <c r="P51" s="7">
        <v>40</v>
      </c>
      <c r="Q51" s="2"/>
      <c r="R51" s="6">
        <f t="shared" si="32"/>
        <v>6.5285045771508785E-5</v>
      </c>
      <c r="S51" s="2"/>
      <c r="T51" s="7">
        <v>40</v>
      </c>
      <c r="U51" s="2"/>
      <c r="V51" s="6">
        <f t="shared" si="33"/>
        <v>5.031484514348536E-5</v>
      </c>
      <c r="W51" s="2"/>
      <c r="X51" s="7">
        <f t="shared" si="34"/>
        <v>0</v>
      </c>
      <c r="Y51" s="2"/>
      <c r="Z51" s="6">
        <f t="shared" si="35"/>
        <v>0</v>
      </c>
    </row>
    <row r="52" spans="1:26" s="28" customFormat="1" outlineLevel="1" collapsed="1" x14ac:dyDescent="0.2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25.03</v>
      </c>
      <c r="E52" s="1"/>
      <c r="F52" s="5">
        <f t="shared" si="28"/>
        <v>2.9419743457016149E-4</v>
      </c>
      <c r="G52" s="1"/>
      <c r="H52" s="1">
        <f>SUM(OSRRefH22_4x_0)</f>
        <v>135</v>
      </c>
      <c r="I52" s="1"/>
      <c r="J52" s="5">
        <f t="shared" si="29"/>
        <v>1.1860520281489681E-3</v>
      </c>
      <c r="K52" s="1"/>
      <c r="L52" s="1">
        <f t="shared" si="30"/>
        <v>-109.97</v>
      </c>
      <c r="M52" s="1"/>
      <c r="N52" s="5">
        <f t="shared" si="31"/>
        <v>-0.81459259259259253</v>
      </c>
      <c r="O52" s="14"/>
      <c r="P52" s="1">
        <f>SUM(OSRRefP22_4x_0)</f>
        <v>35.200000000000003</v>
      </c>
      <c r="Q52" s="1"/>
      <c r="R52" s="5">
        <f t="shared" si="32"/>
        <v>5.7450840278927745E-5</v>
      </c>
      <c r="S52" s="1"/>
      <c r="T52" s="1">
        <f>SUM(OSRRefT22_4x_0)</f>
        <v>810</v>
      </c>
      <c r="U52" s="1"/>
      <c r="V52" s="5">
        <f t="shared" si="33"/>
        <v>1.0188756141555786E-3</v>
      </c>
      <c r="W52" s="1"/>
      <c r="X52" s="1">
        <f t="shared" si="34"/>
        <v>-774.8</v>
      </c>
      <c r="Y52" s="1"/>
      <c r="Z52" s="5">
        <f t="shared" si="35"/>
        <v>-0.95654320987654318</v>
      </c>
    </row>
    <row r="53" spans="1:26" s="24" customFormat="1" hidden="1" outlineLevel="2" x14ac:dyDescent="0.25">
      <c r="A53" s="29"/>
      <c r="B53" s="11" t="str">
        <f>CONCATENATE("          ", "6381", " - ", "BANK/CREDIT CARD FEES")</f>
        <v xml:space="preserve">          6381 - BANK/CREDIT CARD FEES</v>
      </c>
      <c r="C53" s="11"/>
      <c r="D53" s="7">
        <v>25.03</v>
      </c>
      <c r="E53" s="2"/>
      <c r="F53" s="6">
        <f t="shared" si="28"/>
        <v>2.9419743457016149E-4</v>
      </c>
      <c r="G53" s="2"/>
      <c r="H53" s="7">
        <v>135</v>
      </c>
      <c r="I53" s="2"/>
      <c r="J53" s="6">
        <f t="shared" si="29"/>
        <v>1.1860520281489681E-3</v>
      </c>
      <c r="K53" s="2"/>
      <c r="L53" s="7">
        <f t="shared" si="30"/>
        <v>-109.97</v>
      </c>
      <c r="M53" s="2"/>
      <c r="N53" s="6">
        <f t="shared" si="31"/>
        <v>-0.81459259259259253</v>
      </c>
      <c r="O53" s="11"/>
      <c r="P53" s="7">
        <v>35.200000000000003</v>
      </c>
      <c r="Q53" s="2"/>
      <c r="R53" s="6">
        <f t="shared" si="32"/>
        <v>5.7450840278927745E-5</v>
      </c>
      <c r="S53" s="2"/>
      <c r="T53" s="7">
        <v>810</v>
      </c>
      <c r="U53" s="2"/>
      <c r="V53" s="6">
        <f t="shared" si="33"/>
        <v>1.0188756141555786E-3</v>
      </c>
      <c r="W53" s="2"/>
      <c r="X53" s="7">
        <f t="shared" si="34"/>
        <v>-774.8</v>
      </c>
      <c r="Y53" s="2"/>
      <c r="Z53" s="6">
        <f t="shared" si="35"/>
        <v>-0.95654320987654318</v>
      </c>
    </row>
    <row r="54" spans="1:26" s="28" customFormat="1" outlineLevel="1" collapsed="1" x14ac:dyDescent="0.2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272.74</v>
      </c>
      <c r="E54" s="1"/>
      <c r="F54" s="5">
        <f t="shared" si="28"/>
        <v>3.2057294568384274E-3</v>
      </c>
      <c r="G54" s="1"/>
      <c r="H54" s="1">
        <f>SUM(OSRRefH22_5x_0)</f>
        <v>0</v>
      </c>
      <c r="I54" s="1"/>
      <c r="J54" s="5">
        <f t="shared" si="29"/>
        <v>0</v>
      </c>
      <c r="K54" s="1"/>
      <c r="L54" s="1">
        <f t="shared" si="30"/>
        <v>272.74</v>
      </c>
      <c r="M54" s="1"/>
      <c r="N54" s="5">
        <f t="shared" si="31"/>
        <v>0</v>
      </c>
      <c r="O54" s="14"/>
      <c r="P54" s="1">
        <f>SUM(OSRRefP22_5x_0)</f>
        <v>1372.22</v>
      </c>
      <c r="Q54" s="1"/>
      <c r="R54" s="5">
        <f t="shared" si="32"/>
        <v>2.2396361377144949E-3</v>
      </c>
      <c r="S54" s="1"/>
      <c r="T54" s="1">
        <f>SUM(OSRRefT22_5x_0)</f>
        <v>0</v>
      </c>
      <c r="U54" s="1"/>
      <c r="V54" s="5">
        <f t="shared" si="33"/>
        <v>0</v>
      </c>
      <c r="W54" s="1"/>
      <c r="X54" s="1">
        <f t="shared" si="34"/>
        <v>1372.22</v>
      </c>
      <c r="Y54" s="1"/>
      <c r="Z54" s="5">
        <f t="shared" si="35"/>
        <v>0</v>
      </c>
    </row>
    <row r="55" spans="1:26" s="24" customFormat="1" hidden="1" outlineLevel="2" x14ac:dyDescent="0.25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7">
        <v>272.74</v>
      </c>
      <c r="E55" s="2"/>
      <c r="F55" s="6">
        <f t="shared" si="28"/>
        <v>3.2057294568384274E-3</v>
      </c>
      <c r="G55" s="2"/>
      <c r="H55" s="7"/>
      <c r="I55" s="2"/>
      <c r="J55" s="6">
        <f t="shared" si="29"/>
        <v>0</v>
      </c>
      <c r="K55" s="2"/>
      <c r="L55" s="7">
        <f t="shared" si="30"/>
        <v>272.74</v>
      </c>
      <c r="M55" s="2"/>
      <c r="N55" s="6">
        <f t="shared" si="31"/>
        <v>0</v>
      </c>
      <c r="O55" s="11"/>
      <c r="P55" s="7">
        <v>1372.22</v>
      </c>
      <c r="Q55" s="2"/>
      <c r="R55" s="6">
        <f t="shared" si="32"/>
        <v>2.2396361377144949E-3</v>
      </c>
      <c r="S55" s="2"/>
      <c r="T55" s="7"/>
      <c r="U55" s="2"/>
      <c r="V55" s="6">
        <f t="shared" si="33"/>
        <v>0</v>
      </c>
      <c r="W55" s="2"/>
      <c r="X55" s="7">
        <f t="shared" si="34"/>
        <v>1372.22</v>
      </c>
      <c r="Y55" s="2"/>
      <c r="Z55" s="6">
        <f t="shared" si="35"/>
        <v>0</v>
      </c>
    </row>
    <row r="56" spans="1:26" s="28" customFormat="1" outlineLevel="1" collapsed="1" x14ac:dyDescent="0.25">
      <c r="A56" s="27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6666.05</v>
      </c>
      <c r="E56" s="1"/>
      <c r="F56" s="5">
        <f t="shared" si="28"/>
        <v>7.8351370703812415E-2</v>
      </c>
      <c r="G56" s="1"/>
      <c r="H56" s="1">
        <f>SUM(OSRRefH22_6x_0)</f>
        <v>3100</v>
      </c>
      <c r="I56" s="1"/>
      <c r="J56" s="5">
        <f t="shared" si="29"/>
        <v>2.723526879453186E-2</v>
      </c>
      <c r="K56" s="1"/>
      <c r="L56" s="1">
        <f t="shared" si="30"/>
        <v>3566.05</v>
      </c>
      <c r="M56" s="1"/>
      <c r="N56" s="5">
        <f t="shared" si="31"/>
        <v>1.1503387096774194</v>
      </c>
      <c r="O56" s="14"/>
      <c r="P56" s="1">
        <f>SUM(OSRRefP22_6x_0)</f>
        <v>36822.009999999995</v>
      </c>
      <c r="Q56" s="1"/>
      <c r="R56" s="5">
        <f t="shared" si="32"/>
        <v>6.0098165206223852E-2</v>
      </c>
      <c r="S56" s="1"/>
      <c r="T56" s="1">
        <f>SUM(OSRRefT22_6x_0)</f>
        <v>17500</v>
      </c>
      <c r="U56" s="1"/>
      <c r="V56" s="5">
        <f t="shared" si="33"/>
        <v>2.2012744750274846E-2</v>
      </c>
      <c r="W56" s="1"/>
      <c r="X56" s="1">
        <f t="shared" si="34"/>
        <v>19322.009999999995</v>
      </c>
      <c r="Y56" s="1"/>
      <c r="Z56" s="5">
        <f t="shared" si="35"/>
        <v>1.104114857142857</v>
      </c>
    </row>
    <row r="57" spans="1:26" s="24" customFormat="1" hidden="1" outlineLevel="2" x14ac:dyDescent="0.25">
      <c r="A57" s="29"/>
      <c r="B57" s="11" t="str">
        <f>CONCATENATE("          ", "6399", " - ", "DONATION-ON CAMPUS")</f>
        <v xml:space="preserve">          6399 - DONATION-ON CAMPUS</v>
      </c>
      <c r="C57" s="11"/>
      <c r="D57" s="7">
        <v>6666.05</v>
      </c>
      <c r="E57" s="2"/>
      <c r="F57" s="6">
        <f t="shared" si="28"/>
        <v>7.8351370703812415E-2</v>
      </c>
      <c r="G57" s="2"/>
      <c r="H57" s="7">
        <v>3100</v>
      </c>
      <c r="I57" s="2"/>
      <c r="J57" s="6">
        <f t="shared" si="29"/>
        <v>2.723526879453186E-2</v>
      </c>
      <c r="K57" s="2"/>
      <c r="L57" s="7">
        <f t="shared" si="30"/>
        <v>3566.05</v>
      </c>
      <c r="M57" s="2"/>
      <c r="N57" s="6">
        <f t="shared" si="31"/>
        <v>1.1503387096774194</v>
      </c>
      <c r="O57" s="11"/>
      <c r="P57" s="7">
        <v>36822.009999999995</v>
      </c>
      <c r="Q57" s="2"/>
      <c r="R57" s="6">
        <f t="shared" si="32"/>
        <v>6.0098165206223852E-2</v>
      </c>
      <c r="S57" s="2"/>
      <c r="T57" s="7">
        <v>17500</v>
      </c>
      <c r="U57" s="2"/>
      <c r="V57" s="6">
        <f t="shared" si="33"/>
        <v>2.2012744750274846E-2</v>
      </c>
      <c r="W57" s="2"/>
      <c r="X57" s="7">
        <f t="shared" si="34"/>
        <v>19322.009999999995</v>
      </c>
      <c r="Y57" s="2"/>
      <c r="Z57" s="6">
        <f t="shared" si="35"/>
        <v>1.104114857142857</v>
      </c>
    </row>
    <row r="58" spans="1:26" s="28" customFormat="1" outlineLevel="1" collapsed="1" x14ac:dyDescent="0.25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150</v>
      </c>
      <c r="I58" s="1"/>
      <c r="J58" s="5">
        <f t="shared" si="29"/>
        <v>1.3178355868321869E-3</v>
      </c>
      <c r="K58" s="1"/>
      <c r="L58" s="1">
        <f t="shared" si="30"/>
        <v>-150</v>
      </c>
      <c r="M58" s="1"/>
      <c r="N58" s="5">
        <f t="shared" si="31"/>
        <v>-1</v>
      </c>
      <c r="O58" s="14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750</v>
      </c>
      <c r="U58" s="1"/>
      <c r="V58" s="5">
        <f t="shared" si="33"/>
        <v>9.4340334644035047E-4</v>
      </c>
      <c r="W58" s="1"/>
      <c r="X58" s="1">
        <f t="shared" si="34"/>
        <v>-750</v>
      </c>
      <c r="Y58" s="1"/>
      <c r="Z58" s="5">
        <f t="shared" si="35"/>
        <v>-1</v>
      </c>
    </row>
    <row r="59" spans="1:26" s="24" customFormat="1" hidden="1" outlineLevel="2" x14ac:dyDescent="0.25">
      <c r="A59" s="29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28"/>
        <v>0</v>
      </c>
      <c r="G59" s="2"/>
      <c r="H59" s="7">
        <v>150</v>
      </c>
      <c r="I59" s="2"/>
      <c r="J59" s="6">
        <f t="shared" si="29"/>
        <v>1.3178355868321869E-3</v>
      </c>
      <c r="K59" s="2"/>
      <c r="L59" s="7">
        <f t="shared" si="30"/>
        <v>-150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750</v>
      </c>
      <c r="U59" s="2"/>
      <c r="V59" s="6">
        <f t="shared" si="33"/>
        <v>9.4340334644035047E-4</v>
      </c>
      <c r="W59" s="2"/>
      <c r="X59" s="7">
        <f t="shared" si="34"/>
        <v>-750</v>
      </c>
      <c r="Y59" s="2"/>
      <c r="Z59" s="6">
        <f t="shared" si="35"/>
        <v>-1</v>
      </c>
    </row>
    <row r="60" spans="1:26" s="28" customFormat="1" outlineLevel="1" collapsed="1" x14ac:dyDescent="0.25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110.26</v>
      </c>
      <c r="E60" s="1"/>
      <c r="F60" s="5">
        <f t="shared" si="28"/>
        <v>1.2959731975911307E-3</v>
      </c>
      <c r="G60" s="1"/>
      <c r="H60" s="1">
        <f>SUM(OSRRefH22_8x_0)</f>
        <v>290</v>
      </c>
      <c r="I60" s="1"/>
      <c r="J60" s="5">
        <f t="shared" si="29"/>
        <v>2.5478154678755614E-3</v>
      </c>
      <c r="K60" s="1"/>
      <c r="L60" s="1">
        <f t="shared" si="30"/>
        <v>-179.74</v>
      </c>
      <c r="M60" s="1"/>
      <c r="N60" s="5">
        <f t="shared" si="31"/>
        <v>-0.61979310344827587</v>
      </c>
      <c r="O60" s="14"/>
      <c r="P60" s="1">
        <f>SUM(OSRRefP22_8x_0)</f>
        <v>1520.86</v>
      </c>
      <c r="Q60" s="1"/>
      <c r="R60" s="5">
        <f t="shared" si="32"/>
        <v>2.4822353678014214E-3</v>
      </c>
      <c r="S60" s="1"/>
      <c r="T60" s="1">
        <f>SUM(OSRRefT22_8x_0)</f>
        <v>1740</v>
      </c>
      <c r="U60" s="1"/>
      <c r="V60" s="5">
        <f t="shared" si="33"/>
        <v>2.188695763741613E-3</v>
      </c>
      <c r="W60" s="1"/>
      <c r="X60" s="1">
        <f t="shared" si="34"/>
        <v>-219.1400000000001</v>
      </c>
      <c r="Y60" s="1"/>
      <c r="Z60" s="5">
        <f t="shared" si="35"/>
        <v>-0.12594252873563225</v>
      </c>
    </row>
    <row r="61" spans="1:26" s="24" customFormat="1" hidden="1" outlineLevel="2" x14ac:dyDescent="0.25">
      <c r="A61" s="29"/>
      <c r="B61" s="11" t="str">
        <f>CONCATENATE("          ", "6351", " - ", "EQUIPMENT RENTAL")</f>
        <v xml:space="preserve">          6351 - EQUIPMENT RENTAL</v>
      </c>
      <c r="C61" s="11"/>
      <c r="D61" s="7">
        <v>110.26</v>
      </c>
      <c r="E61" s="2"/>
      <c r="F61" s="6">
        <f t="shared" si="28"/>
        <v>1.2959731975911307E-3</v>
      </c>
      <c r="G61" s="2"/>
      <c r="H61" s="7">
        <v>290</v>
      </c>
      <c r="I61" s="2"/>
      <c r="J61" s="6">
        <f t="shared" si="29"/>
        <v>2.5478154678755614E-3</v>
      </c>
      <c r="K61" s="2"/>
      <c r="L61" s="7">
        <f t="shared" si="30"/>
        <v>-179.74</v>
      </c>
      <c r="M61" s="2"/>
      <c r="N61" s="6">
        <f t="shared" si="31"/>
        <v>-0.61979310344827587</v>
      </c>
      <c r="O61" s="11"/>
      <c r="P61" s="7">
        <v>1520.86</v>
      </c>
      <c r="Q61" s="2"/>
      <c r="R61" s="6">
        <f t="shared" si="32"/>
        <v>2.4822353678014214E-3</v>
      </c>
      <c r="S61" s="2"/>
      <c r="T61" s="7">
        <v>1740</v>
      </c>
      <c r="U61" s="2"/>
      <c r="V61" s="6">
        <f t="shared" si="33"/>
        <v>2.188695763741613E-3</v>
      </c>
      <c r="W61" s="2"/>
      <c r="X61" s="7">
        <f t="shared" si="34"/>
        <v>-219.1400000000001</v>
      </c>
      <c r="Y61" s="2"/>
      <c r="Z61" s="6">
        <f t="shared" si="35"/>
        <v>-0.12594252873563225</v>
      </c>
    </row>
    <row r="62" spans="1:26" s="28" customFormat="1" outlineLevel="1" collapsed="1" x14ac:dyDescent="0.25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449.23</v>
      </c>
      <c r="E62" s="1"/>
      <c r="F62" s="5">
        <f t="shared" si="28"/>
        <v>5.280156353653761E-3</v>
      </c>
      <c r="G62" s="1"/>
      <c r="H62" s="1">
        <f>SUM(OSRRefH22_9x_0)</f>
        <v>270</v>
      </c>
      <c r="I62" s="1"/>
      <c r="J62" s="5">
        <f t="shared" si="29"/>
        <v>2.3721040562979362E-3</v>
      </c>
      <c r="K62" s="1"/>
      <c r="L62" s="1">
        <f t="shared" si="30"/>
        <v>179.23000000000002</v>
      </c>
      <c r="M62" s="1"/>
      <c r="N62" s="5">
        <f t="shared" si="31"/>
        <v>0.66381481481481486</v>
      </c>
      <c r="O62" s="14"/>
      <c r="P62" s="1">
        <f>SUM(OSRRefP22_9x_0)</f>
        <v>1888.78</v>
      </c>
      <c r="Q62" s="1"/>
      <c r="R62" s="5">
        <f t="shared" si="32"/>
        <v>3.0827272188077592E-3</v>
      </c>
      <c r="S62" s="1"/>
      <c r="T62" s="1">
        <f>SUM(OSRRefT22_9x_0)</f>
        <v>3100</v>
      </c>
      <c r="U62" s="1"/>
      <c r="V62" s="5">
        <f t="shared" si="33"/>
        <v>3.8994004986201152E-3</v>
      </c>
      <c r="W62" s="1"/>
      <c r="X62" s="1">
        <f t="shared" si="34"/>
        <v>-1211.22</v>
      </c>
      <c r="Y62" s="1"/>
      <c r="Z62" s="5">
        <f t="shared" si="35"/>
        <v>-0.39071612903225805</v>
      </c>
    </row>
    <row r="63" spans="1:26" s="24" customFormat="1" hidden="1" outlineLevel="2" x14ac:dyDescent="0.25">
      <c r="A63" s="29"/>
      <c r="B63" s="11" t="str">
        <f>CONCATENATE("          ", "6279", " - ", "GENERAL EXPENSE")</f>
        <v xml:space="preserve">          6279 - GENERAL EXPENSE</v>
      </c>
      <c r="C63" s="11"/>
      <c r="D63" s="7">
        <v>449.23</v>
      </c>
      <c r="E63" s="2"/>
      <c r="F63" s="6">
        <f t="shared" si="28"/>
        <v>5.280156353653761E-3</v>
      </c>
      <c r="G63" s="2"/>
      <c r="H63" s="7">
        <v>270</v>
      </c>
      <c r="I63" s="2"/>
      <c r="J63" s="6">
        <f t="shared" si="29"/>
        <v>2.3721040562979362E-3</v>
      </c>
      <c r="K63" s="2"/>
      <c r="L63" s="7">
        <f t="shared" si="30"/>
        <v>179.23000000000002</v>
      </c>
      <c r="M63" s="2"/>
      <c r="N63" s="6">
        <f t="shared" si="31"/>
        <v>0.66381481481481486</v>
      </c>
      <c r="O63" s="11"/>
      <c r="P63" s="7">
        <v>1888.78</v>
      </c>
      <c r="Q63" s="2"/>
      <c r="R63" s="6">
        <f t="shared" si="32"/>
        <v>3.0827272188077592E-3</v>
      </c>
      <c r="S63" s="2"/>
      <c r="T63" s="7">
        <v>3100</v>
      </c>
      <c r="U63" s="2"/>
      <c r="V63" s="6">
        <f t="shared" si="33"/>
        <v>3.8994004986201152E-3</v>
      </c>
      <c r="W63" s="2"/>
      <c r="X63" s="7">
        <f t="shared" si="34"/>
        <v>-1211.22</v>
      </c>
      <c r="Y63" s="2"/>
      <c r="Z63" s="6">
        <f t="shared" si="35"/>
        <v>-0.39071612903225805</v>
      </c>
    </row>
    <row r="64" spans="1:26" s="28" customFormat="1" outlineLevel="1" collapsed="1" x14ac:dyDescent="0.25">
      <c r="A64" s="27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38313.420000000006</v>
      </c>
      <c r="E64" s="1"/>
      <c r="F64" s="5">
        <f t="shared" si="28"/>
        <v>0.45032800134275336</v>
      </c>
      <c r="G64" s="1"/>
      <c r="H64" s="1">
        <f>SUM(OSRRefH22_10x_0)</f>
        <v>11382</v>
      </c>
      <c r="I64" s="1"/>
      <c r="J64" s="5">
        <f t="shared" si="29"/>
        <v>9.9997364328826333E-2</v>
      </c>
      <c r="K64" s="1"/>
      <c r="L64" s="1">
        <f t="shared" si="30"/>
        <v>26931.420000000006</v>
      </c>
      <c r="M64" s="1"/>
      <c r="N64" s="5">
        <f t="shared" si="31"/>
        <v>2.3661412756984719</v>
      </c>
      <c r="O64" s="14"/>
      <c r="P64" s="1">
        <f>SUM(OSRRefP22_10x_0)</f>
        <v>73104.320000000007</v>
      </c>
      <c r="Q64" s="1"/>
      <c r="R64" s="5">
        <f t="shared" si="32"/>
        <v>0.11931547193237566</v>
      </c>
      <c r="S64" s="1"/>
      <c r="T64" s="1">
        <f>SUM(OSRRefT22_10x_0)</f>
        <v>65877</v>
      </c>
      <c r="U64" s="1"/>
      <c r="V64" s="5">
        <f t="shared" si="33"/>
        <v>8.2864776337934626E-2</v>
      </c>
      <c r="W64" s="1"/>
      <c r="X64" s="1">
        <f t="shared" si="34"/>
        <v>7227.320000000007</v>
      </c>
      <c r="Y64" s="1"/>
      <c r="Z64" s="5">
        <f t="shared" si="35"/>
        <v>0.10970930673831546</v>
      </c>
    </row>
    <row r="65" spans="1:26" s="24" customFormat="1" hidden="1" outlineLevel="2" x14ac:dyDescent="0.25">
      <c r="A65" s="29"/>
      <c r="B65" s="11" t="str">
        <f>CONCATENATE("          ", "6387", " - ", "COMMISSION DUE HOUSING")</f>
        <v xml:space="preserve">          6387 - COMMISSION DUE HOUSING</v>
      </c>
      <c r="C65" s="11"/>
      <c r="D65" s="7">
        <v>38313.420000000006</v>
      </c>
      <c r="E65" s="2"/>
      <c r="F65" s="6">
        <f t="shared" si="28"/>
        <v>0.45032800134275336</v>
      </c>
      <c r="G65" s="2"/>
      <c r="H65" s="7">
        <v>11382</v>
      </c>
      <c r="I65" s="2"/>
      <c r="J65" s="6">
        <f t="shared" si="29"/>
        <v>9.9997364328826333E-2</v>
      </c>
      <c r="K65" s="2"/>
      <c r="L65" s="7">
        <f t="shared" si="30"/>
        <v>26931.420000000006</v>
      </c>
      <c r="M65" s="2"/>
      <c r="N65" s="6">
        <f t="shared" si="31"/>
        <v>2.3661412756984719</v>
      </c>
      <c r="O65" s="11"/>
      <c r="P65" s="7">
        <v>73104.320000000007</v>
      </c>
      <c r="Q65" s="2"/>
      <c r="R65" s="6">
        <f t="shared" si="32"/>
        <v>0.11931547193237566</v>
      </c>
      <c r="S65" s="2"/>
      <c r="T65" s="7">
        <v>65877</v>
      </c>
      <c r="U65" s="2"/>
      <c r="V65" s="6">
        <f t="shared" si="33"/>
        <v>8.2864776337934626E-2</v>
      </c>
      <c r="W65" s="2"/>
      <c r="X65" s="7">
        <f t="shared" si="34"/>
        <v>7227.320000000007</v>
      </c>
      <c r="Y65" s="2"/>
      <c r="Z65" s="6">
        <f t="shared" si="35"/>
        <v>0.10970930673831546</v>
      </c>
    </row>
    <row r="66" spans="1:26" s="28" customFormat="1" outlineLevel="1" collapsed="1" x14ac:dyDescent="0.25">
      <c r="A66" s="27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78.430000000000007</v>
      </c>
      <c r="E66" s="1"/>
      <c r="F66" s="5">
        <f t="shared" si="28"/>
        <v>9.2184997176738973E-4</v>
      </c>
      <c r="G66" s="1"/>
      <c r="H66" s="1">
        <f>SUM(OSRRefH22_11x_0)</f>
        <v>288</v>
      </c>
      <c r="I66" s="1"/>
      <c r="J66" s="5">
        <f t="shared" si="29"/>
        <v>2.5302443267177987E-3</v>
      </c>
      <c r="K66" s="1"/>
      <c r="L66" s="1">
        <f t="shared" si="30"/>
        <v>-209.57</v>
      </c>
      <c r="M66" s="1"/>
      <c r="N66" s="5">
        <f t="shared" si="31"/>
        <v>-0.72767361111111106</v>
      </c>
      <c r="O66" s="14"/>
      <c r="P66" s="1">
        <f>SUM(OSRRefP22_11x_0)</f>
        <v>3260.27</v>
      </c>
      <c r="Q66" s="1"/>
      <c r="R66" s="5">
        <f t="shared" si="32"/>
        <v>5.3211719044369242E-3</v>
      </c>
      <c r="S66" s="1"/>
      <c r="T66" s="1">
        <f>SUM(OSRRefT22_11x_0)</f>
        <v>13311</v>
      </c>
      <c r="U66" s="1"/>
      <c r="V66" s="5">
        <f t="shared" si="33"/>
        <v>1.674352259262334E-2</v>
      </c>
      <c r="W66" s="1"/>
      <c r="X66" s="1">
        <f t="shared" si="34"/>
        <v>-10050.73</v>
      </c>
      <c r="Y66" s="1"/>
      <c r="Z66" s="5">
        <f t="shared" si="35"/>
        <v>-0.75506949139809176</v>
      </c>
    </row>
    <row r="67" spans="1:26" s="24" customFormat="1" hidden="1" outlineLevel="2" x14ac:dyDescent="0.25">
      <c r="A67" s="29"/>
      <c r="B67" s="11" t="str">
        <f>CONCATENATE("          ", "6371", " - ", "COMPUTER SOFTWARE MAINTENANCE")</f>
        <v xml:space="preserve">          6371 - COMPUTER SOFTWARE MAINTENANCE</v>
      </c>
      <c r="C67" s="11"/>
      <c r="D67" s="7"/>
      <c r="E67" s="2"/>
      <c r="F67" s="6">
        <f t="shared" si="28"/>
        <v>0</v>
      </c>
      <c r="G67" s="2"/>
      <c r="H67" s="7"/>
      <c r="I67" s="2"/>
      <c r="J67" s="6">
        <f t="shared" si="29"/>
        <v>0</v>
      </c>
      <c r="K67" s="2"/>
      <c r="L67" s="7">
        <f t="shared" si="30"/>
        <v>0</v>
      </c>
      <c r="M67" s="2"/>
      <c r="N67" s="6">
        <f t="shared" si="31"/>
        <v>0</v>
      </c>
      <c r="O67" s="11"/>
      <c r="P67" s="7"/>
      <c r="Q67" s="2"/>
      <c r="R67" s="6">
        <f t="shared" si="32"/>
        <v>0</v>
      </c>
      <c r="S67" s="2"/>
      <c r="T67" s="7">
        <v>8500</v>
      </c>
      <c r="U67" s="2"/>
      <c r="V67" s="6">
        <f t="shared" si="33"/>
        <v>1.069190459299064E-2</v>
      </c>
      <c r="W67" s="2"/>
      <c r="X67" s="7">
        <f t="shared" si="34"/>
        <v>-8500</v>
      </c>
      <c r="Y67" s="2"/>
      <c r="Z67" s="6">
        <f t="shared" si="35"/>
        <v>-1</v>
      </c>
    </row>
    <row r="68" spans="1:26" s="24" customFormat="1" hidden="1" outlineLevel="2" x14ac:dyDescent="0.25">
      <c r="A68" s="29"/>
      <c r="B68" s="11" t="str">
        <f>CONCATENATE("          ", "6372", " - ", "COMPUTER HARDWARE MAINTENANCE")</f>
        <v xml:space="preserve">          6372 - COMPUTER HARDWARE MAINTENANCE</v>
      </c>
      <c r="C68" s="11"/>
      <c r="D68" s="7"/>
      <c r="E68" s="2"/>
      <c r="F68" s="6">
        <f t="shared" si="28"/>
        <v>0</v>
      </c>
      <c r="G68" s="2"/>
      <c r="H68" s="7"/>
      <c r="I68" s="2"/>
      <c r="J68" s="6">
        <f t="shared" si="29"/>
        <v>0</v>
      </c>
      <c r="K68" s="2"/>
      <c r="L68" s="7">
        <f t="shared" si="30"/>
        <v>0</v>
      </c>
      <c r="M68" s="2"/>
      <c r="N68" s="6">
        <f t="shared" si="31"/>
        <v>0</v>
      </c>
      <c r="O68" s="11"/>
      <c r="P68" s="7"/>
      <c r="Q68" s="2"/>
      <c r="R68" s="6">
        <f t="shared" si="32"/>
        <v>0</v>
      </c>
      <c r="S68" s="2"/>
      <c r="T68" s="7">
        <v>3083</v>
      </c>
      <c r="U68" s="2"/>
      <c r="V68" s="6">
        <f t="shared" si="33"/>
        <v>3.8780166894341341E-3</v>
      </c>
      <c r="W68" s="2"/>
      <c r="X68" s="7">
        <f t="shared" si="34"/>
        <v>-3083</v>
      </c>
      <c r="Y68" s="2"/>
      <c r="Z68" s="6">
        <f t="shared" si="35"/>
        <v>-1</v>
      </c>
    </row>
    <row r="69" spans="1:26" s="24" customFormat="1" hidden="1" outlineLevel="2" x14ac:dyDescent="0.25">
      <c r="A69" s="29"/>
      <c r="B69" s="11" t="str">
        <f>CONCATENATE("          ", "6373", " - ", "MAINTENANCE CONTRACTS")</f>
        <v xml:space="preserve">          6373 - MAINTENANCE CONTRACTS</v>
      </c>
      <c r="C69" s="11"/>
      <c r="D69" s="7">
        <v>78.430000000000007</v>
      </c>
      <c r="E69" s="2"/>
      <c r="F69" s="6">
        <f t="shared" si="28"/>
        <v>9.2184997176738973E-4</v>
      </c>
      <c r="G69" s="2"/>
      <c r="H69" s="7">
        <v>38</v>
      </c>
      <c r="I69" s="2"/>
      <c r="J69" s="6">
        <f t="shared" si="29"/>
        <v>3.3385168199748732E-4</v>
      </c>
      <c r="K69" s="2"/>
      <c r="L69" s="7">
        <f t="shared" si="30"/>
        <v>40.430000000000007</v>
      </c>
      <c r="M69" s="2"/>
      <c r="N69" s="6">
        <f t="shared" si="31"/>
        <v>1.0639473684210528</v>
      </c>
      <c r="O69" s="11"/>
      <c r="P69" s="7">
        <v>1583.45</v>
      </c>
      <c r="Q69" s="2"/>
      <c r="R69" s="6">
        <f t="shared" si="32"/>
        <v>2.58439014317239E-3</v>
      </c>
      <c r="S69" s="2"/>
      <c r="T69" s="7">
        <v>228</v>
      </c>
      <c r="U69" s="2"/>
      <c r="V69" s="6">
        <f t="shared" si="33"/>
        <v>2.8679461731786658E-4</v>
      </c>
      <c r="W69" s="2"/>
      <c r="X69" s="7">
        <f t="shared" si="34"/>
        <v>1355.45</v>
      </c>
      <c r="Y69" s="2"/>
      <c r="Z69" s="6">
        <f t="shared" si="35"/>
        <v>5.944956140350877</v>
      </c>
    </row>
    <row r="70" spans="1:26" s="24" customFormat="1" hidden="1" outlineLevel="2" x14ac:dyDescent="0.25">
      <c r="A70" s="29"/>
      <c r="B70" s="11" t="str">
        <f>CONCATENATE("          ", "6375", " - ", "OUTSIDE REPAIRS &amp; MAINTENANCE")</f>
        <v xml:space="preserve">          6375 - OUTSIDE REPAIRS &amp; MAINTENANCE</v>
      </c>
      <c r="C70" s="11"/>
      <c r="D70" s="7"/>
      <c r="E70" s="2"/>
      <c r="F70" s="6">
        <f t="shared" si="28"/>
        <v>0</v>
      </c>
      <c r="G70" s="2"/>
      <c r="H70" s="7">
        <v>250</v>
      </c>
      <c r="I70" s="2"/>
      <c r="J70" s="6">
        <f t="shared" si="29"/>
        <v>2.1963926447203116E-3</v>
      </c>
      <c r="K70" s="2"/>
      <c r="L70" s="7">
        <f t="shared" si="30"/>
        <v>-250</v>
      </c>
      <c r="M70" s="2"/>
      <c r="N70" s="6">
        <f t="shared" si="31"/>
        <v>-1</v>
      </c>
      <c r="O70" s="11"/>
      <c r="P70" s="7">
        <v>1676.82</v>
      </c>
      <c r="Q70" s="2"/>
      <c r="R70" s="6">
        <f t="shared" si="32"/>
        <v>2.7367817612645342E-3</v>
      </c>
      <c r="S70" s="2"/>
      <c r="T70" s="7">
        <v>1500</v>
      </c>
      <c r="U70" s="2"/>
      <c r="V70" s="6">
        <f t="shared" si="33"/>
        <v>1.8868066928807009E-3</v>
      </c>
      <c r="W70" s="2"/>
      <c r="X70" s="7">
        <f t="shared" si="34"/>
        <v>176.81999999999994</v>
      </c>
      <c r="Y70" s="2"/>
      <c r="Z70" s="6">
        <f t="shared" si="35"/>
        <v>0.11787999999999996</v>
      </c>
    </row>
    <row r="71" spans="1:26" s="28" customFormat="1" outlineLevel="1" collapsed="1" x14ac:dyDescent="0.25">
      <c r="A71" s="27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SUM(OSRRefD22_12x_0)</f>
        <v>6554.62</v>
      </c>
      <c r="E71" s="1"/>
      <c r="F71" s="5">
        <f t="shared" ref="F71:F75" si="36">IF(D$12=0,0,D71/D$12)</f>
        <v>7.7041645568608541E-2</v>
      </c>
      <c r="G71" s="1"/>
      <c r="H71" s="1">
        <f>SUM(OSRRefH22_12x_0)</f>
        <v>6221</v>
      </c>
      <c r="I71" s="1"/>
      <c r="J71" s="5">
        <f t="shared" ref="J71:J75" si="37">IF(H$12=0,0,H71/H$12)</f>
        <v>5.4655034571220229E-2</v>
      </c>
      <c r="K71" s="1"/>
      <c r="L71" s="1">
        <f t="shared" ref="L71:L75" si="38">+D71-H71</f>
        <v>333.61999999999989</v>
      </c>
      <c r="M71" s="1"/>
      <c r="N71" s="5">
        <f t="shared" ref="N71:N75" si="39">IF(H71=0,0,L71/H71)</f>
        <v>5.3628034078122472E-2</v>
      </c>
      <c r="O71" s="14"/>
      <c r="P71" s="1">
        <f>SUM(OSRRefP22_12x_0)</f>
        <v>27268.080000000002</v>
      </c>
      <c r="Q71" s="1"/>
      <c r="R71" s="5">
        <f t="shared" ref="R71:R75" si="40">IF(P$12=0,0,P71/P$12)</f>
        <v>4.4504946272529086E-2</v>
      </c>
      <c r="S71" s="1"/>
      <c r="T71" s="1">
        <f>SUM(OSRRefT22_12x_0)</f>
        <v>37326</v>
      </c>
      <c r="U71" s="1"/>
      <c r="V71" s="5">
        <f t="shared" ref="V71:V75" si="41">IF(T$12=0,0,T71/T$12)</f>
        <v>4.6951297745643363E-2</v>
      </c>
      <c r="W71" s="1"/>
      <c r="X71" s="1">
        <f t="shared" ref="X71:X75" si="42">+P71-T71</f>
        <v>-10057.919999999998</v>
      </c>
      <c r="Y71" s="1"/>
      <c r="Z71" s="5">
        <f t="shared" ref="Z71:Z75" si="43">IF(T71=0,0,X71/T71)</f>
        <v>-0.26946150136633978</v>
      </c>
    </row>
    <row r="72" spans="1:26" s="24" customFormat="1" hidden="1" outlineLevel="2" x14ac:dyDescent="0.25">
      <c r="A72" s="29"/>
      <c r="B72" s="11" t="str">
        <f>CONCATENATE("          ", "6282", " - ", "JANITORIAL/EXTERMINATOR EXPENS")</f>
        <v xml:space="preserve">          6282 - JANITORIAL/EXTERMINATOR EXPENS</v>
      </c>
      <c r="C72" s="11"/>
      <c r="D72" s="7">
        <v>1132.06</v>
      </c>
      <c r="E72" s="2"/>
      <c r="F72" s="6">
        <f t="shared" si="36"/>
        <v>1.3305998712724608E-2</v>
      </c>
      <c r="G72" s="2"/>
      <c r="H72" s="7">
        <v>450</v>
      </c>
      <c r="I72" s="2"/>
      <c r="J72" s="6">
        <f t="shared" si="37"/>
        <v>3.9535067604965606E-3</v>
      </c>
      <c r="K72" s="2"/>
      <c r="L72" s="7">
        <f t="shared" si="38"/>
        <v>682.06</v>
      </c>
      <c r="M72" s="2"/>
      <c r="N72" s="6">
        <f t="shared" si="39"/>
        <v>1.5156888888888889</v>
      </c>
      <c r="O72" s="11"/>
      <c r="P72" s="7">
        <v>1974.74</v>
      </c>
      <c r="Q72" s="2"/>
      <c r="R72" s="6">
        <f t="shared" si="40"/>
        <v>3.2230247821707319E-3</v>
      </c>
      <c r="S72" s="2"/>
      <c r="T72" s="7">
        <v>2700</v>
      </c>
      <c r="U72" s="2"/>
      <c r="V72" s="6">
        <f t="shared" si="41"/>
        <v>3.396252047185262E-3</v>
      </c>
      <c r="W72" s="2"/>
      <c r="X72" s="7">
        <f t="shared" si="42"/>
        <v>-725.26</v>
      </c>
      <c r="Y72" s="2"/>
      <c r="Z72" s="6">
        <f t="shared" si="43"/>
        <v>-0.26861481481481481</v>
      </c>
    </row>
    <row r="73" spans="1:26" s="24" customFormat="1" hidden="1" outlineLevel="2" x14ac:dyDescent="0.25">
      <c r="A73" s="29"/>
      <c r="B73" s="11" t="str">
        <f>CONCATENATE("          ", "6284", " - ", "TRASH REMOVAL EXPENSE")</f>
        <v xml:space="preserve">          6284 - TRASH REMOVAL EXPENSE</v>
      </c>
      <c r="C73" s="11"/>
      <c r="D73" s="7">
        <v>282.75</v>
      </c>
      <c r="E73" s="2"/>
      <c r="F73" s="6">
        <f t="shared" si="36"/>
        <v>3.3233849230808292E-3</v>
      </c>
      <c r="G73" s="2"/>
      <c r="H73" s="7"/>
      <c r="I73" s="2"/>
      <c r="J73" s="6">
        <f t="shared" si="37"/>
        <v>0</v>
      </c>
      <c r="K73" s="2"/>
      <c r="L73" s="7">
        <f t="shared" si="38"/>
        <v>282.75</v>
      </c>
      <c r="M73" s="2"/>
      <c r="N73" s="6">
        <f t="shared" si="39"/>
        <v>0</v>
      </c>
      <c r="O73" s="11"/>
      <c r="P73" s="7">
        <v>282.75</v>
      </c>
      <c r="Q73" s="2"/>
      <c r="R73" s="6">
        <f t="shared" si="40"/>
        <v>4.6148366729735279E-4</v>
      </c>
      <c r="S73" s="2"/>
      <c r="T73" s="7"/>
      <c r="U73" s="2"/>
      <c r="V73" s="6">
        <f t="shared" si="41"/>
        <v>0</v>
      </c>
      <c r="W73" s="2"/>
      <c r="X73" s="7">
        <f t="shared" si="42"/>
        <v>282.75</v>
      </c>
      <c r="Y73" s="2"/>
      <c r="Z73" s="6">
        <f t="shared" si="43"/>
        <v>0</v>
      </c>
    </row>
    <row r="74" spans="1:26" s="24" customFormat="1" hidden="1" outlineLevel="2" x14ac:dyDescent="0.25">
      <c r="A74" s="29"/>
      <c r="B74" s="11" t="str">
        <f>CONCATENATE("          ", "6285", " - ", "JANITORIAL SERVICES")</f>
        <v xml:space="preserve">          6285 - JANITORIAL SERVICES</v>
      </c>
      <c r="C74" s="11"/>
      <c r="D74" s="7">
        <v>4194.1000000000004</v>
      </c>
      <c r="E74" s="2"/>
      <c r="F74" s="6">
        <f t="shared" si="36"/>
        <v>4.9296582514211519E-2</v>
      </c>
      <c r="G74" s="2"/>
      <c r="H74" s="7">
        <v>4271</v>
      </c>
      <c r="I74" s="2"/>
      <c r="J74" s="6">
        <f t="shared" si="37"/>
        <v>3.7523171942401796E-2</v>
      </c>
      <c r="K74" s="2"/>
      <c r="L74" s="7">
        <f t="shared" si="38"/>
        <v>-76.899999999999636</v>
      </c>
      <c r="M74" s="2"/>
      <c r="N74" s="6">
        <f t="shared" si="39"/>
        <v>-1.8005151018496753E-2</v>
      </c>
      <c r="O74" s="11"/>
      <c r="P74" s="7">
        <v>20202.63</v>
      </c>
      <c r="Q74" s="2"/>
      <c r="R74" s="6">
        <f t="shared" si="40"/>
        <v>3.2973240606371419E-2</v>
      </c>
      <c r="S74" s="2"/>
      <c r="T74" s="7">
        <v>25626</v>
      </c>
      <c r="U74" s="2"/>
      <c r="V74" s="6">
        <f t="shared" si="41"/>
        <v>3.2234205541173892E-2</v>
      </c>
      <c r="W74" s="2"/>
      <c r="X74" s="7">
        <f t="shared" si="42"/>
        <v>-5423.369999999999</v>
      </c>
      <c r="Y74" s="2"/>
      <c r="Z74" s="6">
        <f t="shared" si="43"/>
        <v>-0.21163544837274639</v>
      </c>
    </row>
    <row r="75" spans="1:26" s="24" customFormat="1" hidden="1" outlineLevel="2" x14ac:dyDescent="0.25">
      <c r="A75" s="29"/>
      <c r="B75" s="11" t="str">
        <f>CONCATENATE("          ", "6286", " - ", "LAUNDRY EXPENSE")</f>
        <v xml:space="preserve">          6286 - LAUNDRY EXPENSE</v>
      </c>
      <c r="C75" s="11"/>
      <c r="D75" s="7">
        <v>945.71</v>
      </c>
      <c r="E75" s="2"/>
      <c r="F75" s="6">
        <f t="shared" si="36"/>
        <v>1.1115679418591587E-2</v>
      </c>
      <c r="G75" s="2"/>
      <c r="H75" s="7">
        <v>1500</v>
      </c>
      <c r="I75" s="2"/>
      <c r="J75" s="6">
        <f t="shared" si="37"/>
        <v>1.3178355868321869E-2</v>
      </c>
      <c r="K75" s="2"/>
      <c r="L75" s="7">
        <f t="shared" si="38"/>
        <v>-554.29</v>
      </c>
      <c r="M75" s="2"/>
      <c r="N75" s="6">
        <f t="shared" si="39"/>
        <v>-0.36952666666666667</v>
      </c>
      <c r="O75" s="11"/>
      <c r="P75" s="7">
        <v>4807.96</v>
      </c>
      <c r="Q75" s="2"/>
      <c r="R75" s="6">
        <f t="shared" si="40"/>
        <v>7.8471972166895849E-3</v>
      </c>
      <c r="S75" s="2"/>
      <c r="T75" s="7">
        <v>9000</v>
      </c>
      <c r="U75" s="2"/>
      <c r="V75" s="6">
        <f t="shared" si="41"/>
        <v>1.1320840157284205E-2</v>
      </c>
      <c r="W75" s="2"/>
      <c r="X75" s="7">
        <f t="shared" si="42"/>
        <v>-4192.04</v>
      </c>
      <c r="Y75" s="2"/>
      <c r="Z75" s="6">
        <f t="shared" si="43"/>
        <v>-0.46578222222222221</v>
      </c>
    </row>
    <row r="76" spans="1:26" s="28" customFormat="1" outlineLevel="1" collapsed="1" x14ac:dyDescent="0.25">
      <c r="A76" s="27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1">
        <f>SUM(OSRRefD22_13x_0)</f>
        <v>0</v>
      </c>
      <c r="E76" s="1"/>
      <c r="F76" s="5">
        <f t="shared" ref="F76:F87" si="44">IF(D$12=0,0,D76/D$12)</f>
        <v>0</v>
      </c>
      <c r="G76" s="1"/>
      <c r="H76" s="1">
        <f>SUM(OSRRefH22_13x_0)</f>
        <v>0</v>
      </c>
      <c r="I76" s="1"/>
      <c r="J76" s="5">
        <f t="shared" ref="J76:J87" si="45">IF(H$12=0,0,H76/H$12)</f>
        <v>0</v>
      </c>
      <c r="K76" s="1"/>
      <c r="L76" s="1">
        <f t="shared" ref="L76:L87" si="46">+D76-H76</f>
        <v>0</v>
      </c>
      <c r="M76" s="1"/>
      <c r="N76" s="5">
        <f t="shared" ref="N76:N87" si="47">IF(H76=0,0,L76/H76)</f>
        <v>0</v>
      </c>
      <c r="O76" s="14"/>
      <c r="P76" s="1">
        <f>SUM(OSRRefP22_13x_0)</f>
        <v>795</v>
      </c>
      <c r="Q76" s="1"/>
      <c r="R76" s="5">
        <f t="shared" ref="R76:R87" si="48">IF(P$12=0,0,P76/P$12)</f>
        <v>1.2975402847087373E-3</v>
      </c>
      <c r="S76" s="1"/>
      <c r="T76" s="1">
        <f>SUM(OSRRefT22_13x_0)</f>
        <v>0</v>
      </c>
      <c r="U76" s="1"/>
      <c r="V76" s="5">
        <f t="shared" ref="V76:V87" si="49">IF(T$12=0,0,T76/T$12)</f>
        <v>0</v>
      </c>
      <c r="W76" s="1"/>
      <c r="X76" s="1">
        <f t="shared" ref="X76:X87" si="50">+P76-T76</f>
        <v>795</v>
      </c>
      <c r="Y76" s="1"/>
      <c r="Z76" s="5">
        <f t="shared" ref="Z76:Z87" si="51">IF(T76=0,0,X76/T76)</f>
        <v>0</v>
      </c>
    </row>
    <row r="77" spans="1:26" s="24" customFormat="1" hidden="1" outlineLevel="2" x14ac:dyDescent="0.25">
      <c r="A77" s="29"/>
      <c r="B77" s="11" t="str">
        <f>CONCATENATE("          ", "6258", " - ", "MEMBERSHIP DUES")</f>
        <v xml:space="preserve">          6258 - MEMBERSHIP DUES</v>
      </c>
      <c r="C77" s="11"/>
      <c r="D77" s="7"/>
      <c r="E77" s="2"/>
      <c r="F77" s="6">
        <f t="shared" si="44"/>
        <v>0</v>
      </c>
      <c r="G77" s="2"/>
      <c r="H77" s="7"/>
      <c r="I77" s="2"/>
      <c r="J77" s="6">
        <f t="shared" si="45"/>
        <v>0</v>
      </c>
      <c r="K77" s="2"/>
      <c r="L77" s="7">
        <f t="shared" si="46"/>
        <v>0</v>
      </c>
      <c r="M77" s="2"/>
      <c r="N77" s="6">
        <f t="shared" si="47"/>
        <v>0</v>
      </c>
      <c r="O77" s="11"/>
      <c r="P77" s="7">
        <v>795</v>
      </c>
      <c r="Q77" s="2"/>
      <c r="R77" s="6">
        <f t="shared" si="48"/>
        <v>1.2975402847087373E-3</v>
      </c>
      <c r="S77" s="2"/>
      <c r="T77" s="7"/>
      <c r="U77" s="2"/>
      <c r="V77" s="6">
        <f t="shared" si="49"/>
        <v>0</v>
      </c>
      <c r="W77" s="2"/>
      <c r="X77" s="7">
        <f t="shared" si="50"/>
        <v>795</v>
      </c>
      <c r="Y77" s="2"/>
      <c r="Z77" s="6">
        <f t="shared" si="51"/>
        <v>0</v>
      </c>
    </row>
    <row r="78" spans="1:26" s="28" customFormat="1" outlineLevel="1" collapsed="1" x14ac:dyDescent="0.25">
      <c r="A78" s="27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SUM(OSRRefD22_14x_0)</f>
        <v>12402.289999999999</v>
      </c>
      <c r="E78" s="1"/>
      <c r="F78" s="5">
        <f t="shared" si="44"/>
        <v>0.14577394729505264</v>
      </c>
      <c r="G78" s="1"/>
      <c r="H78" s="1">
        <f>SUM(OSRRefH22_14x_0)</f>
        <v>8018</v>
      </c>
      <c r="I78" s="1"/>
      <c r="J78" s="5">
        <f t="shared" si="45"/>
        <v>7.0442704901469824E-2</v>
      </c>
      <c r="K78" s="1"/>
      <c r="L78" s="1">
        <f t="shared" si="46"/>
        <v>4384.2899999999991</v>
      </c>
      <c r="M78" s="1"/>
      <c r="N78" s="5">
        <f t="shared" si="47"/>
        <v>0.54680593664255417</v>
      </c>
      <c r="O78" s="14"/>
      <c r="P78" s="1">
        <f>SUM(OSRRefP22_14x_0)</f>
        <v>75422.739999999991</v>
      </c>
      <c r="Q78" s="1"/>
      <c r="R78" s="5">
        <f t="shared" si="48"/>
        <v>0.12309942582781516</v>
      </c>
      <c r="S78" s="1"/>
      <c r="T78" s="1">
        <f>SUM(OSRRefT22_14x_0)</f>
        <v>41250</v>
      </c>
      <c r="U78" s="1"/>
      <c r="V78" s="5">
        <f t="shared" si="49"/>
        <v>5.1887184054219278E-2</v>
      </c>
      <c r="W78" s="1"/>
      <c r="X78" s="1">
        <f t="shared" si="50"/>
        <v>34172.739999999991</v>
      </c>
      <c r="Y78" s="1"/>
      <c r="Z78" s="5">
        <f t="shared" si="51"/>
        <v>0.82843006060606039</v>
      </c>
    </row>
    <row r="79" spans="1:26" s="24" customFormat="1" hidden="1" outlineLevel="2" x14ac:dyDescent="0.25">
      <c r="A79" s="29"/>
      <c r="B79" s="11" t="str">
        <f>CONCATENATE("          ", "6235", " - ", "COVID-19 EXPENSES")</f>
        <v xml:space="preserve">          6235 - COVID-19 EXPENSES</v>
      </c>
      <c r="C79" s="11"/>
      <c r="D79" s="7">
        <v>4714.9799999999996</v>
      </c>
      <c r="E79" s="2"/>
      <c r="F79" s="6">
        <f t="shared" si="44"/>
        <v>5.5418898124235706E-2</v>
      </c>
      <c r="G79" s="2"/>
      <c r="H79" s="7">
        <v>4000</v>
      </c>
      <c r="I79" s="2"/>
      <c r="J79" s="6">
        <f t="shared" si="45"/>
        <v>3.5142282315524985E-2</v>
      </c>
      <c r="K79" s="2"/>
      <c r="L79" s="7">
        <f t="shared" si="46"/>
        <v>714.97999999999956</v>
      </c>
      <c r="M79" s="2"/>
      <c r="N79" s="6">
        <f t="shared" si="47"/>
        <v>0.1787449999999999</v>
      </c>
      <c r="O79" s="11"/>
      <c r="P79" s="7">
        <v>41412.870000000003</v>
      </c>
      <c r="Q79" s="2"/>
      <c r="R79" s="6">
        <f t="shared" si="48"/>
        <v>6.7591027836988588E-2</v>
      </c>
      <c r="S79" s="2"/>
      <c r="T79" s="7">
        <v>20000</v>
      </c>
      <c r="U79" s="2"/>
      <c r="V79" s="6">
        <f t="shared" si="49"/>
        <v>2.515742257174268E-2</v>
      </c>
      <c r="W79" s="2"/>
      <c r="X79" s="7">
        <f t="shared" si="50"/>
        <v>21412.870000000003</v>
      </c>
      <c r="Y79" s="2"/>
      <c r="Z79" s="6">
        <f t="shared" si="51"/>
        <v>1.0706435000000001</v>
      </c>
    </row>
    <row r="80" spans="1:26" s="24" customFormat="1" hidden="1" outlineLevel="2" x14ac:dyDescent="0.25">
      <c r="A80" s="29"/>
      <c r="B80" s="11" t="str">
        <f>CONCATENATE("          ", "6237", " - ", "JANITORIAL SUPPLIES")</f>
        <v xml:space="preserve">          6237 - JANITORIAL SUPPLIES</v>
      </c>
      <c r="C80" s="11"/>
      <c r="D80" s="7">
        <v>3446.9</v>
      </c>
      <c r="E80" s="2"/>
      <c r="F80" s="6">
        <f t="shared" si="44"/>
        <v>4.0514148510582881E-2</v>
      </c>
      <c r="G80" s="2"/>
      <c r="H80" s="7">
        <v>3000</v>
      </c>
      <c r="I80" s="2"/>
      <c r="J80" s="6">
        <f t="shared" si="45"/>
        <v>2.6356711736643737E-2</v>
      </c>
      <c r="K80" s="2"/>
      <c r="L80" s="7">
        <f t="shared" si="46"/>
        <v>446.90000000000009</v>
      </c>
      <c r="M80" s="2"/>
      <c r="N80" s="6">
        <f t="shared" si="47"/>
        <v>0.14896666666666669</v>
      </c>
      <c r="O80" s="11"/>
      <c r="P80" s="7">
        <v>9178.17</v>
      </c>
      <c r="Q80" s="2"/>
      <c r="R80" s="6">
        <f t="shared" si="48"/>
        <v>1.4979931213717221E-2</v>
      </c>
      <c r="S80" s="2"/>
      <c r="T80" s="7">
        <v>15000</v>
      </c>
      <c r="U80" s="2"/>
      <c r="V80" s="6">
        <f t="shared" si="49"/>
        <v>1.886806692880701E-2</v>
      </c>
      <c r="W80" s="2"/>
      <c r="X80" s="7">
        <f t="shared" si="50"/>
        <v>-5821.83</v>
      </c>
      <c r="Y80" s="2"/>
      <c r="Z80" s="6">
        <f t="shared" si="51"/>
        <v>-0.38812200000000002</v>
      </c>
    </row>
    <row r="81" spans="1:26" s="24" customFormat="1" hidden="1" outlineLevel="2" x14ac:dyDescent="0.25">
      <c r="A81" s="29"/>
      <c r="B81" s="11" t="str">
        <f>CONCATENATE("          ", "6239", " - ", "KITCHEN SUPPLIES")</f>
        <v xml:space="preserve">          6239 - KITCHEN SUPPLIES</v>
      </c>
      <c r="C81" s="11"/>
      <c r="D81" s="7">
        <v>148.04</v>
      </c>
      <c r="E81" s="2"/>
      <c r="F81" s="6">
        <f t="shared" si="44"/>
        <v>1.7400314907617539E-3</v>
      </c>
      <c r="G81" s="2"/>
      <c r="H81" s="7">
        <v>500</v>
      </c>
      <c r="I81" s="2"/>
      <c r="J81" s="6">
        <f t="shared" si="45"/>
        <v>4.3927852894406231E-3</v>
      </c>
      <c r="K81" s="2"/>
      <c r="L81" s="7">
        <f t="shared" si="46"/>
        <v>-351.96000000000004</v>
      </c>
      <c r="M81" s="2"/>
      <c r="N81" s="6">
        <f t="shared" si="47"/>
        <v>-0.7039200000000001</v>
      </c>
      <c r="O81" s="11"/>
      <c r="P81" s="7">
        <v>4783.4799999999996</v>
      </c>
      <c r="Q81" s="2"/>
      <c r="R81" s="6">
        <f t="shared" si="48"/>
        <v>7.807242768677421E-3</v>
      </c>
      <c r="S81" s="2"/>
      <c r="T81" s="7">
        <v>2500</v>
      </c>
      <c r="U81" s="2"/>
      <c r="V81" s="6">
        <f t="shared" si="49"/>
        <v>3.144677821467835E-3</v>
      </c>
      <c r="W81" s="2"/>
      <c r="X81" s="7">
        <f t="shared" si="50"/>
        <v>2283.4799999999996</v>
      </c>
      <c r="Y81" s="2"/>
      <c r="Z81" s="6">
        <f t="shared" si="51"/>
        <v>0.91339199999999987</v>
      </c>
    </row>
    <row r="82" spans="1:26" s="24" customFormat="1" hidden="1" outlineLevel="2" x14ac:dyDescent="0.25">
      <c r="A82" s="29"/>
      <c r="B82" s="11" t="str">
        <f>CONCATENATE("          ", "6241", " - ", "OFFICE EXPENSE")</f>
        <v xml:space="preserve">          6241 - OFFICE EXPENSE</v>
      </c>
      <c r="C82" s="11"/>
      <c r="D82" s="7">
        <v>725.9</v>
      </c>
      <c r="E82" s="2"/>
      <c r="F82" s="6">
        <f t="shared" si="44"/>
        <v>8.5320782163196239E-3</v>
      </c>
      <c r="G82" s="2"/>
      <c r="H82" s="7">
        <v>150</v>
      </c>
      <c r="I82" s="2"/>
      <c r="J82" s="6">
        <f t="shared" si="45"/>
        <v>1.3178355868321869E-3</v>
      </c>
      <c r="K82" s="2"/>
      <c r="L82" s="7">
        <f t="shared" si="46"/>
        <v>575.9</v>
      </c>
      <c r="M82" s="2"/>
      <c r="N82" s="6">
        <f t="shared" si="47"/>
        <v>3.8393333333333333</v>
      </c>
      <c r="O82" s="11"/>
      <c r="P82" s="7">
        <v>3211.02</v>
      </c>
      <c r="Q82" s="2"/>
      <c r="R82" s="6">
        <f t="shared" si="48"/>
        <v>5.2407896918307542E-3</v>
      </c>
      <c r="S82" s="2"/>
      <c r="T82" s="7">
        <v>900</v>
      </c>
      <c r="U82" s="2"/>
      <c r="V82" s="6">
        <f t="shared" si="49"/>
        <v>1.1320840157284205E-3</v>
      </c>
      <c r="W82" s="2"/>
      <c r="X82" s="7">
        <f t="shared" si="50"/>
        <v>2311.02</v>
      </c>
      <c r="Y82" s="2"/>
      <c r="Z82" s="6">
        <f t="shared" si="51"/>
        <v>2.5678000000000001</v>
      </c>
    </row>
    <row r="83" spans="1:26" s="24" customFormat="1" hidden="1" outlineLevel="2" x14ac:dyDescent="0.25">
      <c r="A83" s="29"/>
      <c r="B83" s="11" t="str">
        <f>CONCATENATE("          ", "6243", " - ", "PAPER SUPPLIES")</f>
        <v xml:space="preserve">          6243 - PAPER SUPPLIES</v>
      </c>
      <c r="C83" s="11"/>
      <c r="D83" s="7">
        <v>3366.47</v>
      </c>
      <c r="E83" s="2"/>
      <c r="F83" s="6">
        <f t="shared" si="44"/>
        <v>3.9568790953152674E-2</v>
      </c>
      <c r="G83" s="2"/>
      <c r="H83" s="7"/>
      <c r="I83" s="2"/>
      <c r="J83" s="6">
        <f t="shared" si="45"/>
        <v>0</v>
      </c>
      <c r="K83" s="2"/>
      <c r="L83" s="7">
        <f t="shared" si="46"/>
        <v>3366.47</v>
      </c>
      <c r="M83" s="2"/>
      <c r="N83" s="6">
        <f t="shared" si="47"/>
        <v>0</v>
      </c>
      <c r="O83" s="11"/>
      <c r="P83" s="7">
        <v>12336.61</v>
      </c>
      <c r="Q83" s="2"/>
      <c r="R83" s="6">
        <f t="shared" si="48"/>
        <v>2.0134903712881329E-2</v>
      </c>
      <c r="S83" s="2"/>
      <c r="T83" s="7"/>
      <c r="U83" s="2"/>
      <c r="V83" s="6">
        <f t="shared" si="49"/>
        <v>0</v>
      </c>
      <c r="W83" s="2"/>
      <c r="X83" s="7">
        <f t="shared" si="50"/>
        <v>12336.61</v>
      </c>
      <c r="Y83" s="2"/>
      <c r="Z83" s="6">
        <f t="shared" si="51"/>
        <v>0</v>
      </c>
    </row>
    <row r="84" spans="1:26" s="24" customFormat="1" hidden="1" outlineLevel="2" x14ac:dyDescent="0.25">
      <c r="A84" s="29"/>
      <c r="B84" s="11" t="str">
        <f>CONCATENATE("          ", "6244", " - ", "SAFETY SUPPLY EXPENSE")</f>
        <v xml:space="preserve">          6244 - SAFETY SUPPLY EXPENSE</v>
      </c>
      <c r="C84" s="11"/>
      <c r="D84" s="7"/>
      <c r="E84" s="2"/>
      <c r="F84" s="6">
        <f t="shared" si="44"/>
        <v>0</v>
      </c>
      <c r="G84" s="2"/>
      <c r="H84" s="7"/>
      <c r="I84" s="2"/>
      <c r="J84" s="6">
        <f t="shared" si="45"/>
        <v>0</v>
      </c>
      <c r="K84" s="2"/>
      <c r="L84" s="7">
        <f t="shared" si="46"/>
        <v>0</v>
      </c>
      <c r="M84" s="2"/>
      <c r="N84" s="6">
        <f t="shared" si="47"/>
        <v>0</v>
      </c>
      <c r="O84" s="11"/>
      <c r="P84" s="7"/>
      <c r="Q84" s="2"/>
      <c r="R84" s="6">
        <f t="shared" si="48"/>
        <v>0</v>
      </c>
      <c r="S84" s="2"/>
      <c r="T84" s="7">
        <v>160</v>
      </c>
      <c r="U84" s="2"/>
      <c r="V84" s="6">
        <f t="shared" si="49"/>
        <v>2.0125938057394144E-4</v>
      </c>
      <c r="W84" s="2"/>
      <c r="X84" s="7">
        <f t="shared" si="50"/>
        <v>-160</v>
      </c>
      <c r="Y84" s="2"/>
      <c r="Z84" s="6">
        <f t="shared" si="51"/>
        <v>-1</v>
      </c>
    </row>
    <row r="85" spans="1:26" s="24" customFormat="1" hidden="1" outlineLevel="2" x14ac:dyDescent="0.25">
      <c r="A85" s="29"/>
      <c r="B85" s="11" t="str">
        <f>CONCATENATE("          ", "6245", " - ", "PRINTING")</f>
        <v xml:space="preserve">          6245 - PRINTING</v>
      </c>
      <c r="C85" s="11"/>
      <c r="D85" s="7"/>
      <c r="E85" s="2"/>
      <c r="F85" s="6">
        <f t="shared" si="44"/>
        <v>0</v>
      </c>
      <c r="G85" s="2"/>
      <c r="H85" s="7"/>
      <c r="I85" s="2"/>
      <c r="J85" s="6">
        <f t="shared" si="45"/>
        <v>0</v>
      </c>
      <c r="K85" s="2"/>
      <c r="L85" s="7">
        <f t="shared" si="46"/>
        <v>0</v>
      </c>
      <c r="M85" s="2"/>
      <c r="N85" s="6">
        <f t="shared" si="47"/>
        <v>0</v>
      </c>
      <c r="O85" s="11"/>
      <c r="P85" s="7"/>
      <c r="Q85" s="2"/>
      <c r="R85" s="6">
        <f t="shared" si="48"/>
        <v>0</v>
      </c>
      <c r="S85" s="2"/>
      <c r="T85" s="7">
        <v>500</v>
      </c>
      <c r="U85" s="2"/>
      <c r="V85" s="6">
        <f t="shared" si="49"/>
        <v>6.2893556429356701E-4</v>
      </c>
      <c r="W85" s="2"/>
      <c r="X85" s="7">
        <f t="shared" si="50"/>
        <v>-500</v>
      </c>
      <c r="Y85" s="2"/>
      <c r="Z85" s="6">
        <f t="shared" si="51"/>
        <v>-1</v>
      </c>
    </row>
    <row r="86" spans="1:26" s="24" customFormat="1" hidden="1" outlineLevel="2" x14ac:dyDescent="0.25">
      <c r="A86" s="29"/>
      <c r="B86" s="11" t="str">
        <f>CONCATENATE("          ", "6247", " - ", "STORE SUPPLIES")</f>
        <v xml:space="preserve">          6247 - STORE SUPPLIES</v>
      </c>
      <c r="C86" s="11"/>
      <c r="D86" s="7"/>
      <c r="E86" s="2"/>
      <c r="F86" s="6">
        <f t="shared" si="44"/>
        <v>0</v>
      </c>
      <c r="G86" s="2"/>
      <c r="H86" s="7">
        <v>18</v>
      </c>
      <c r="I86" s="2"/>
      <c r="J86" s="6">
        <f t="shared" si="45"/>
        <v>1.5814027041986242E-4</v>
      </c>
      <c r="K86" s="2"/>
      <c r="L86" s="7">
        <f t="shared" si="46"/>
        <v>-18</v>
      </c>
      <c r="M86" s="2"/>
      <c r="N86" s="6">
        <f t="shared" si="47"/>
        <v>-1</v>
      </c>
      <c r="O86" s="11"/>
      <c r="P86" s="7"/>
      <c r="Q86" s="2"/>
      <c r="R86" s="6">
        <f t="shared" si="48"/>
        <v>0</v>
      </c>
      <c r="S86" s="2"/>
      <c r="T86" s="7">
        <v>90</v>
      </c>
      <c r="U86" s="2"/>
      <c r="V86" s="6">
        <f t="shared" si="49"/>
        <v>1.1320840157284205E-4</v>
      </c>
      <c r="W86" s="2"/>
      <c r="X86" s="7">
        <f t="shared" si="50"/>
        <v>-90</v>
      </c>
      <c r="Y86" s="2"/>
      <c r="Z86" s="6">
        <f t="shared" si="51"/>
        <v>-1</v>
      </c>
    </row>
    <row r="87" spans="1:26" s="24" customFormat="1" hidden="1" outlineLevel="2" x14ac:dyDescent="0.25">
      <c r="A87" s="29"/>
      <c r="B87" s="11" t="str">
        <f>CONCATENATE("          ", "6248", " - ", "UNIFORMS")</f>
        <v xml:space="preserve">          6248 - UNIFORMS</v>
      </c>
      <c r="C87" s="11"/>
      <c r="D87" s="7"/>
      <c r="E87" s="2"/>
      <c r="F87" s="6">
        <f t="shared" si="44"/>
        <v>0</v>
      </c>
      <c r="G87" s="2"/>
      <c r="H87" s="7">
        <v>350</v>
      </c>
      <c r="I87" s="2"/>
      <c r="J87" s="6">
        <f t="shared" si="45"/>
        <v>3.0749497026084358E-3</v>
      </c>
      <c r="K87" s="2"/>
      <c r="L87" s="7">
        <f t="shared" si="46"/>
        <v>-350</v>
      </c>
      <c r="M87" s="2"/>
      <c r="N87" s="6">
        <f t="shared" si="47"/>
        <v>-1</v>
      </c>
      <c r="O87" s="11"/>
      <c r="P87" s="7">
        <v>4500.59</v>
      </c>
      <c r="Q87" s="2"/>
      <c r="R87" s="6">
        <f t="shared" si="48"/>
        <v>7.3455306037198687E-3</v>
      </c>
      <c r="S87" s="2"/>
      <c r="T87" s="7">
        <v>2100</v>
      </c>
      <c r="U87" s="2"/>
      <c r="V87" s="6">
        <f t="shared" si="49"/>
        <v>2.6415293700329814E-3</v>
      </c>
      <c r="W87" s="2"/>
      <c r="X87" s="7">
        <f t="shared" si="50"/>
        <v>2400.59</v>
      </c>
      <c r="Y87" s="2"/>
      <c r="Z87" s="6">
        <f t="shared" si="51"/>
        <v>1.1431380952380954</v>
      </c>
    </row>
    <row r="88" spans="1:26" s="28" customFormat="1" outlineLevel="1" collapsed="1" x14ac:dyDescent="0.25">
      <c r="A88" s="27"/>
      <c r="B88" s="14" t="str">
        <f>CONCATENATE("     ","Telephone/Data Lines                              ")</f>
        <v xml:space="preserve">     Telephone/Data Lines                              </v>
      </c>
      <c r="C88" s="14"/>
      <c r="D88" s="1">
        <f>SUM(OSRRefD22_15x_0)</f>
        <v>259</v>
      </c>
      <c r="E88" s="1"/>
      <c r="F88" s="5">
        <f t="shared" ref="F88:F90" si="52">IF(D$12=0,0,D88/D$12)</f>
        <v>3.044232343334871E-3</v>
      </c>
      <c r="G88" s="1"/>
      <c r="H88" s="1">
        <f>SUM(OSRRefH22_15x_0)</f>
        <v>310</v>
      </c>
      <c r="I88" s="1"/>
      <c r="J88" s="5">
        <f t="shared" ref="J88:J90" si="53">IF(H$12=0,0,H88/H$12)</f>
        <v>2.723526879453186E-3</v>
      </c>
      <c r="K88" s="1"/>
      <c r="L88" s="1">
        <f t="shared" ref="L88:L90" si="54">+D88-H88</f>
        <v>-51</v>
      </c>
      <c r="M88" s="1"/>
      <c r="N88" s="5">
        <f t="shared" ref="N88:N90" si="55">IF(H88=0,0,L88/H88)</f>
        <v>-0.16451612903225807</v>
      </c>
      <c r="O88" s="14"/>
      <c r="P88" s="1">
        <f>SUM(OSRRefP22_15x_0)</f>
        <v>1705</v>
      </c>
      <c r="Q88" s="1"/>
      <c r="R88" s="5">
        <f t="shared" ref="R88:R90" si="56">IF(P$12=0,0,P88/P$12)</f>
        <v>2.7827750760105623E-3</v>
      </c>
      <c r="S88" s="1"/>
      <c r="T88" s="1">
        <f>SUM(OSRRefT22_15x_0)</f>
        <v>1860</v>
      </c>
      <c r="U88" s="1"/>
      <c r="V88" s="5">
        <f t="shared" ref="V88:V90" si="57">IF(T$12=0,0,T88/T$12)</f>
        <v>2.3396402991720691E-3</v>
      </c>
      <c r="W88" s="1"/>
      <c r="X88" s="1">
        <f t="shared" ref="X88:X90" si="58">+P88-T88</f>
        <v>-155</v>
      </c>
      <c r="Y88" s="1"/>
      <c r="Z88" s="5">
        <f t="shared" ref="Z88:Z90" si="59">IF(T88=0,0,X88/T88)</f>
        <v>-8.3333333333333329E-2</v>
      </c>
    </row>
    <row r="89" spans="1:26" s="24" customFormat="1" hidden="1" outlineLevel="2" x14ac:dyDescent="0.25">
      <c r="A89" s="29"/>
      <c r="B89" s="11" t="str">
        <f>CONCATENATE("          ", "6303", " - ", "DATA PHONE LINES")</f>
        <v xml:space="preserve">          6303 - DATA PHONE LINES</v>
      </c>
      <c r="C89" s="11"/>
      <c r="D89" s="7"/>
      <c r="E89" s="2"/>
      <c r="F89" s="6">
        <f t="shared" si="52"/>
        <v>0</v>
      </c>
      <c r="G89" s="2"/>
      <c r="H89" s="7">
        <v>310</v>
      </c>
      <c r="I89" s="2"/>
      <c r="J89" s="6">
        <f t="shared" si="53"/>
        <v>2.723526879453186E-3</v>
      </c>
      <c r="K89" s="2"/>
      <c r="L89" s="7">
        <f t="shared" si="54"/>
        <v>-310</v>
      </c>
      <c r="M89" s="2"/>
      <c r="N89" s="6">
        <f t="shared" si="55"/>
        <v>-1</v>
      </c>
      <c r="O89" s="11"/>
      <c r="P89" s="7"/>
      <c r="Q89" s="2"/>
      <c r="R89" s="6">
        <f t="shared" si="56"/>
        <v>0</v>
      </c>
      <c r="S89" s="2"/>
      <c r="T89" s="7">
        <v>1860</v>
      </c>
      <c r="U89" s="2"/>
      <c r="V89" s="6">
        <f t="shared" si="57"/>
        <v>2.3396402991720691E-3</v>
      </c>
      <c r="W89" s="2"/>
      <c r="X89" s="7">
        <f t="shared" si="58"/>
        <v>-1860</v>
      </c>
      <c r="Y89" s="2"/>
      <c r="Z89" s="6">
        <f t="shared" si="59"/>
        <v>-1</v>
      </c>
    </row>
    <row r="90" spans="1:26" s="24" customFormat="1" hidden="1" outlineLevel="2" x14ac:dyDescent="0.25">
      <c r="A90" s="29"/>
      <c r="B90" s="11" t="str">
        <f>CONCATENATE("          ", "6309", " - ", "TELEPHONE")</f>
        <v xml:space="preserve">          6309 - TELEPHONE</v>
      </c>
      <c r="C90" s="11"/>
      <c r="D90" s="7">
        <v>259</v>
      </c>
      <c r="E90" s="2"/>
      <c r="F90" s="6">
        <f t="shared" si="52"/>
        <v>3.044232343334871E-3</v>
      </c>
      <c r="G90" s="2"/>
      <c r="H90" s="7"/>
      <c r="I90" s="2"/>
      <c r="J90" s="6">
        <f t="shared" si="53"/>
        <v>0</v>
      </c>
      <c r="K90" s="2"/>
      <c r="L90" s="7">
        <f t="shared" si="54"/>
        <v>259</v>
      </c>
      <c r="M90" s="2"/>
      <c r="N90" s="6">
        <f t="shared" si="55"/>
        <v>0</v>
      </c>
      <c r="O90" s="11"/>
      <c r="P90" s="7">
        <v>1705</v>
      </c>
      <c r="Q90" s="2"/>
      <c r="R90" s="6">
        <f t="shared" si="56"/>
        <v>2.7827750760105623E-3</v>
      </c>
      <c r="S90" s="2"/>
      <c r="T90" s="7"/>
      <c r="U90" s="2"/>
      <c r="V90" s="6">
        <f t="shared" si="57"/>
        <v>0</v>
      </c>
      <c r="W90" s="2"/>
      <c r="X90" s="7">
        <f t="shared" si="58"/>
        <v>1705</v>
      </c>
      <c r="Y90" s="2"/>
      <c r="Z90" s="6">
        <f t="shared" si="59"/>
        <v>0</v>
      </c>
    </row>
    <row r="91" spans="1:26" s="28" customFormat="1" outlineLevel="1" collapsed="1" x14ac:dyDescent="0.25">
      <c r="A91" s="27"/>
      <c r="B91" s="14" t="str">
        <f>CONCATENATE("     ","Training                                          ")</f>
        <v xml:space="preserve">     Training                                          </v>
      </c>
      <c r="C91" s="14"/>
      <c r="D91" s="1">
        <f>SUM(OSRRefD22_16x_0)</f>
        <v>0</v>
      </c>
      <c r="E91" s="1"/>
      <c r="F91" s="5">
        <f t="shared" ref="F91:F92" si="60">IF(D$12=0,0,D91/D$12)</f>
        <v>0</v>
      </c>
      <c r="G91" s="1"/>
      <c r="H91" s="1">
        <f>SUM(OSRRefH22_16x_0)</f>
        <v>350</v>
      </c>
      <c r="I91" s="1"/>
      <c r="J91" s="5">
        <f t="shared" ref="J91:J92" si="61">IF(H$12=0,0,H91/H$12)</f>
        <v>3.0749497026084358E-3</v>
      </c>
      <c r="K91" s="1"/>
      <c r="L91" s="1">
        <f t="shared" ref="L91:L92" si="62">+D91-H91</f>
        <v>-350</v>
      </c>
      <c r="M91" s="1"/>
      <c r="N91" s="5">
        <f t="shared" ref="N91:N92" si="63">IF(H91=0,0,L91/H91)</f>
        <v>-1</v>
      </c>
      <c r="O91" s="14"/>
      <c r="P91" s="1">
        <f>SUM(OSRRefP22_16x_0)</f>
        <v>735</v>
      </c>
      <c r="Q91" s="1"/>
      <c r="R91" s="5">
        <f t="shared" ref="R91:R92" si="64">IF(P$12=0,0,P91/P$12)</f>
        <v>1.199612716051474E-3</v>
      </c>
      <c r="S91" s="1"/>
      <c r="T91" s="1">
        <f>SUM(OSRRefT22_16x_0)</f>
        <v>1750</v>
      </c>
      <c r="U91" s="1"/>
      <c r="V91" s="5">
        <f t="shared" ref="V91:V92" si="65">IF(T$12=0,0,T91/T$12)</f>
        <v>2.2012744750274844E-3</v>
      </c>
      <c r="W91" s="1"/>
      <c r="X91" s="1">
        <f t="shared" ref="X91:X92" si="66">+P91-T91</f>
        <v>-1015</v>
      </c>
      <c r="Y91" s="1"/>
      <c r="Z91" s="5">
        <f t="shared" ref="Z91:Z92" si="67">IF(T91=0,0,X91/T91)</f>
        <v>-0.57999999999999996</v>
      </c>
    </row>
    <row r="92" spans="1:26" s="24" customFormat="1" hidden="1" outlineLevel="2" x14ac:dyDescent="0.25">
      <c r="A92" s="29"/>
      <c r="B92" s="11" t="str">
        <f>CONCATENATE("          ", "6376", " - ", "TRAINING")</f>
        <v xml:space="preserve">          6376 - TRAINING</v>
      </c>
      <c r="C92" s="11"/>
      <c r="D92" s="7"/>
      <c r="E92" s="2"/>
      <c r="F92" s="6">
        <f t="shared" si="60"/>
        <v>0</v>
      </c>
      <c r="G92" s="2"/>
      <c r="H92" s="7">
        <v>350</v>
      </c>
      <c r="I92" s="2"/>
      <c r="J92" s="6">
        <f t="shared" si="61"/>
        <v>3.0749497026084358E-3</v>
      </c>
      <c r="K92" s="2"/>
      <c r="L92" s="7">
        <f t="shared" si="62"/>
        <v>-350</v>
      </c>
      <c r="M92" s="2"/>
      <c r="N92" s="6">
        <f t="shared" si="63"/>
        <v>-1</v>
      </c>
      <c r="O92" s="11"/>
      <c r="P92" s="7">
        <v>735</v>
      </c>
      <c r="Q92" s="2"/>
      <c r="R92" s="6">
        <f t="shared" si="64"/>
        <v>1.199612716051474E-3</v>
      </c>
      <c r="S92" s="2"/>
      <c r="T92" s="7">
        <v>1750</v>
      </c>
      <c r="U92" s="2"/>
      <c r="V92" s="6">
        <f t="shared" si="65"/>
        <v>2.2012744750274844E-3</v>
      </c>
      <c r="W92" s="2"/>
      <c r="X92" s="7">
        <f t="shared" si="66"/>
        <v>-1015</v>
      </c>
      <c r="Y92" s="2"/>
      <c r="Z92" s="6">
        <f t="shared" si="67"/>
        <v>-0.57999999999999996</v>
      </c>
    </row>
    <row r="93" spans="1:26" s="53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x14ac:dyDescent="0.25">
      <c r="A94" s="10"/>
      <c r="B94" s="26" t="s">
        <v>0</v>
      </c>
      <c r="C94" s="10"/>
      <c r="D94" s="4">
        <f>SUM(0)</f>
        <v>0</v>
      </c>
      <c r="E94" s="4"/>
      <c r="F94" s="12">
        <f>IF(D$12=0,0,D94/D$12)</f>
        <v>0</v>
      </c>
      <c r="G94" s="4"/>
      <c r="H94" s="4">
        <f>SUM(0)</f>
        <v>0</v>
      </c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>
        <f>SUM(0)</f>
        <v>0</v>
      </c>
      <c r="Q94" s="4"/>
      <c r="R94" s="12">
        <f>IF(P$12=0,0,P94/P$12)</f>
        <v>0</v>
      </c>
      <c r="S94" s="4"/>
      <c r="T94" s="4">
        <f>SUM(0)</f>
        <v>0</v>
      </c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5" t="s">
        <v>3</v>
      </c>
      <c r="C96" s="25"/>
      <c r="D96" s="21">
        <f>+D23-D25+D94</f>
        <v>-96019</v>
      </c>
      <c r="E96" s="13"/>
      <c r="F96" s="19">
        <f>IF(D$12=0,0,D96/D$12)</f>
        <v>-1.1285874338790385</v>
      </c>
      <c r="G96" s="13"/>
      <c r="H96" s="21">
        <f>+H23-H25+H94</f>
        <v>-36336.793859519283</v>
      </c>
      <c r="I96" s="13"/>
      <c r="J96" s="19">
        <f>IF(H$12=0,0,H96/H$12)</f>
        <v>-0.31923946706306533</v>
      </c>
      <c r="K96" s="16"/>
      <c r="L96" s="21">
        <f>+D96-H96</f>
        <v>-59682.206140480717</v>
      </c>
      <c r="M96" s="16"/>
      <c r="N96" s="19">
        <f>IF(H96=0,0,L96/H96)</f>
        <v>1.6424730913579364</v>
      </c>
      <c r="O96" s="26"/>
      <c r="P96" s="21">
        <f>+P23-P25+P94</f>
        <v>-352349.49999999977</v>
      </c>
      <c r="Q96" s="13"/>
      <c r="R96" s="19">
        <f>IF(P$12=0,0,P96/P$12)</f>
        <v>-0.57507883087670553</v>
      </c>
      <c r="S96" s="13"/>
      <c r="T96" s="21">
        <f>+T23-T25+T94</f>
        <v>-161977.97683175025</v>
      </c>
      <c r="U96" s="13"/>
      <c r="V96" s="19">
        <f>IF(T$12=0,0,T96/T$12)</f>
        <v>-0.20374742052361433</v>
      </c>
      <c r="W96" s="16"/>
      <c r="X96" s="21">
        <f>+P96-T96</f>
        <v>-190371.52316824952</v>
      </c>
      <c r="Y96" s="16"/>
      <c r="Z96" s="19">
        <f>IF(T96=0,0,X96/T96)</f>
        <v>1.1752926347881985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2"/>
      <c r="B98" s="10" t="s">
        <v>14</v>
      </c>
      <c r="C98" s="10"/>
      <c r="D98" s="4">
        <v>29523.4</v>
      </c>
      <c r="E98" s="4"/>
      <c r="F98" s="12">
        <f>IF(D$12=0,0,D98/D$12)</f>
        <v>0.34701192727881364</v>
      </c>
      <c r="G98" s="4"/>
      <c r="H98" s="4">
        <v>29316</v>
      </c>
      <c r="I98" s="4"/>
      <c r="J98" s="12">
        <f>IF(H$12=0,0,H98/H$12)</f>
        <v>0.2575577870904826</v>
      </c>
      <c r="K98" s="4"/>
      <c r="L98" s="4">
        <f>+D98-H98</f>
        <v>207.40000000000146</v>
      </c>
      <c r="M98" s="4"/>
      <c r="N98" s="12">
        <f>IF(H98=0,0,L98/H98)</f>
        <v>7.0746350115978122E-3</v>
      </c>
      <c r="O98" s="10"/>
      <c r="P98" s="4">
        <v>113362.04000000001</v>
      </c>
      <c r="Q98" s="4"/>
      <c r="R98" s="12">
        <f>IF(P$12=0,0,P98/P$12)</f>
        <v>0.18502114925379026</v>
      </c>
      <c r="S98" s="4"/>
      <c r="T98" s="4">
        <v>150803</v>
      </c>
      <c r="U98" s="4"/>
      <c r="V98" s="12">
        <f>IF(T$12=0,0,T98/T$12)</f>
        <v>0.18969073980432558</v>
      </c>
      <c r="W98" s="4"/>
      <c r="X98" s="4">
        <f>+P98-T98</f>
        <v>-37440.959999999992</v>
      </c>
      <c r="Y98" s="4"/>
      <c r="Z98" s="12">
        <f>IF(T98=0,0,X98/T98)</f>
        <v>-0.24827728891335046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5" t="s">
        <v>4</v>
      </c>
      <c r="C100" s="25"/>
      <c r="D100" s="34">
        <f>+D96-D98</f>
        <v>-125542.39999999999</v>
      </c>
      <c r="E100" s="13"/>
      <c r="F100" s="31">
        <f>IF(D$12=0,0,D100/D$12)</f>
        <v>-1.475599361157852</v>
      </c>
      <c r="G100" s="13"/>
      <c r="H100" s="34">
        <f>+H96-H98</f>
        <v>-65652.793859519283</v>
      </c>
      <c r="I100" s="13"/>
      <c r="J100" s="31">
        <f>IF(H$12=0,0,H100/H$12)</f>
        <v>-0.57679725415354788</v>
      </c>
      <c r="K100" s="16"/>
      <c r="L100" s="34">
        <f>D100-H100</f>
        <v>-59889.606140480711</v>
      </c>
      <c r="M100" s="16"/>
      <c r="N100" s="31">
        <f>IF(H100=0,0,L100/H100)</f>
        <v>0.91221717492525356</v>
      </c>
      <c r="O100" s="26"/>
      <c r="P100" s="34">
        <f>+P96-P98</f>
        <v>-465711.5399999998</v>
      </c>
      <c r="Q100" s="13"/>
      <c r="R100" s="31">
        <f>IF(P$12=0,0,P100/P$12)</f>
        <v>-0.76009998013049584</v>
      </c>
      <c r="S100" s="13"/>
      <c r="T100" s="34">
        <f>+T96-T98</f>
        <v>-312780.97683175025</v>
      </c>
      <c r="U100" s="13"/>
      <c r="V100" s="31">
        <f>IF(T$12=0,0,T100/T$12)</f>
        <v>-0.39343816032793988</v>
      </c>
      <c r="W100" s="16"/>
      <c r="X100" s="34">
        <f>P100-T100</f>
        <v>-152930.56316824956</v>
      </c>
      <c r="Y100" s="16"/>
      <c r="Z100" s="31">
        <f>IF(T100=0,0,X100/T100)</f>
        <v>0.48893818517138682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5" t="s">
        <v>5</v>
      </c>
      <c r="C103" s="25"/>
      <c r="D103" s="33">
        <f>SUM(D100:D102)</f>
        <v>-125542.39999999999</v>
      </c>
      <c r="E103" s="13"/>
      <c r="F103" s="32">
        <f>IF(D$12=0,0,D103/D$12)</f>
        <v>-1.475599361157852</v>
      </c>
      <c r="G103" s="13"/>
      <c r="H103" s="33">
        <f>SUM(H100:H102)</f>
        <v>-65652.793859519283</v>
      </c>
      <c r="I103" s="13"/>
      <c r="J103" s="32">
        <f>IF(H$12=0,0,H103/H$12)</f>
        <v>-0.57679725415354788</v>
      </c>
      <c r="K103" s="16"/>
      <c r="L103" s="33">
        <f>+D103-H103</f>
        <v>-59889.606140480711</v>
      </c>
      <c r="M103" s="16"/>
      <c r="N103" s="32">
        <f>IF(H103=0,0,L103/H103)</f>
        <v>0.91221717492525356</v>
      </c>
      <c r="O103" s="26"/>
      <c r="P103" s="33">
        <f>SUM(P100:P102)</f>
        <v>-465711.5399999998</v>
      </c>
      <c r="Q103" s="13"/>
      <c r="R103" s="32">
        <f>IF(P$12=0,0,P103/P$12)</f>
        <v>-0.76009998013049584</v>
      </c>
      <c r="S103" s="13"/>
      <c r="T103" s="33">
        <f>SUM(T100:T102)</f>
        <v>-312780.97683175025</v>
      </c>
      <c r="U103" s="13"/>
      <c r="V103" s="32">
        <f>IF(T$12=0,0,T103/T$12)</f>
        <v>-0.39343816032793988</v>
      </c>
      <c r="W103" s="16"/>
      <c r="X103" s="33">
        <f>+P103-T103</f>
        <v>-152930.56316824956</v>
      </c>
      <c r="Y103" s="16"/>
      <c r="Z103" s="32">
        <f>IF(T103=0,0,X103/T103)</f>
        <v>0.48893818517138682</v>
      </c>
    </row>
    <row r="104" spans="1:26" ht="15.75" thickTop="1" x14ac:dyDescent="0.25">
      <c r="A104" s="9"/>
      <c r="C104" s="9"/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63">
        <v>44209.518917326386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60" t="s">
        <v>314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58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","450", " - ", "Beachside Dining Hall")</f>
        <v>Department 450 - Beachside Dining Hall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40355</v>
      </c>
      <c r="I12" s="4"/>
      <c r="J12" s="12"/>
      <c r="K12" s="4"/>
      <c r="L12" s="4">
        <f t="shared" ref="L12:L14" si="0">+D12-H12</f>
        <v>-40355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266093</v>
      </c>
      <c r="U12" s="4"/>
      <c r="V12" s="12"/>
      <c r="W12" s="4"/>
      <c r="X12" s="4">
        <f t="shared" ref="X12:X14" si="2">+P12-T12</f>
        <v>-266093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 t="shared" ref="D13:D14" si="4">0</f>
        <v>0</v>
      </c>
      <c r="E13" s="2"/>
      <c r="F13" s="22"/>
      <c r="G13" s="2"/>
      <c r="H13" s="2">
        <v>40355</v>
      </c>
      <c r="I13" s="2"/>
      <c r="J13" s="22"/>
      <c r="K13" s="2"/>
      <c r="L13" s="2">
        <f t="shared" si="0"/>
        <v>-40355</v>
      </c>
      <c r="M13" s="2"/>
      <c r="N13" s="22">
        <f t="shared" si="1"/>
        <v>-1</v>
      </c>
      <c r="O13" s="11"/>
      <c r="P13" s="2">
        <f t="shared" ref="P13:P14" si="5">0</f>
        <v>0</v>
      </c>
      <c r="Q13" s="2"/>
      <c r="R13" s="22"/>
      <c r="S13" s="2"/>
      <c r="T13" s="2">
        <v>266093</v>
      </c>
      <c r="U13" s="2"/>
      <c r="V13" s="22"/>
      <c r="W13" s="2"/>
      <c r="X13" s="2">
        <f t="shared" si="2"/>
        <v>-266093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 t="shared" si="5"/>
        <v>0</v>
      </c>
      <c r="Q14" s="2"/>
      <c r="R14" s="22"/>
      <c r="S14" s="2"/>
      <c r="T14" s="2"/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10896</v>
      </c>
      <c r="I16" s="4"/>
      <c r="J16" s="12">
        <f t="shared" ref="J16:J17" si="7">IF(H$12=0,0,H16/H$12)</f>
        <v>0.27000371701152276</v>
      </c>
      <c r="K16" s="4"/>
      <c r="L16" s="4">
        <f t="shared" ref="L16:L17" si="8">+D16-H16</f>
        <v>-10896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70997</v>
      </c>
      <c r="U16" s="4"/>
      <c r="V16" s="12">
        <f t="shared" ref="V16:V17" si="11">IF(T$12=0,0,T16/T$12)</f>
        <v>0.26681273088732133</v>
      </c>
      <c r="W16" s="4"/>
      <c r="X16" s="4">
        <f t="shared" ref="X16:X17" si="12">+P16-T16</f>
        <v>-70997</v>
      </c>
      <c r="Y16" s="4"/>
      <c r="Z16" s="12">
        <f t="shared" ref="Z16:Z17" si="13">IF(T16=0,0,X16/T16)</f>
        <v>-1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10896</v>
      </c>
      <c r="I17" s="2"/>
      <c r="J17" s="22">
        <f t="shared" si="7"/>
        <v>0.27000371701152276</v>
      </c>
      <c r="K17" s="2"/>
      <c r="L17" s="2">
        <f t="shared" si="8"/>
        <v>-10896</v>
      </c>
      <c r="M17" s="2"/>
      <c r="N17" s="22">
        <f t="shared" si="9"/>
        <v>-1</v>
      </c>
      <c r="O17" s="11"/>
      <c r="P17" s="2"/>
      <c r="Q17" s="2"/>
      <c r="R17" s="22">
        <f t="shared" si="10"/>
        <v>0</v>
      </c>
      <c r="S17" s="2"/>
      <c r="T17" s="2">
        <v>70997</v>
      </c>
      <c r="U17" s="2"/>
      <c r="V17" s="22">
        <f t="shared" si="11"/>
        <v>0.26681273088732133</v>
      </c>
      <c r="W17" s="2"/>
      <c r="X17" s="2">
        <f t="shared" si="12"/>
        <v>-70997</v>
      </c>
      <c r="Y17" s="2"/>
      <c r="Z17" s="22">
        <f t="shared" si="13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21">
        <f>D12-D16</f>
        <v>0</v>
      </c>
      <c r="E19" s="13"/>
      <c r="F19" s="19">
        <f>IF(D$12=0,0,D19/D$12)</f>
        <v>0</v>
      </c>
      <c r="G19" s="13"/>
      <c r="H19" s="21">
        <f>H12-H16</f>
        <v>29459</v>
      </c>
      <c r="I19" s="13"/>
      <c r="J19" s="19">
        <f>IF(H$12=0,0,H19/H$12)</f>
        <v>0.7299962829884773</v>
      </c>
      <c r="K19" s="16"/>
      <c r="L19" s="21">
        <f>+D19-H19</f>
        <v>-29459</v>
      </c>
      <c r="M19" s="16"/>
      <c r="N19" s="19">
        <f>IF(H19=0,0,L19/H19)</f>
        <v>-1</v>
      </c>
      <c r="O19" s="26"/>
      <c r="P19" s="21">
        <f>P12-P16</f>
        <v>0</v>
      </c>
      <c r="Q19" s="13"/>
      <c r="R19" s="19">
        <f>IF(P$12=0,0,P19/P$12)</f>
        <v>0</v>
      </c>
      <c r="S19" s="13"/>
      <c r="T19" s="21">
        <f>T12-T16</f>
        <v>195096</v>
      </c>
      <c r="U19" s="13"/>
      <c r="V19" s="19">
        <f>IF(T$12=0,0,T19/T$12)</f>
        <v>0.73318726911267862</v>
      </c>
      <c r="W19" s="16"/>
      <c r="X19" s="21">
        <f>+P19-T19</f>
        <v>-195096</v>
      </c>
      <c r="Y19" s="16"/>
      <c r="Z19" s="19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20">
        <f>SUM(OSRRefD22x_0)</f>
        <v>37830.829999999994</v>
      </c>
      <c r="E21" s="20"/>
      <c r="F21" s="30">
        <f t="shared" ref="F21:F32" si="14">IF(D$12=0,0,D21/D$12)</f>
        <v>0</v>
      </c>
      <c r="G21" s="20"/>
      <c r="H21" s="20">
        <f>SUM(OSRRefH22x_0)</f>
        <v>87032.318295587669</v>
      </c>
      <c r="I21" s="20"/>
      <c r="J21" s="30">
        <f t="shared" ref="J21:J32" si="15">IF(H$12=0,0,H21/H$12)</f>
        <v>2.1566675330340148</v>
      </c>
      <c r="K21" s="4"/>
      <c r="L21" s="20">
        <f t="shared" ref="L21:L32" si="16">+D21-H21</f>
        <v>-49201.488295587675</v>
      </c>
      <c r="M21" s="4"/>
      <c r="N21" s="30">
        <f t="shared" ref="N21:N32" si="17">IF(H21=0,0,L21/H21)</f>
        <v>-0.56532434455537273</v>
      </c>
      <c r="O21" s="10"/>
      <c r="P21" s="20">
        <f>SUM(OSRRefP22x_0)</f>
        <v>248870.62999999998</v>
      </c>
      <c r="Q21" s="20"/>
      <c r="R21" s="30">
        <f t="shared" ref="R21:R32" si="18">IF(P$12=0,0,P21/P$12)</f>
        <v>0</v>
      </c>
      <c r="S21" s="20"/>
      <c r="T21" s="20">
        <f>SUM(OSRRefT22x_0)</f>
        <v>540964.92254631966</v>
      </c>
      <c r="U21" s="20"/>
      <c r="V21" s="30">
        <f t="shared" ref="V21:V32" si="19">IF(T$12=0,0,T21/T$12)</f>
        <v>2.0329919334455235</v>
      </c>
      <c r="W21" s="4"/>
      <c r="X21" s="20">
        <f t="shared" ref="X21:X32" si="20">+P21-T21</f>
        <v>-292094.29254631966</v>
      </c>
      <c r="Y21" s="4"/>
      <c r="Z21" s="30">
        <f t="shared" ref="Z21:Z32" si="21">IF(T21=0,0,X21/T21)</f>
        <v>-0.53995052243208863</v>
      </c>
    </row>
    <row r="22" spans="1:26" s="28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19389.310000000001</v>
      </c>
      <c r="E22" s="1"/>
      <c r="F22" s="5">
        <f t="shared" si="14"/>
        <v>0</v>
      </c>
      <c r="G22" s="1"/>
      <c r="H22" s="1">
        <f>SUM(OSRRefH22_0x_0)</f>
        <v>28069.930837126118</v>
      </c>
      <c r="I22" s="1"/>
      <c r="J22" s="5">
        <f t="shared" si="15"/>
        <v>0.69557504242661672</v>
      </c>
      <c r="K22" s="1"/>
      <c r="L22" s="1">
        <f t="shared" si="16"/>
        <v>-8680.6208371261164</v>
      </c>
      <c r="M22" s="1"/>
      <c r="N22" s="5">
        <f t="shared" si="17"/>
        <v>-0.30924981210302349</v>
      </c>
      <c r="O22" s="14"/>
      <c r="P22" s="1">
        <f>SUM(OSRRefP22_0x_0)</f>
        <v>118396.57</v>
      </c>
      <c r="Q22" s="1"/>
      <c r="R22" s="5">
        <f t="shared" si="18"/>
        <v>0</v>
      </c>
      <c r="S22" s="1"/>
      <c r="T22" s="1">
        <f>SUM(OSRRefT22_0x_0)</f>
        <v>180093.99656631978</v>
      </c>
      <c r="U22" s="1"/>
      <c r="V22" s="5">
        <f t="shared" si="19"/>
        <v>0.67680847134768585</v>
      </c>
      <c r="W22" s="1"/>
      <c r="X22" s="1">
        <f t="shared" si="20"/>
        <v>-61697.426566319773</v>
      </c>
      <c r="Y22" s="1"/>
      <c r="Z22" s="5">
        <f t="shared" si="21"/>
        <v>-0.34258458217733895</v>
      </c>
    </row>
    <row r="23" spans="1:26" s="24" customFormat="1" hidden="1" outlineLevel="2" x14ac:dyDescent="0.25">
      <c r="A23" s="29"/>
      <c r="B23" s="11" t="str">
        <f>CONCATENATE("          ", "6111", " - ", "F.I.C.A.")</f>
        <v xml:space="preserve">          6111 - F.I.C.A.</v>
      </c>
      <c r="C23" s="11"/>
      <c r="D23" s="7">
        <v>1490.37</v>
      </c>
      <c r="E23" s="2"/>
      <c r="F23" s="6">
        <f t="shared" si="14"/>
        <v>0</v>
      </c>
      <c r="G23" s="2"/>
      <c r="H23" s="7">
        <v>2637.7353029723099</v>
      </c>
      <c r="I23" s="2"/>
      <c r="J23" s="6">
        <f t="shared" si="15"/>
        <v>6.5363283433832478E-2</v>
      </c>
      <c r="K23" s="2"/>
      <c r="L23" s="7">
        <f t="shared" si="16"/>
        <v>-1147.36530297231</v>
      </c>
      <c r="M23" s="2"/>
      <c r="N23" s="6">
        <f t="shared" si="17"/>
        <v>-0.43498121349758295</v>
      </c>
      <c r="O23" s="11"/>
      <c r="P23" s="7">
        <v>10254.629999999999</v>
      </c>
      <c r="Q23" s="2"/>
      <c r="R23" s="6">
        <f t="shared" si="18"/>
        <v>0</v>
      </c>
      <c r="S23" s="2"/>
      <c r="T23" s="7">
        <v>17508.796969319999</v>
      </c>
      <c r="U23" s="2"/>
      <c r="V23" s="6">
        <f t="shared" si="19"/>
        <v>6.5799539895149431E-2</v>
      </c>
      <c r="W23" s="2"/>
      <c r="X23" s="7">
        <f t="shared" si="20"/>
        <v>-7254.1669693200001</v>
      </c>
      <c r="Y23" s="2"/>
      <c r="Z23" s="6">
        <f t="shared" si="21"/>
        <v>-0.41431555703291334</v>
      </c>
    </row>
    <row r="24" spans="1:26" s="24" customFormat="1" hidden="1" outlineLevel="2" x14ac:dyDescent="0.25">
      <c r="A24" s="29"/>
      <c r="B24" s="11" t="str">
        <f>CONCATENATE("          ", "6112", " - ", "COMPENSATION INSURANCE")</f>
        <v xml:space="preserve">          6112 - COMPENSATION INSURANCE</v>
      </c>
      <c r="C24" s="11"/>
      <c r="D24" s="7">
        <v>1428.3</v>
      </c>
      <c r="E24" s="2"/>
      <c r="F24" s="6">
        <f t="shared" si="14"/>
        <v>0</v>
      </c>
      <c r="G24" s="2"/>
      <c r="H24" s="7">
        <v>1864.9352303999999</v>
      </c>
      <c r="I24" s="2"/>
      <c r="J24" s="6">
        <f t="shared" si="15"/>
        <v>4.6213238270350634E-2</v>
      </c>
      <c r="K24" s="2"/>
      <c r="L24" s="7">
        <f t="shared" si="16"/>
        <v>-436.63523039999995</v>
      </c>
      <c r="M24" s="2"/>
      <c r="N24" s="6">
        <f t="shared" si="17"/>
        <v>-0.23412889803489229</v>
      </c>
      <c r="O24" s="11"/>
      <c r="P24" s="7">
        <v>6192.09</v>
      </c>
      <c r="Q24" s="2"/>
      <c r="R24" s="6">
        <f t="shared" si="18"/>
        <v>0</v>
      </c>
      <c r="S24" s="2"/>
      <c r="T24" s="7">
        <v>11699.288772599999</v>
      </c>
      <c r="U24" s="2"/>
      <c r="V24" s="6">
        <f t="shared" si="19"/>
        <v>4.3966916726858651E-2</v>
      </c>
      <c r="W24" s="2"/>
      <c r="X24" s="7">
        <f t="shared" si="20"/>
        <v>-5507.1987725999988</v>
      </c>
      <c r="Y24" s="2"/>
      <c r="Z24" s="6">
        <f t="shared" si="21"/>
        <v>-0.47072936480531907</v>
      </c>
    </row>
    <row r="25" spans="1:26" s="24" customFormat="1" hidden="1" outlineLevel="2" x14ac:dyDescent="0.25">
      <c r="A25" s="29"/>
      <c r="B25" s="11" t="str">
        <f>CONCATENATE("          ", "6113", " - ", "GROUP INSURANCE")</f>
        <v xml:space="preserve">          6113 - GROUP INSURANCE</v>
      </c>
      <c r="C25" s="11"/>
      <c r="D25" s="7">
        <v>12616.94</v>
      </c>
      <c r="E25" s="2"/>
      <c r="F25" s="6">
        <f t="shared" si="14"/>
        <v>0</v>
      </c>
      <c r="G25" s="2"/>
      <c r="H25" s="7">
        <v>19310.769230769198</v>
      </c>
      <c r="I25" s="2"/>
      <c r="J25" s="6">
        <f t="shared" si="15"/>
        <v>0.47852234495773011</v>
      </c>
      <c r="K25" s="2"/>
      <c r="L25" s="7">
        <f t="shared" si="16"/>
        <v>-6693.8292307691972</v>
      </c>
      <c r="M25" s="2"/>
      <c r="N25" s="6">
        <f t="shared" si="17"/>
        <v>-0.34663710962396316</v>
      </c>
      <c r="O25" s="11"/>
      <c r="P25" s="7">
        <v>75701.600000000006</v>
      </c>
      <c r="Q25" s="2"/>
      <c r="R25" s="6">
        <f t="shared" si="18"/>
        <v>0</v>
      </c>
      <c r="S25" s="2"/>
      <c r="T25" s="7">
        <v>123539.9999999998</v>
      </c>
      <c r="U25" s="2"/>
      <c r="V25" s="6">
        <f t="shared" si="19"/>
        <v>0.46427376894544314</v>
      </c>
      <c r="W25" s="2"/>
      <c r="X25" s="7">
        <f t="shared" si="20"/>
        <v>-47838.39999999979</v>
      </c>
      <c r="Y25" s="2"/>
      <c r="Z25" s="6">
        <f t="shared" si="21"/>
        <v>-0.38723004694835578</v>
      </c>
    </row>
    <row r="26" spans="1:26" s="24" customFormat="1" hidden="1" outlineLevel="2" x14ac:dyDescent="0.2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4"/>
        <v>0</v>
      </c>
      <c r="G26" s="2"/>
      <c r="H26" s="7">
        <v>113.0263776</v>
      </c>
      <c r="I26" s="2"/>
      <c r="J26" s="6">
        <f t="shared" si="15"/>
        <v>2.8008023194151903E-3</v>
      </c>
      <c r="K26" s="2"/>
      <c r="L26" s="7">
        <f t="shared" si="16"/>
        <v>-113.0263776</v>
      </c>
      <c r="M26" s="2"/>
      <c r="N26" s="6">
        <f t="shared" si="17"/>
        <v>-1</v>
      </c>
      <c r="O26" s="11"/>
      <c r="P26" s="7">
        <v>297.38</v>
      </c>
      <c r="Q26" s="2"/>
      <c r="R26" s="6">
        <f t="shared" si="18"/>
        <v>0</v>
      </c>
      <c r="S26" s="2"/>
      <c r="T26" s="7">
        <v>709.04780440000002</v>
      </c>
      <c r="U26" s="2"/>
      <c r="V26" s="6">
        <f t="shared" si="19"/>
        <v>2.6646616198096156E-3</v>
      </c>
      <c r="W26" s="2"/>
      <c r="X26" s="7">
        <f t="shared" si="20"/>
        <v>-411.66780440000002</v>
      </c>
      <c r="Y26" s="2"/>
      <c r="Z26" s="6">
        <f t="shared" si="21"/>
        <v>-0.58059245349240662</v>
      </c>
    </row>
    <row r="27" spans="1:26" s="24" customFormat="1" hidden="1" outlineLevel="2" x14ac:dyDescent="0.25">
      <c r="A27" s="29"/>
      <c r="B27" s="11" t="str">
        <f>CONCATENATE("          ", "6115", " - ", "P.E.R.S.")</f>
        <v xml:space="preserve">          6115 - P.E.R.S.</v>
      </c>
      <c r="C27" s="11"/>
      <c r="D27" s="7">
        <v>485.07</v>
      </c>
      <c r="E27" s="2"/>
      <c r="F27" s="6">
        <f t="shared" si="14"/>
        <v>0</v>
      </c>
      <c r="G27" s="2"/>
      <c r="H27" s="7">
        <v>808.168461538462</v>
      </c>
      <c r="I27" s="2"/>
      <c r="J27" s="6">
        <f t="shared" si="15"/>
        <v>2.002647655900042E-2</v>
      </c>
      <c r="K27" s="2"/>
      <c r="L27" s="7">
        <f t="shared" si="16"/>
        <v>-323.098461538462</v>
      </c>
      <c r="M27" s="2"/>
      <c r="N27" s="6">
        <f t="shared" si="17"/>
        <v>-0.39979098036490901</v>
      </c>
      <c r="O27" s="11"/>
      <c r="P27" s="7">
        <v>3271.18</v>
      </c>
      <c r="Q27" s="2"/>
      <c r="R27" s="6">
        <f t="shared" si="18"/>
        <v>0</v>
      </c>
      <c r="S27" s="2"/>
      <c r="T27" s="7">
        <v>5253.0950000000084</v>
      </c>
      <c r="U27" s="2"/>
      <c r="V27" s="6">
        <f t="shared" si="19"/>
        <v>1.9741575313894047E-2</v>
      </c>
      <c r="W27" s="2"/>
      <c r="X27" s="7">
        <f t="shared" si="20"/>
        <v>-1981.9150000000086</v>
      </c>
      <c r="Y27" s="2"/>
      <c r="Z27" s="6">
        <f t="shared" si="21"/>
        <v>-0.37728520043898034</v>
      </c>
    </row>
    <row r="28" spans="1:26" s="24" customFormat="1" hidden="1" outlineLevel="2" x14ac:dyDescent="0.25">
      <c r="A28" s="29"/>
      <c r="B28" s="11" t="str">
        <f>CONCATENATE("          ", "6116", " - ", "EDUCATIONAL BENEFITS")</f>
        <v xml:space="preserve">          6116 - EDUCATIONAL BENEFITS</v>
      </c>
      <c r="C28" s="11"/>
      <c r="D28" s="7"/>
      <c r="E28" s="2"/>
      <c r="F28" s="6">
        <f t="shared" si="14"/>
        <v>0</v>
      </c>
      <c r="G28" s="2"/>
      <c r="H28" s="7">
        <v>0</v>
      </c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0</v>
      </c>
      <c r="U28" s="2"/>
      <c r="V28" s="6">
        <f t="shared" si="19"/>
        <v>0</v>
      </c>
      <c r="W28" s="2"/>
      <c r="X28" s="7">
        <f t="shared" si="20"/>
        <v>0</v>
      </c>
      <c r="Y28" s="2"/>
      <c r="Z28" s="6">
        <f t="shared" si="21"/>
        <v>0</v>
      </c>
    </row>
    <row r="29" spans="1:26" s="24" customFormat="1" hidden="1" outlineLevel="2" x14ac:dyDescent="0.25">
      <c r="A29" s="29"/>
      <c r="B29" s="11" t="str">
        <f>CONCATENATE("          ", "6117", " - ", "RETIREMENT STAFF HOURLY")</f>
        <v xml:space="preserve">          6117 - RETIREMENT STAFF HOURLY</v>
      </c>
      <c r="C29" s="11"/>
      <c r="D29" s="7">
        <v>543.59</v>
      </c>
      <c r="E29" s="2"/>
      <c r="F29" s="6">
        <f t="shared" si="14"/>
        <v>0</v>
      </c>
      <c r="G29" s="2"/>
      <c r="H29" s="7"/>
      <c r="I29" s="2"/>
      <c r="J29" s="6">
        <f t="shared" si="15"/>
        <v>0</v>
      </c>
      <c r="K29" s="2"/>
      <c r="L29" s="7">
        <f t="shared" si="16"/>
        <v>543.59</v>
      </c>
      <c r="M29" s="2"/>
      <c r="N29" s="6">
        <f t="shared" si="17"/>
        <v>0</v>
      </c>
      <c r="O29" s="11"/>
      <c r="P29" s="7">
        <v>3448.49</v>
      </c>
      <c r="Q29" s="2"/>
      <c r="R29" s="6">
        <f t="shared" si="18"/>
        <v>0</v>
      </c>
      <c r="S29" s="2"/>
      <c r="T29" s="7"/>
      <c r="U29" s="2"/>
      <c r="V29" s="6">
        <f t="shared" si="19"/>
        <v>0</v>
      </c>
      <c r="W29" s="2"/>
      <c r="X29" s="7">
        <f t="shared" si="20"/>
        <v>3448.49</v>
      </c>
      <c r="Y29" s="2"/>
      <c r="Z29" s="6">
        <f t="shared" si="21"/>
        <v>0</v>
      </c>
    </row>
    <row r="30" spans="1:26" s="24" customFormat="1" hidden="1" outlineLevel="2" x14ac:dyDescent="0.25">
      <c r="A30" s="29"/>
      <c r="B30" s="11" t="str">
        <f>CONCATENATE("          ", "6118", " - ", "VACATION")</f>
        <v xml:space="preserve">          6118 - VACATION</v>
      </c>
      <c r="C30" s="11"/>
      <c r="D30" s="7">
        <v>1242.1199999999999</v>
      </c>
      <c r="E30" s="2"/>
      <c r="F30" s="6">
        <f t="shared" si="14"/>
        <v>0</v>
      </c>
      <c r="G30" s="2"/>
      <c r="H30" s="7">
        <v>1943.1995692307701</v>
      </c>
      <c r="I30" s="2"/>
      <c r="J30" s="6">
        <f t="shared" si="15"/>
        <v>4.8152634598705737E-2</v>
      </c>
      <c r="K30" s="2"/>
      <c r="L30" s="7">
        <f t="shared" si="16"/>
        <v>-701.07956923077018</v>
      </c>
      <c r="M30" s="2"/>
      <c r="N30" s="6">
        <f t="shared" si="17"/>
        <v>-0.36078619012266339</v>
      </c>
      <c r="O30" s="11"/>
      <c r="P30" s="7">
        <v>8010.05</v>
      </c>
      <c r="Q30" s="2"/>
      <c r="R30" s="6">
        <f t="shared" si="18"/>
        <v>0</v>
      </c>
      <c r="S30" s="2"/>
      <c r="T30" s="7">
        <v>12630.797200000001</v>
      </c>
      <c r="U30" s="2"/>
      <c r="V30" s="6">
        <f t="shared" si="19"/>
        <v>4.7467604183499761E-2</v>
      </c>
      <c r="W30" s="2"/>
      <c r="X30" s="7">
        <f t="shared" si="20"/>
        <v>-4620.7472000000007</v>
      </c>
      <c r="Y30" s="2"/>
      <c r="Z30" s="6">
        <f t="shared" si="21"/>
        <v>-0.36583179405334765</v>
      </c>
    </row>
    <row r="31" spans="1:26" s="24" customFormat="1" hidden="1" outlineLevel="2" x14ac:dyDescent="0.25">
      <c r="A31" s="29"/>
      <c r="B31" s="11" t="str">
        <f>CONCATENATE("          ", "6119", " - ", "SICK LEAVE")</f>
        <v xml:space="preserve">          6119 - SICK LEAVE</v>
      </c>
      <c r="C31" s="11"/>
      <c r="D31" s="7">
        <v>946.52</v>
      </c>
      <c r="E31" s="2"/>
      <c r="F31" s="6">
        <f t="shared" si="14"/>
        <v>0</v>
      </c>
      <c r="G31" s="2"/>
      <c r="H31" s="7">
        <v>1392.09666461538</v>
      </c>
      <c r="I31" s="2"/>
      <c r="J31" s="6">
        <f t="shared" si="15"/>
        <v>3.4496262287582208E-2</v>
      </c>
      <c r="K31" s="2"/>
      <c r="L31" s="7">
        <f t="shared" si="16"/>
        <v>-445.57666461537997</v>
      </c>
      <c r="M31" s="2"/>
      <c r="N31" s="6">
        <f t="shared" si="17"/>
        <v>-0.32007595157803759</v>
      </c>
      <c r="O31" s="11"/>
      <c r="P31" s="7">
        <v>6152.37</v>
      </c>
      <c r="Q31" s="2"/>
      <c r="R31" s="6">
        <f t="shared" si="18"/>
        <v>0</v>
      </c>
      <c r="S31" s="2"/>
      <c r="T31" s="7">
        <v>8752.9708199999804</v>
      </c>
      <c r="U31" s="2"/>
      <c r="V31" s="6">
        <f t="shared" si="19"/>
        <v>3.2894404663031271E-2</v>
      </c>
      <c r="W31" s="2"/>
      <c r="X31" s="7">
        <f t="shared" si="20"/>
        <v>-2600.6008199999806</v>
      </c>
      <c r="Y31" s="2"/>
      <c r="Z31" s="6">
        <f t="shared" si="21"/>
        <v>-0.29711064659986908</v>
      </c>
    </row>
    <row r="32" spans="1:26" s="24" customFormat="1" hidden="1" outlineLevel="2" x14ac:dyDescent="0.25">
      <c r="A32" s="29"/>
      <c r="B32" s="11" t="str">
        <f>CONCATENATE("          ", "6156", " - ", "EMPLOYEE MEALS")</f>
        <v xml:space="preserve">          6156 - EMPLOYEE MEALS</v>
      </c>
      <c r="C32" s="11"/>
      <c r="D32" s="7">
        <v>636.4</v>
      </c>
      <c r="E32" s="2"/>
      <c r="F32" s="6">
        <f t="shared" si="14"/>
        <v>0</v>
      </c>
      <c r="G32" s="2"/>
      <c r="H32" s="7"/>
      <c r="I32" s="2"/>
      <c r="J32" s="6">
        <f t="shared" si="15"/>
        <v>0</v>
      </c>
      <c r="K32" s="2"/>
      <c r="L32" s="7">
        <f t="shared" si="16"/>
        <v>636.4</v>
      </c>
      <c r="M32" s="2"/>
      <c r="N32" s="6">
        <f t="shared" si="17"/>
        <v>0</v>
      </c>
      <c r="O32" s="11"/>
      <c r="P32" s="7">
        <v>5068.78</v>
      </c>
      <c r="Q32" s="2"/>
      <c r="R32" s="6">
        <f t="shared" si="18"/>
        <v>0</v>
      </c>
      <c r="S32" s="2"/>
      <c r="T32" s="7"/>
      <c r="U32" s="2"/>
      <c r="V32" s="6">
        <f t="shared" si="19"/>
        <v>0</v>
      </c>
      <c r="W32" s="2"/>
      <c r="X32" s="7">
        <f t="shared" si="20"/>
        <v>5068.78</v>
      </c>
      <c r="Y32" s="2"/>
      <c r="Z32" s="6">
        <f t="shared" si="21"/>
        <v>0</v>
      </c>
    </row>
    <row r="33" spans="1:26" s="28" customFormat="1" outlineLevel="1" collapsed="1" x14ac:dyDescent="0.25">
      <c r="A33" s="27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17430.64</v>
      </c>
      <c r="E33" s="1"/>
      <c r="F33" s="5">
        <f t="shared" ref="F33:F43" si="22">IF(D$12=0,0,D33/D$12)</f>
        <v>0</v>
      </c>
      <c r="G33" s="1"/>
      <c r="H33" s="1">
        <f>SUM(OSRRefH22_1x_0)</f>
        <v>40136.387458461541</v>
      </c>
      <c r="I33" s="1"/>
      <c r="J33" s="5">
        <f t="shared" ref="J33:J43" si="23">IF(H$12=0,0,H33/H$12)</f>
        <v>0.99458276442724669</v>
      </c>
      <c r="K33" s="1"/>
      <c r="L33" s="1">
        <f t="shared" ref="L33:L43" si="24">+D33-H33</f>
        <v>-22705.747458461541</v>
      </c>
      <c r="M33" s="1"/>
      <c r="N33" s="5">
        <f t="shared" ref="N33:N43" si="25">IF(H33=0,0,L33/H33)</f>
        <v>-0.56571477644719426</v>
      </c>
      <c r="O33" s="14"/>
      <c r="P33" s="1">
        <f>SUM(OSRRefP22_1x_0)</f>
        <v>124139.46</v>
      </c>
      <c r="Q33" s="1"/>
      <c r="R33" s="5">
        <f t="shared" ref="R33:R43" si="26">IF(P$12=0,0,P33/P$12)</f>
        <v>0</v>
      </c>
      <c r="S33" s="1"/>
      <c r="T33" s="1">
        <f>SUM(OSRRefT22_1x_0)</f>
        <v>251326.92597999994</v>
      </c>
      <c r="U33" s="1"/>
      <c r="V33" s="5">
        <f t="shared" ref="V33:V43" si="27">IF(T$12=0,0,T33/T$12)</f>
        <v>0.94450784492639772</v>
      </c>
      <c r="W33" s="1"/>
      <c r="X33" s="1">
        <f t="shared" ref="X33:X43" si="28">+P33-T33</f>
        <v>-127187.46597999994</v>
      </c>
      <c r="Y33" s="1"/>
      <c r="Z33" s="5">
        <f t="shared" ref="Z33:Z43" si="29">IF(T33=0,0,X33/T33)</f>
        <v>-0.50606382696186414</v>
      </c>
    </row>
    <row r="34" spans="1:26" s="24" customFormat="1" hidden="1" outlineLevel="2" x14ac:dyDescent="0.25">
      <c r="A34" s="29"/>
      <c r="B34" s="11" t="str">
        <f>CONCATENATE("          ", "6001", " - ", "ADMINISTRATIVE SALARIES")</f>
        <v xml:space="preserve">          6001 - ADMINISTRATIVE SALARIES</v>
      </c>
      <c r="C34" s="11"/>
      <c r="D34" s="7"/>
      <c r="E34" s="2"/>
      <c r="F34" s="6">
        <f t="shared" si="22"/>
        <v>0</v>
      </c>
      <c r="G34" s="2"/>
      <c r="H34" s="7">
        <v>0</v>
      </c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0</v>
      </c>
      <c r="U34" s="2"/>
      <c r="V34" s="6">
        <f t="shared" si="27"/>
        <v>0</v>
      </c>
      <c r="W34" s="2"/>
      <c r="X34" s="7">
        <f t="shared" si="28"/>
        <v>0</v>
      </c>
      <c r="Y34" s="2"/>
      <c r="Z34" s="6">
        <f t="shared" si="29"/>
        <v>0</v>
      </c>
    </row>
    <row r="35" spans="1:26" s="24" customFormat="1" hidden="1" outlineLevel="2" x14ac:dyDescent="0.25">
      <c r="A35" s="29"/>
      <c r="B35" s="11" t="str">
        <f>CONCATENATE("          ", "6002", " - ", "STAFF SALARIES")</f>
        <v xml:space="preserve">          6002 - STAFF SALARIES</v>
      </c>
      <c r="C35" s="11"/>
      <c r="D35" s="7">
        <v>3626.07</v>
      </c>
      <c r="E35" s="2"/>
      <c r="F35" s="6">
        <f t="shared" si="22"/>
        <v>0</v>
      </c>
      <c r="G35" s="2"/>
      <c r="H35" s="7">
        <v>8337.7115384615408</v>
      </c>
      <c r="I35" s="2"/>
      <c r="J35" s="6">
        <f t="shared" si="23"/>
        <v>0.20660913241138745</v>
      </c>
      <c r="K35" s="2"/>
      <c r="L35" s="7">
        <f t="shared" si="24"/>
        <v>-4711.6415384615411</v>
      </c>
      <c r="M35" s="2"/>
      <c r="N35" s="6">
        <f t="shared" si="25"/>
        <v>-0.56510008972209236</v>
      </c>
      <c r="O35" s="11"/>
      <c r="P35" s="7">
        <v>26711.99</v>
      </c>
      <c r="Q35" s="2"/>
      <c r="R35" s="6">
        <f t="shared" si="26"/>
        <v>0</v>
      </c>
      <c r="S35" s="2"/>
      <c r="T35" s="7">
        <v>54195.124999999956</v>
      </c>
      <c r="U35" s="2"/>
      <c r="V35" s="6">
        <f t="shared" si="27"/>
        <v>0.20366986354394875</v>
      </c>
      <c r="W35" s="2"/>
      <c r="X35" s="7">
        <f t="shared" si="28"/>
        <v>-27483.134999999955</v>
      </c>
      <c r="Y35" s="2"/>
      <c r="Z35" s="6">
        <f t="shared" si="29"/>
        <v>-0.50711452367717536</v>
      </c>
    </row>
    <row r="36" spans="1:26" s="24" customFormat="1" hidden="1" outlineLevel="2" x14ac:dyDescent="0.25">
      <c r="A36" s="29"/>
      <c r="B36" s="11" t="str">
        <f>CONCATENATE("          ", "6003", " - ", "STAFF HOURLY-9 MONTH")</f>
        <v xml:space="preserve">          6003 - STAFF HOURLY-9 MONTH</v>
      </c>
      <c r="C36" s="11"/>
      <c r="D36" s="7"/>
      <c r="E36" s="2"/>
      <c r="F36" s="6">
        <f t="shared" si="22"/>
        <v>0</v>
      </c>
      <c r="G36" s="2"/>
      <c r="H36" s="7">
        <v>0</v>
      </c>
      <c r="I36" s="2"/>
      <c r="J36" s="6">
        <f t="shared" si="23"/>
        <v>0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/>
      <c r="Q36" s="2"/>
      <c r="R36" s="6">
        <f t="shared" si="26"/>
        <v>0</v>
      </c>
      <c r="S36" s="2"/>
      <c r="T36" s="7">
        <v>0</v>
      </c>
      <c r="U36" s="2"/>
      <c r="V36" s="6">
        <f t="shared" si="27"/>
        <v>0</v>
      </c>
      <c r="W36" s="2"/>
      <c r="X36" s="7">
        <f t="shared" si="28"/>
        <v>0</v>
      </c>
      <c r="Y36" s="2"/>
      <c r="Z36" s="6">
        <f t="shared" si="29"/>
        <v>0</v>
      </c>
    </row>
    <row r="37" spans="1:26" s="24" customFormat="1" hidden="1" outlineLevel="2" x14ac:dyDescent="0.25">
      <c r="A37" s="29"/>
      <c r="B37" s="11" t="str">
        <f>CONCATENATE("          ", "6004", " - ", "STAFF HOURLY")</f>
        <v xml:space="preserve">          6004 - STAFF HOURLY</v>
      </c>
      <c r="C37" s="11"/>
      <c r="D37" s="7">
        <v>13804.57</v>
      </c>
      <c r="E37" s="2"/>
      <c r="F37" s="6">
        <f t="shared" si="22"/>
        <v>0</v>
      </c>
      <c r="G37" s="2"/>
      <c r="H37" s="7">
        <v>23063.825919999999</v>
      </c>
      <c r="I37" s="2"/>
      <c r="J37" s="6">
        <f t="shared" si="23"/>
        <v>0.5715233780200718</v>
      </c>
      <c r="K37" s="2"/>
      <c r="L37" s="7">
        <f t="shared" si="24"/>
        <v>-9259.2559199999996</v>
      </c>
      <c r="M37" s="2"/>
      <c r="N37" s="6">
        <f t="shared" si="25"/>
        <v>-0.40146227048872901</v>
      </c>
      <c r="O37" s="11"/>
      <c r="P37" s="7">
        <v>97427.47</v>
      </c>
      <c r="Q37" s="2"/>
      <c r="R37" s="6">
        <f t="shared" si="26"/>
        <v>0</v>
      </c>
      <c r="S37" s="2"/>
      <c r="T37" s="7">
        <v>149914.86848</v>
      </c>
      <c r="U37" s="2"/>
      <c r="V37" s="6">
        <f t="shared" si="27"/>
        <v>0.56339275546519452</v>
      </c>
      <c r="W37" s="2"/>
      <c r="X37" s="7">
        <f t="shared" si="28"/>
        <v>-52487.398480000003</v>
      </c>
      <c r="Y37" s="2"/>
      <c r="Z37" s="6">
        <f t="shared" si="29"/>
        <v>-0.35011469517449695</v>
      </c>
    </row>
    <row r="38" spans="1:26" s="24" customFormat="1" hidden="1" outlineLevel="2" x14ac:dyDescent="0.25">
      <c r="A38" s="29"/>
      <c r="B38" s="11" t="str">
        <f>CONCATENATE("          ", "6005", " - ", "TEMPORARY WAGES-HOURLY")</f>
        <v xml:space="preserve">          6005 - TEMPORARY WAGES-HOURLY</v>
      </c>
      <c r="C38" s="11"/>
      <c r="D38" s="7"/>
      <c r="E38" s="2"/>
      <c r="F38" s="6">
        <f t="shared" si="22"/>
        <v>0</v>
      </c>
      <c r="G38" s="2"/>
      <c r="H38" s="7">
        <v>2425</v>
      </c>
      <c r="I38" s="2"/>
      <c r="J38" s="6">
        <f t="shared" si="23"/>
        <v>6.009168628422748E-2</v>
      </c>
      <c r="K38" s="2"/>
      <c r="L38" s="7">
        <f t="shared" si="24"/>
        <v>-2425</v>
      </c>
      <c r="M38" s="2"/>
      <c r="N38" s="6">
        <f t="shared" si="25"/>
        <v>-1</v>
      </c>
      <c r="O38" s="11"/>
      <c r="P38" s="7"/>
      <c r="Q38" s="2"/>
      <c r="R38" s="6">
        <f t="shared" si="26"/>
        <v>0</v>
      </c>
      <c r="S38" s="2"/>
      <c r="T38" s="7">
        <v>13417.282499999999</v>
      </c>
      <c r="U38" s="2"/>
      <c r="V38" s="6">
        <f t="shared" si="27"/>
        <v>5.0423282461395075E-2</v>
      </c>
      <c r="W38" s="2"/>
      <c r="X38" s="7">
        <f t="shared" si="28"/>
        <v>-13417.282499999999</v>
      </c>
      <c r="Y38" s="2"/>
      <c r="Z38" s="6">
        <f t="shared" si="29"/>
        <v>-1</v>
      </c>
    </row>
    <row r="39" spans="1:26" s="24" customFormat="1" hidden="1" outlineLevel="2" x14ac:dyDescent="0.25">
      <c r="A39" s="29"/>
      <c r="B39" s="11" t="str">
        <f>CONCATENATE("          ", "6006", " - ", "TEMPORARY PART TIME")</f>
        <v xml:space="preserve">          6006 - TEMPORARY PART TIME</v>
      </c>
      <c r="C39" s="11"/>
      <c r="D39" s="7"/>
      <c r="E39" s="2"/>
      <c r="F39" s="6">
        <f t="shared" si="22"/>
        <v>0</v>
      </c>
      <c r="G39" s="2"/>
      <c r="H39" s="7">
        <v>0</v>
      </c>
      <c r="I39" s="2"/>
      <c r="J39" s="6">
        <f t="shared" si="23"/>
        <v>0</v>
      </c>
      <c r="K39" s="2"/>
      <c r="L39" s="7">
        <f t="shared" si="24"/>
        <v>0</v>
      </c>
      <c r="M39" s="2"/>
      <c r="N39" s="6">
        <f t="shared" si="25"/>
        <v>0</v>
      </c>
      <c r="O39" s="11"/>
      <c r="P39" s="7"/>
      <c r="Q39" s="2"/>
      <c r="R39" s="6">
        <f t="shared" si="26"/>
        <v>0</v>
      </c>
      <c r="S39" s="2"/>
      <c r="T39" s="7">
        <v>0</v>
      </c>
      <c r="U39" s="2"/>
      <c r="V39" s="6">
        <f t="shared" si="27"/>
        <v>0</v>
      </c>
      <c r="W39" s="2"/>
      <c r="X39" s="7">
        <f t="shared" si="28"/>
        <v>0</v>
      </c>
      <c r="Y39" s="2"/>
      <c r="Z39" s="6">
        <f t="shared" si="29"/>
        <v>0</v>
      </c>
    </row>
    <row r="40" spans="1:26" s="24" customFormat="1" hidden="1" outlineLevel="2" x14ac:dyDescent="0.25">
      <c r="A40" s="29"/>
      <c r="B40" s="11" t="str">
        <f>CONCATENATE("          ", "6007", " - ", "STUDENT HOURLY")</f>
        <v xml:space="preserve">          6007 - STUDENT HOURLY</v>
      </c>
      <c r="C40" s="11"/>
      <c r="D40" s="7"/>
      <c r="E40" s="2"/>
      <c r="F40" s="6">
        <f t="shared" si="22"/>
        <v>0</v>
      </c>
      <c r="G40" s="2"/>
      <c r="H40" s="7">
        <v>0</v>
      </c>
      <c r="I40" s="2"/>
      <c r="J40" s="6">
        <f t="shared" si="23"/>
        <v>0</v>
      </c>
      <c r="K40" s="2"/>
      <c r="L40" s="7">
        <f t="shared" si="24"/>
        <v>0</v>
      </c>
      <c r="M40" s="2"/>
      <c r="N40" s="6">
        <f t="shared" si="25"/>
        <v>0</v>
      </c>
      <c r="O40" s="11"/>
      <c r="P40" s="7">
        <v>0</v>
      </c>
      <c r="Q40" s="2"/>
      <c r="R40" s="6">
        <f t="shared" si="26"/>
        <v>0</v>
      </c>
      <c r="S40" s="2"/>
      <c r="T40" s="7">
        <v>4607.5</v>
      </c>
      <c r="U40" s="2"/>
      <c r="V40" s="6">
        <f t="shared" si="27"/>
        <v>1.7315374699822993E-2</v>
      </c>
      <c r="W40" s="2"/>
      <c r="X40" s="7">
        <f t="shared" si="28"/>
        <v>-4607.5</v>
      </c>
      <c r="Y40" s="2"/>
      <c r="Z40" s="6">
        <f t="shared" si="29"/>
        <v>-1</v>
      </c>
    </row>
    <row r="41" spans="1:26" s="24" customFormat="1" hidden="1" outlineLevel="2" x14ac:dyDescent="0.25">
      <c r="A41" s="29"/>
      <c r="B41" s="11" t="str">
        <f>CONCATENATE("          ", "6008", " - ", "STUDENT HOURLY-FICA EXEMPT")</f>
        <v xml:space="preserve">          6008 - STUDENT HOURLY-FICA EXEMPT</v>
      </c>
      <c r="C41" s="11"/>
      <c r="D41" s="7"/>
      <c r="E41" s="2"/>
      <c r="F41" s="6">
        <f t="shared" si="22"/>
        <v>0</v>
      </c>
      <c r="G41" s="2"/>
      <c r="H41" s="7">
        <v>6309.85</v>
      </c>
      <c r="I41" s="2"/>
      <c r="J41" s="6">
        <f t="shared" si="23"/>
        <v>0.15635856771155993</v>
      </c>
      <c r="K41" s="2"/>
      <c r="L41" s="7">
        <f t="shared" si="24"/>
        <v>-6309.85</v>
      </c>
      <c r="M41" s="2"/>
      <c r="N41" s="6">
        <f t="shared" si="25"/>
        <v>-1</v>
      </c>
      <c r="O41" s="11"/>
      <c r="P41" s="7"/>
      <c r="Q41" s="2"/>
      <c r="R41" s="6">
        <f t="shared" si="26"/>
        <v>0</v>
      </c>
      <c r="S41" s="2"/>
      <c r="T41" s="7">
        <v>29192.15</v>
      </c>
      <c r="U41" s="2"/>
      <c r="V41" s="6">
        <f t="shared" si="27"/>
        <v>0.10970656875603643</v>
      </c>
      <c r="W41" s="2"/>
      <c r="X41" s="7">
        <f t="shared" si="28"/>
        <v>-29192.15</v>
      </c>
      <c r="Y41" s="2"/>
      <c r="Z41" s="6">
        <f t="shared" si="29"/>
        <v>-1</v>
      </c>
    </row>
    <row r="42" spans="1:26" s="24" customFormat="1" hidden="1" outlineLevel="2" x14ac:dyDescent="0.25">
      <c r="A42" s="29"/>
      <c r="B42" s="11" t="str">
        <f>CONCATENATE("          ", "6009", " - ", "TEMPORARY-SEASONAL")</f>
        <v xml:space="preserve">          6009 - TEMPORARY-SEASONAL</v>
      </c>
      <c r="C42" s="11"/>
      <c r="D42" s="7"/>
      <c r="E42" s="2"/>
      <c r="F42" s="6">
        <f t="shared" si="22"/>
        <v>0</v>
      </c>
      <c r="G42" s="2"/>
      <c r="H42" s="7">
        <v>0</v>
      </c>
      <c r="I42" s="2"/>
      <c r="J42" s="6">
        <f t="shared" si="23"/>
        <v>0</v>
      </c>
      <c r="K42" s="2"/>
      <c r="L42" s="7">
        <f t="shared" si="24"/>
        <v>0</v>
      </c>
      <c r="M42" s="2"/>
      <c r="N42" s="6">
        <f t="shared" si="25"/>
        <v>0</v>
      </c>
      <c r="O42" s="11"/>
      <c r="P42" s="7"/>
      <c r="Q42" s="2"/>
      <c r="R42" s="6">
        <f t="shared" si="26"/>
        <v>0</v>
      </c>
      <c r="S42" s="2"/>
      <c r="T42" s="7">
        <v>0</v>
      </c>
      <c r="U42" s="2"/>
      <c r="V42" s="6">
        <f t="shared" si="27"/>
        <v>0</v>
      </c>
      <c r="W42" s="2"/>
      <c r="X42" s="7">
        <f t="shared" si="28"/>
        <v>0</v>
      </c>
      <c r="Y42" s="2"/>
      <c r="Z42" s="6">
        <f t="shared" si="29"/>
        <v>0</v>
      </c>
    </row>
    <row r="43" spans="1:26" s="24" customFormat="1" hidden="1" outlineLevel="2" x14ac:dyDescent="0.25">
      <c r="A43" s="29"/>
      <c r="B43" s="11" t="str">
        <f>CONCATENATE("          ", "6010", " - ", "GRATUITY")</f>
        <v xml:space="preserve">          6010 - GRATUITY</v>
      </c>
      <c r="C43" s="11"/>
      <c r="D43" s="7"/>
      <c r="E43" s="2"/>
      <c r="F43" s="6">
        <f t="shared" si="22"/>
        <v>0</v>
      </c>
      <c r="G43" s="2"/>
      <c r="H43" s="7">
        <v>0</v>
      </c>
      <c r="I43" s="2"/>
      <c r="J43" s="6">
        <f t="shared" si="23"/>
        <v>0</v>
      </c>
      <c r="K43" s="2"/>
      <c r="L43" s="7">
        <f t="shared" si="24"/>
        <v>0</v>
      </c>
      <c r="M43" s="2"/>
      <c r="N43" s="6">
        <f t="shared" si="25"/>
        <v>0</v>
      </c>
      <c r="O43" s="11"/>
      <c r="P43" s="7"/>
      <c r="Q43" s="2"/>
      <c r="R43" s="6">
        <f t="shared" si="26"/>
        <v>0</v>
      </c>
      <c r="S43" s="2"/>
      <c r="T43" s="7">
        <v>0</v>
      </c>
      <c r="U43" s="2"/>
      <c r="V43" s="6">
        <f t="shared" si="27"/>
        <v>0</v>
      </c>
      <c r="W43" s="2"/>
      <c r="X43" s="7">
        <f t="shared" si="28"/>
        <v>0</v>
      </c>
      <c r="Y43" s="2"/>
      <c r="Z43" s="6">
        <f t="shared" si="29"/>
        <v>0</v>
      </c>
    </row>
    <row r="44" spans="1:26" s="28" customFormat="1" outlineLevel="1" collapsed="1" x14ac:dyDescent="0.25">
      <c r="A44" s="27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69" si="30">IF(D$12=0,0,D44/D$12)</f>
        <v>0</v>
      </c>
      <c r="G44" s="1"/>
      <c r="H44" s="1">
        <f>SUM(OSRRefH22_2x_0)</f>
        <v>300</v>
      </c>
      <c r="I44" s="1"/>
      <c r="J44" s="5">
        <f t="shared" ref="J44:J69" si="31">IF(H$12=0,0,H44/H$12)</f>
        <v>7.4340230454714414E-3</v>
      </c>
      <c r="K44" s="1"/>
      <c r="L44" s="1">
        <f t="shared" ref="L44:L69" si="32">+D44-H44</f>
        <v>-300</v>
      </c>
      <c r="M44" s="1"/>
      <c r="N44" s="5">
        <f t="shared" ref="N44:N69" si="33">IF(H44=0,0,L44/H44)</f>
        <v>-1</v>
      </c>
      <c r="O44" s="14"/>
      <c r="P44" s="1">
        <f>SUM(OSRRefP22_2x_0)</f>
        <v>0</v>
      </c>
      <c r="Q44" s="1"/>
      <c r="R44" s="5">
        <f t="shared" ref="R44:R69" si="34">IF(P$12=0,0,P44/P$12)</f>
        <v>0</v>
      </c>
      <c r="S44" s="1"/>
      <c r="T44" s="1">
        <f>SUM(OSRRefT22_2x_0)</f>
        <v>1900</v>
      </c>
      <c r="U44" s="1"/>
      <c r="V44" s="5">
        <f t="shared" ref="V44:V69" si="35">IF(T$12=0,0,T44/T$12)</f>
        <v>7.1403607009579359E-3</v>
      </c>
      <c r="W44" s="1"/>
      <c r="X44" s="1">
        <f t="shared" ref="X44:X69" si="36">+P44-T44</f>
        <v>-1900</v>
      </c>
      <c r="Y44" s="1"/>
      <c r="Z44" s="5">
        <f t="shared" ref="Z44:Z69" si="37">IF(T44=0,0,X44/T44)</f>
        <v>-1</v>
      </c>
    </row>
    <row r="45" spans="1:26" s="24" customFormat="1" hidden="1" outlineLevel="2" x14ac:dyDescent="0.25">
      <c r="A45" s="29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30"/>
        <v>0</v>
      </c>
      <c r="G45" s="2"/>
      <c r="H45" s="7">
        <v>300</v>
      </c>
      <c r="I45" s="2"/>
      <c r="J45" s="6">
        <f t="shared" si="31"/>
        <v>7.4340230454714414E-3</v>
      </c>
      <c r="K45" s="2"/>
      <c r="L45" s="7">
        <f t="shared" si="32"/>
        <v>-300</v>
      </c>
      <c r="M45" s="2"/>
      <c r="N45" s="6">
        <f t="shared" si="33"/>
        <v>-1</v>
      </c>
      <c r="O45" s="11"/>
      <c r="P45" s="7"/>
      <c r="Q45" s="2"/>
      <c r="R45" s="6">
        <f t="shared" si="34"/>
        <v>0</v>
      </c>
      <c r="S45" s="2"/>
      <c r="T45" s="7">
        <v>1900</v>
      </c>
      <c r="U45" s="2"/>
      <c r="V45" s="6">
        <f t="shared" si="35"/>
        <v>7.1403607009579359E-3</v>
      </c>
      <c r="W45" s="2"/>
      <c r="X45" s="7">
        <f t="shared" si="36"/>
        <v>-1900</v>
      </c>
      <c r="Y45" s="2"/>
      <c r="Z45" s="6">
        <f t="shared" si="37"/>
        <v>-1</v>
      </c>
    </row>
    <row r="46" spans="1:26" s="28" customFormat="1" outlineLevel="1" collapsed="1" x14ac:dyDescent="0.25">
      <c r="A46" s="27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0</v>
      </c>
      <c r="E46" s="1"/>
      <c r="F46" s="5">
        <f t="shared" si="30"/>
        <v>0</v>
      </c>
      <c r="G46" s="1"/>
      <c r="H46" s="1">
        <f>SUM(OSRRefH22_3x_0)</f>
        <v>8</v>
      </c>
      <c r="I46" s="1"/>
      <c r="J46" s="5">
        <f t="shared" si="31"/>
        <v>1.982406145459051E-4</v>
      </c>
      <c r="K46" s="1"/>
      <c r="L46" s="1">
        <f t="shared" si="32"/>
        <v>-8</v>
      </c>
      <c r="M46" s="1"/>
      <c r="N46" s="5">
        <f t="shared" si="33"/>
        <v>-1</v>
      </c>
      <c r="O46" s="14"/>
      <c r="P46" s="1">
        <f>SUM(OSRRefP22_3x_0)</f>
        <v>29.74</v>
      </c>
      <c r="Q46" s="1"/>
      <c r="R46" s="5">
        <f t="shared" si="34"/>
        <v>0</v>
      </c>
      <c r="S46" s="1"/>
      <c r="T46" s="1">
        <f>SUM(OSRRefT22_3x_0)</f>
        <v>40</v>
      </c>
      <c r="U46" s="1"/>
      <c r="V46" s="5">
        <f t="shared" si="35"/>
        <v>1.5032338317806179E-4</v>
      </c>
      <c r="W46" s="1"/>
      <c r="X46" s="1">
        <f t="shared" si="36"/>
        <v>-10.260000000000002</v>
      </c>
      <c r="Y46" s="1"/>
      <c r="Z46" s="5">
        <f t="shared" si="37"/>
        <v>-0.25650000000000006</v>
      </c>
    </row>
    <row r="47" spans="1:26" s="24" customFormat="1" hidden="1" outlineLevel="2" x14ac:dyDescent="0.25">
      <c r="A47" s="29"/>
      <c r="B47" s="11" t="str">
        <f>CONCATENATE("          ", "6272", " - ", "CASH (OVER/SHORT)")</f>
        <v xml:space="preserve">          6272 - CASH (OVER/SHORT)</v>
      </c>
      <c r="C47" s="11"/>
      <c r="D47" s="7"/>
      <c r="E47" s="2"/>
      <c r="F47" s="6">
        <f t="shared" si="30"/>
        <v>0</v>
      </c>
      <c r="G47" s="2"/>
      <c r="H47" s="7">
        <v>8</v>
      </c>
      <c r="I47" s="2"/>
      <c r="J47" s="6">
        <f t="shared" si="31"/>
        <v>1.982406145459051E-4</v>
      </c>
      <c r="K47" s="2"/>
      <c r="L47" s="7">
        <f t="shared" si="32"/>
        <v>-8</v>
      </c>
      <c r="M47" s="2"/>
      <c r="N47" s="6">
        <f t="shared" si="33"/>
        <v>-1</v>
      </c>
      <c r="O47" s="11"/>
      <c r="P47" s="7">
        <v>29.74</v>
      </c>
      <c r="Q47" s="2"/>
      <c r="R47" s="6">
        <f t="shared" si="34"/>
        <v>0</v>
      </c>
      <c r="S47" s="2"/>
      <c r="T47" s="7">
        <v>40</v>
      </c>
      <c r="U47" s="2"/>
      <c r="V47" s="6">
        <f t="shared" si="35"/>
        <v>1.5032338317806179E-4</v>
      </c>
      <c r="W47" s="2"/>
      <c r="X47" s="7">
        <f t="shared" si="36"/>
        <v>-10.260000000000002</v>
      </c>
      <c r="Y47" s="2"/>
      <c r="Z47" s="6">
        <f t="shared" si="37"/>
        <v>-0.25650000000000006</v>
      </c>
    </row>
    <row r="48" spans="1:26" s="28" customFormat="1" outlineLevel="1" collapsed="1" x14ac:dyDescent="0.25">
      <c r="A48" s="27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0</v>
      </c>
      <c r="E48" s="1"/>
      <c r="F48" s="5">
        <f t="shared" si="30"/>
        <v>0</v>
      </c>
      <c r="G48" s="1"/>
      <c r="H48" s="1">
        <f>SUM(OSRRefH22_4x_0)</f>
        <v>10</v>
      </c>
      <c r="I48" s="1"/>
      <c r="J48" s="5">
        <f t="shared" si="31"/>
        <v>2.4780076818238137E-4</v>
      </c>
      <c r="K48" s="1"/>
      <c r="L48" s="1">
        <f t="shared" si="32"/>
        <v>-10</v>
      </c>
      <c r="M48" s="1"/>
      <c r="N48" s="5">
        <f t="shared" si="33"/>
        <v>-1</v>
      </c>
      <c r="O48" s="14"/>
      <c r="P48" s="1">
        <f>SUM(OSRRefP22_4x_0)</f>
        <v>0</v>
      </c>
      <c r="Q48" s="1"/>
      <c r="R48" s="5">
        <f t="shared" si="34"/>
        <v>0</v>
      </c>
      <c r="S48" s="1"/>
      <c r="T48" s="1">
        <f>SUM(OSRRefT22_4x_0)</f>
        <v>50</v>
      </c>
      <c r="U48" s="1"/>
      <c r="V48" s="5">
        <f t="shared" si="35"/>
        <v>1.8790422897257725E-4</v>
      </c>
      <c r="W48" s="1"/>
      <c r="X48" s="1">
        <f t="shared" si="36"/>
        <v>-50</v>
      </c>
      <c r="Y48" s="1"/>
      <c r="Z48" s="5">
        <f t="shared" si="37"/>
        <v>-1</v>
      </c>
    </row>
    <row r="49" spans="1:26" s="24" customFormat="1" hidden="1" outlineLevel="2" x14ac:dyDescent="0.25">
      <c r="A49" s="29"/>
      <c r="B49" s="11" t="str">
        <f>CONCATENATE("          ", "6381", " - ", "BANK/CREDIT CARD FEES")</f>
        <v xml:space="preserve">          6381 - BANK/CREDIT CARD FEES</v>
      </c>
      <c r="C49" s="11"/>
      <c r="D49" s="7"/>
      <c r="E49" s="2"/>
      <c r="F49" s="6">
        <f t="shared" si="30"/>
        <v>0</v>
      </c>
      <c r="G49" s="2"/>
      <c r="H49" s="7">
        <v>10</v>
      </c>
      <c r="I49" s="2"/>
      <c r="J49" s="6">
        <f t="shared" si="31"/>
        <v>2.4780076818238137E-4</v>
      </c>
      <c r="K49" s="2"/>
      <c r="L49" s="7">
        <f t="shared" si="32"/>
        <v>-10</v>
      </c>
      <c r="M49" s="2"/>
      <c r="N49" s="6">
        <f t="shared" si="33"/>
        <v>-1</v>
      </c>
      <c r="O49" s="11"/>
      <c r="P49" s="7"/>
      <c r="Q49" s="2"/>
      <c r="R49" s="6">
        <f t="shared" si="34"/>
        <v>0</v>
      </c>
      <c r="S49" s="2"/>
      <c r="T49" s="7">
        <v>50</v>
      </c>
      <c r="U49" s="2"/>
      <c r="V49" s="6">
        <f t="shared" si="35"/>
        <v>1.8790422897257725E-4</v>
      </c>
      <c r="W49" s="2"/>
      <c r="X49" s="7">
        <f t="shared" si="36"/>
        <v>-50</v>
      </c>
      <c r="Y49" s="2"/>
      <c r="Z49" s="6">
        <f t="shared" si="37"/>
        <v>-1</v>
      </c>
    </row>
    <row r="50" spans="1:26" s="28" customFormat="1" outlineLevel="1" collapsed="1" x14ac:dyDescent="0.25">
      <c r="A50" s="27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213.02</v>
      </c>
      <c r="E50" s="1"/>
      <c r="F50" s="5">
        <f t="shared" si="30"/>
        <v>0</v>
      </c>
      <c r="G50" s="1"/>
      <c r="H50" s="1">
        <f>SUM(OSRRefH22_5x_0)</f>
        <v>213</v>
      </c>
      <c r="I50" s="1"/>
      <c r="J50" s="5">
        <f t="shared" si="31"/>
        <v>5.278156362284723E-3</v>
      </c>
      <c r="K50" s="1"/>
      <c r="L50" s="1">
        <f t="shared" si="32"/>
        <v>2.0000000000010232E-2</v>
      </c>
      <c r="M50" s="1"/>
      <c r="N50" s="5">
        <f t="shared" si="33"/>
        <v>9.3896713615071505E-5</v>
      </c>
      <c r="O50" s="14"/>
      <c r="P50" s="1">
        <f>SUM(OSRRefP22_5x_0)</f>
        <v>1278.1199999999999</v>
      </c>
      <c r="Q50" s="1"/>
      <c r="R50" s="5">
        <f t="shared" si="34"/>
        <v>0</v>
      </c>
      <c r="S50" s="1"/>
      <c r="T50" s="1">
        <f>SUM(OSRRefT22_5x_0)</f>
        <v>1278</v>
      </c>
      <c r="U50" s="1"/>
      <c r="V50" s="5">
        <f t="shared" si="35"/>
        <v>4.8028320925390744E-3</v>
      </c>
      <c r="W50" s="1"/>
      <c r="X50" s="1">
        <f t="shared" si="36"/>
        <v>0.11999999999989086</v>
      </c>
      <c r="Y50" s="1"/>
      <c r="Z50" s="5">
        <f t="shared" si="37"/>
        <v>9.389671361493808E-5</v>
      </c>
    </row>
    <row r="51" spans="1:26" s="24" customFormat="1" hidden="1" outlineLevel="2" x14ac:dyDescent="0.25">
      <c r="A51" s="29"/>
      <c r="B51" s="11" t="str">
        <f>CONCATENATE("          ", "6322", " - ", "EQUIPMENT DEPRECIATION EXPENSE")</f>
        <v xml:space="preserve">          6322 - EQUIPMENT DEPRECIATION EXPENSE</v>
      </c>
      <c r="C51" s="11"/>
      <c r="D51" s="7">
        <v>213.02</v>
      </c>
      <c r="E51" s="2"/>
      <c r="F51" s="6">
        <f t="shared" si="30"/>
        <v>0</v>
      </c>
      <c r="G51" s="2"/>
      <c r="H51" s="7">
        <v>213</v>
      </c>
      <c r="I51" s="2"/>
      <c r="J51" s="6">
        <f t="shared" si="31"/>
        <v>5.278156362284723E-3</v>
      </c>
      <c r="K51" s="2"/>
      <c r="L51" s="7">
        <f t="shared" si="32"/>
        <v>2.0000000000010232E-2</v>
      </c>
      <c r="M51" s="2"/>
      <c r="N51" s="6">
        <f t="shared" si="33"/>
        <v>9.3896713615071505E-5</v>
      </c>
      <c r="O51" s="11"/>
      <c r="P51" s="7">
        <v>1278.1199999999999</v>
      </c>
      <c r="Q51" s="2"/>
      <c r="R51" s="6">
        <f t="shared" si="34"/>
        <v>0</v>
      </c>
      <c r="S51" s="2"/>
      <c r="T51" s="7">
        <v>1278</v>
      </c>
      <c r="U51" s="2"/>
      <c r="V51" s="6">
        <f t="shared" si="35"/>
        <v>4.8028320925390744E-3</v>
      </c>
      <c r="W51" s="2"/>
      <c r="X51" s="7">
        <f t="shared" si="36"/>
        <v>0.11999999999989086</v>
      </c>
      <c r="Y51" s="2"/>
      <c r="Z51" s="6">
        <f t="shared" si="37"/>
        <v>9.389671361493808E-5</v>
      </c>
    </row>
    <row r="52" spans="1:26" s="28" customFormat="1" outlineLevel="1" collapsed="1" x14ac:dyDescent="0.25">
      <c r="A52" s="27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SUM(OSRRefD22_6x_0)</f>
        <v>0</v>
      </c>
      <c r="E52" s="1"/>
      <c r="F52" s="5">
        <f t="shared" si="30"/>
        <v>0</v>
      </c>
      <c r="G52" s="1"/>
      <c r="H52" s="1">
        <f>SUM(OSRRefH22_6x_0)</f>
        <v>2673</v>
      </c>
      <c r="I52" s="1"/>
      <c r="J52" s="5">
        <f t="shared" si="31"/>
        <v>6.6237145335150543E-2</v>
      </c>
      <c r="K52" s="1"/>
      <c r="L52" s="1">
        <f t="shared" si="32"/>
        <v>-2673</v>
      </c>
      <c r="M52" s="1"/>
      <c r="N52" s="5">
        <f t="shared" si="33"/>
        <v>-1</v>
      </c>
      <c r="O52" s="14"/>
      <c r="P52" s="1">
        <f>SUM(OSRRefP22_6x_0)</f>
        <v>0</v>
      </c>
      <c r="Q52" s="1"/>
      <c r="R52" s="5">
        <f t="shared" si="34"/>
        <v>0</v>
      </c>
      <c r="S52" s="1"/>
      <c r="T52" s="1">
        <f>SUM(OSRRefT22_6x_0)</f>
        <v>13365</v>
      </c>
      <c r="U52" s="1"/>
      <c r="V52" s="5">
        <f t="shared" si="35"/>
        <v>5.0226800404369901E-2</v>
      </c>
      <c r="W52" s="1"/>
      <c r="X52" s="1">
        <f t="shared" si="36"/>
        <v>-13365</v>
      </c>
      <c r="Y52" s="1"/>
      <c r="Z52" s="5">
        <f t="shared" si="37"/>
        <v>-1</v>
      </c>
    </row>
    <row r="53" spans="1:26" s="24" customFormat="1" hidden="1" outlineLevel="2" x14ac:dyDescent="0.25">
      <c r="A53" s="29"/>
      <c r="B53" s="11" t="str">
        <f>CONCATENATE("          ", "6399", " - ", "DONATION-ON CAMPUS")</f>
        <v xml:space="preserve">          6399 - DONATION-ON CAMPUS</v>
      </c>
      <c r="C53" s="11"/>
      <c r="D53" s="7"/>
      <c r="E53" s="2"/>
      <c r="F53" s="6">
        <f t="shared" si="30"/>
        <v>0</v>
      </c>
      <c r="G53" s="2"/>
      <c r="H53" s="7">
        <v>2673</v>
      </c>
      <c r="I53" s="2"/>
      <c r="J53" s="6">
        <f t="shared" si="31"/>
        <v>6.6237145335150543E-2</v>
      </c>
      <c r="K53" s="2"/>
      <c r="L53" s="7">
        <f t="shared" si="32"/>
        <v>-2673</v>
      </c>
      <c r="M53" s="2"/>
      <c r="N53" s="6">
        <f t="shared" si="33"/>
        <v>-1</v>
      </c>
      <c r="O53" s="11"/>
      <c r="P53" s="7"/>
      <c r="Q53" s="2"/>
      <c r="R53" s="6">
        <f t="shared" si="34"/>
        <v>0</v>
      </c>
      <c r="S53" s="2"/>
      <c r="T53" s="7">
        <v>13365</v>
      </c>
      <c r="U53" s="2"/>
      <c r="V53" s="6">
        <f t="shared" si="35"/>
        <v>5.0226800404369901E-2</v>
      </c>
      <c r="W53" s="2"/>
      <c r="X53" s="7">
        <f t="shared" si="36"/>
        <v>-13365</v>
      </c>
      <c r="Y53" s="2"/>
      <c r="Z53" s="6">
        <f t="shared" si="37"/>
        <v>-1</v>
      </c>
    </row>
    <row r="54" spans="1:26" s="28" customFormat="1" outlineLevel="1" collapsed="1" x14ac:dyDescent="0.25">
      <c r="A54" s="27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SUM(OSRRefD22_7x_0)</f>
        <v>0</v>
      </c>
      <c r="E54" s="1"/>
      <c r="F54" s="5">
        <f t="shared" si="30"/>
        <v>0</v>
      </c>
      <c r="G54" s="1"/>
      <c r="H54" s="1">
        <f>SUM(OSRRefH22_7x_0)</f>
        <v>50</v>
      </c>
      <c r="I54" s="1"/>
      <c r="J54" s="5">
        <f t="shared" si="31"/>
        <v>1.2390038409119068E-3</v>
      </c>
      <c r="K54" s="1"/>
      <c r="L54" s="1">
        <f t="shared" si="32"/>
        <v>-50</v>
      </c>
      <c r="M54" s="1"/>
      <c r="N54" s="5">
        <f t="shared" si="33"/>
        <v>-1</v>
      </c>
      <c r="O54" s="14"/>
      <c r="P54" s="1">
        <f>SUM(OSRRefP22_7x_0)</f>
        <v>0</v>
      </c>
      <c r="Q54" s="1"/>
      <c r="R54" s="5">
        <f t="shared" si="34"/>
        <v>0</v>
      </c>
      <c r="S54" s="1"/>
      <c r="T54" s="1">
        <f>SUM(OSRRefT22_7x_0)</f>
        <v>250</v>
      </c>
      <c r="U54" s="1"/>
      <c r="V54" s="5">
        <f t="shared" si="35"/>
        <v>9.3952114486288625E-4</v>
      </c>
      <c r="W54" s="1"/>
      <c r="X54" s="1">
        <f t="shared" si="36"/>
        <v>-250</v>
      </c>
      <c r="Y54" s="1"/>
      <c r="Z54" s="5">
        <f t="shared" si="37"/>
        <v>-1</v>
      </c>
    </row>
    <row r="55" spans="1:26" s="24" customFormat="1" hidden="1" outlineLevel="2" x14ac:dyDescent="0.25">
      <c r="A55" s="29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30"/>
        <v>0</v>
      </c>
      <c r="G55" s="2"/>
      <c r="H55" s="7">
        <v>50</v>
      </c>
      <c r="I55" s="2"/>
      <c r="J55" s="6">
        <f t="shared" si="31"/>
        <v>1.2390038409119068E-3</v>
      </c>
      <c r="K55" s="2"/>
      <c r="L55" s="7">
        <f t="shared" si="32"/>
        <v>-50</v>
      </c>
      <c r="M55" s="2"/>
      <c r="N55" s="6">
        <f t="shared" si="33"/>
        <v>-1</v>
      </c>
      <c r="O55" s="11"/>
      <c r="P55" s="7"/>
      <c r="Q55" s="2"/>
      <c r="R55" s="6">
        <f t="shared" si="34"/>
        <v>0</v>
      </c>
      <c r="S55" s="2"/>
      <c r="T55" s="7">
        <v>250</v>
      </c>
      <c r="U55" s="2"/>
      <c r="V55" s="6">
        <f t="shared" si="35"/>
        <v>9.3952114486288625E-4</v>
      </c>
      <c r="W55" s="2"/>
      <c r="X55" s="7">
        <f t="shared" si="36"/>
        <v>-250</v>
      </c>
      <c r="Y55" s="2"/>
      <c r="Z55" s="6">
        <f t="shared" si="37"/>
        <v>-1</v>
      </c>
    </row>
    <row r="56" spans="1:26" s="28" customFormat="1" outlineLevel="1" collapsed="1" x14ac:dyDescent="0.25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SUM(OSRRefD22_8x_0)</f>
        <v>0</v>
      </c>
      <c r="E56" s="1"/>
      <c r="F56" s="5">
        <f t="shared" si="30"/>
        <v>0</v>
      </c>
      <c r="G56" s="1"/>
      <c r="H56" s="1">
        <f>SUM(OSRRefH22_8x_0)</f>
        <v>0</v>
      </c>
      <c r="I56" s="1"/>
      <c r="J56" s="5">
        <f t="shared" si="31"/>
        <v>0</v>
      </c>
      <c r="K56" s="1"/>
      <c r="L56" s="1">
        <f t="shared" si="32"/>
        <v>0</v>
      </c>
      <c r="M56" s="1"/>
      <c r="N56" s="5">
        <f t="shared" si="33"/>
        <v>0</v>
      </c>
      <c r="O56" s="14"/>
      <c r="P56" s="1">
        <f>SUM(OSRRefP22_8x_0)</f>
        <v>20</v>
      </c>
      <c r="Q56" s="1"/>
      <c r="R56" s="5">
        <f t="shared" si="34"/>
        <v>0</v>
      </c>
      <c r="S56" s="1"/>
      <c r="T56" s="1">
        <f>SUM(OSRRefT22_8x_0)</f>
        <v>0</v>
      </c>
      <c r="U56" s="1"/>
      <c r="V56" s="5">
        <f t="shared" si="35"/>
        <v>0</v>
      </c>
      <c r="W56" s="1"/>
      <c r="X56" s="1">
        <f t="shared" si="36"/>
        <v>20</v>
      </c>
      <c r="Y56" s="1"/>
      <c r="Z56" s="5">
        <f t="shared" si="37"/>
        <v>0</v>
      </c>
    </row>
    <row r="57" spans="1:26" s="24" customFormat="1" hidden="1" outlineLevel="2" x14ac:dyDescent="0.25">
      <c r="A57" s="29"/>
      <c r="B57" s="11" t="str">
        <f>CONCATENATE("          ", "6351", " - ", "EQUIPMENT RENTAL")</f>
        <v xml:space="preserve">          6351 - EQUIPMENT RENTAL</v>
      </c>
      <c r="C57" s="11"/>
      <c r="D57" s="7"/>
      <c r="E57" s="2"/>
      <c r="F57" s="6">
        <f t="shared" si="30"/>
        <v>0</v>
      </c>
      <c r="G57" s="2"/>
      <c r="H57" s="7"/>
      <c r="I57" s="2"/>
      <c r="J57" s="6">
        <f t="shared" si="31"/>
        <v>0</v>
      </c>
      <c r="K57" s="2"/>
      <c r="L57" s="7">
        <f t="shared" si="32"/>
        <v>0</v>
      </c>
      <c r="M57" s="2"/>
      <c r="N57" s="6">
        <f t="shared" si="33"/>
        <v>0</v>
      </c>
      <c r="O57" s="11"/>
      <c r="P57" s="7">
        <v>20</v>
      </c>
      <c r="Q57" s="2"/>
      <c r="R57" s="6">
        <f t="shared" si="34"/>
        <v>0</v>
      </c>
      <c r="S57" s="2"/>
      <c r="T57" s="7"/>
      <c r="U57" s="2"/>
      <c r="V57" s="6">
        <f t="shared" si="35"/>
        <v>0</v>
      </c>
      <c r="W57" s="2"/>
      <c r="X57" s="7">
        <f t="shared" si="36"/>
        <v>20</v>
      </c>
      <c r="Y57" s="2"/>
      <c r="Z57" s="6">
        <f t="shared" si="37"/>
        <v>0</v>
      </c>
    </row>
    <row r="58" spans="1:26" s="28" customFormat="1" outlineLevel="1" collapsed="1" x14ac:dyDescent="0.25">
      <c r="A58" s="27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SUM(OSRRefD22_9x_0)</f>
        <v>0</v>
      </c>
      <c r="E58" s="1"/>
      <c r="F58" s="5">
        <f t="shared" si="30"/>
        <v>0</v>
      </c>
      <c r="G58" s="1"/>
      <c r="H58" s="1">
        <f>SUM(OSRRefH22_9x_0)</f>
        <v>10</v>
      </c>
      <c r="I58" s="1"/>
      <c r="J58" s="5">
        <f t="shared" si="31"/>
        <v>2.4780076818238137E-4</v>
      </c>
      <c r="K58" s="1"/>
      <c r="L58" s="1">
        <f t="shared" si="32"/>
        <v>-10</v>
      </c>
      <c r="M58" s="1"/>
      <c r="N58" s="5">
        <f t="shared" si="33"/>
        <v>-1</v>
      </c>
      <c r="O58" s="14"/>
      <c r="P58" s="1">
        <f>SUM(OSRRefP22_9x_0)</f>
        <v>1439.55</v>
      </c>
      <c r="Q58" s="1"/>
      <c r="R58" s="5">
        <f t="shared" si="34"/>
        <v>0</v>
      </c>
      <c r="S58" s="1"/>
      <c r="T58" s="1">
        <f>SUM(OSRRefT22_9x_0)</f>
        <v>1650</v>
      </c>
      <c r="U58" s="1"/>
      <c r="V58" s="5">
        <f t="shared" si="35"/>
        <v>6.2008395560950499E-3</v>
      </c>
      <c r="W58" s="1"/>
      <c r="X58" s="1">
        <f t="shared" si="36"/>
        <v>-210.45000000000005</v>
      </c>
      <c r="Y58" s="1"/>
      <c r="Z58" s="5">
        <f t="shared" si="37"/>
        <v>-0.12754545454545457</v>
      </c>
    </row>
    <row r="59" spans="1:26" s="24" customFormat="1" hidden="1" outlineLevel="2" x14ac:dyDescent="0.25">
      <c r="A59" s="29"/>
      <c r="B59" s="11" t="str">
        <f>CONCATENATE("          ", "6279", " - ", "GENERAL EXPENSE")</f>
        <v xml:space="preserve">          6279 - GENERAL EXPENSE</v>
      </c>
      <c r="C59" s="11"/>
      <c r="D59" s="7"/>
      <c r="E59" s="2"/>
      <c r="F59" s="6">
        <f t="shared" si="30"/>
        <v>0</v>
      </c>
      <c r="G59" s="2"/>
      <c r="H59" s="7">
        <v>10</v>
      </c>
      <c r="I59" s="2"/>
      <c r="J59" s="6">
        <f t="shared" si="31"/>
        <v>2.4780076818238137E-4</v>
      </c>
      <c r="K59" s="2"/>
      <c r="L59" s="7">
        <f t="shared" si="32"/>
        <v>-10</v>
      </c>
      <c r="M59" s="2"/>
      <c r="N59" s="6">
        <f t="shared" si="33"/>
        <v>-1</v>
      </c>
      <c r="O59" s="11"/>
      <c r="P59" s="7">
        <v>1439.55</v>
      </c>
      <c r="Q59" s="2"/>
      <c r="R59" s="6">
        <f t="shared" si="34"/>
        <v>0</v>
      </c>
      <c r="S59" s="2"/>
      <c r="T59" s="7">
        <v>1650</v>
      </c>
      <c r="U59" s="2"/>
      <c r="V59" s="6">
        <f t="shared" si="35"/>
        <v>6.2008395560950499E-3</v>
      </c>
      <c r="W59" s="2"/>
      <c r="X59" s="7">
        <f t="shared" si="36"/>
        <v>-210.45000000000005</v>
      </c>
      <c r="Y59" s="2"/>
      <c r="Z59" s="6">
        <f t="shared" si="37"/>
        <v>-0.12754545454545457</v>
      </c>
    </row>
    <row r="60" spans="1:26" s="28" customFormat="1" outlineLevel="1" collapsed="1" x14ac:dyDescent="0.25">
      <c r="A60" s="27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SUM(OSRRefD22_10x_0)</f>
        <v>5.9</v>
      </c>
      <c r="E60" s="1"/>
      <c r="F60" s="5">
        <f t="shared" si="30"/>
        <v>0</v>
      </c>
      <c r="G60" s="1"/>
      <c r="H60" s="1">
        <f>SUM(OSRRefH22_10x_0)</f>
        <v>7</v>
      </c>
      <c r="I60" s="1"/>
      <c r="J60" s="5">
        <f t="shared" si="31"/>
        <v>1.7346053772766696E-4</v>
      </c>
      <c r="K60" s="1"/>
      <c r="L60" s="1">
        <f t="shared" si="32"/>
        <v>-1.0999999999999996</v>
      </c>
      <c r="M60" s="1"/>
      <c r="N60" s="5">
        <f t="shared" si="33"/>
        <v>-0.15714285714285708</v>
      </c>
      <c r="O60" s="14"/>
      <c r="P60" s="1">
        <f>SUM(OSRRefP22_10x_0)</f>
        <v>35.4</v>
      </c>
      <c r="Q60" s="1"/>
      <c r="R60" s="5">
        <f t="shared" si="34"/>
        <v>0</v>
      </c>
      <c r="S60" s="1"/>
      <c r="T60" s="1">
        <f>SUM(OSRRefT22_10x_0)</f>
        <v>42</v>
      </c>
      <c r="U60" s="1"/>
      <c r="V60" s="5">
        <f t="shared" si="35"/>
        <v>1.5783955233696491E-4</v>
      </c>
      <c r="W60" s="1"/>
      <c r="X60" s="1">
        <f t="shared" si="36"/>
        <v>-6.6000000000000014</v>
      </c>
      <c r="Y60" s="1"/>
      <c r="Z60" s="5">
        <f t="shared" si="37"/>
        <v>-0.15714285714285717</v>
      </c>
    </row>
    <row r="61" spans="1:26" s="24" customFormat="1" hidden="1" outlineLevel="2" x14ac:dyDescent="0.25">
      <c r="A61" s="29"/>
      <c r="B61" s="11" t="str">
        <f>CONCATENATE("          ", "6314", " - ", "LIABILITY INSURANCE")</f>
        <v xml:space="preserve">          6314 - LIABILITY INSURANCE</v>
      </c>
      <c r="C61" s="11"/>
      <c r="D61" s="7">
        <v>5.9</v>
      </c>
      <c r="E61" s="2"/>
      <c r="F61" s="6">
        <f t="shared" si="30"/>
        <v>0</v>
      </c>
      <c r="G61" s="2"/>
      <c r="H61" s="7">
        <v>7</v>
      </c>
      <c r="I61" s="2"/>
      <c r="J61" s="6">
        <f t="shared" si="31"/>
        <v>1.7346053772766696E-4</v>
      </c>
      <c r="K61" s="2"/>
      <c r="L61" s="7">
        <f t="shared" si="32"/>
        <v>-1.0999999999999996</v>
      </c>
      <c r="M61" s="2"/>
      <c r="N61" s="6">
        <f t="shared" si="33"/>
        <v>-0.15714285714285708</v>
      </c>
      <c r="O61" s="11"/>
      <c r="P61" s="7">
        <v>35.4</v>
      </c>
      <c r="Q61" s="2"/>
      <c r="R61" s="6">
        <f t="shared" si="34"/>
        <v>0</v>
      </c>
      <c r="S61" s="2"/>
      <c r="T61" s="7">
        <v>42</v>
      </c>
      <c r="U61" s="2"/>
      <c r="V61" s="6">
        <f t="shared" si="35"/>
        <v>1.5783955233696491E-4</v>
      </c>
      <c r="W61" s="2"/>
      <c r="X61" s="7">
        <f t="shared" si="36"/>
        <v>-6.6000000000000014</v>
      </c>
      <c r="Y61" s="2"/>
      <c r="Z61" s="6">
        <f t="shared" si="37"/>
        <v>-0.15714285714285717</v>
      </c>
    </row>
    <row r="62" spans="1:26" s="28" customFormat="1" outlineLevel="1" collapsed="1" x14ac:dyDescent="0.25">
      <c r="A62" s="27"/>
      <c r="B62" s="14" t="str">
        <f>CONCATENATE("     ","R/H Commissions                                   ")</f>
        <v xml:space="preserve">     R/H Commissions                                   </v>
      </c>
      <c r="C62" s="14"/>
      <c r="D62" s="1">
        <f>SUM(OSRRefD22_11x_0)</f>
        <v>0</v>
      </c>
      <c r="E62" s="1"/>
      <c r="F62" s="5">
        <f t="shared" si="30"/>
        <v>0</v>
      </c>
      <c r="G62" s="1"/>
      <c r="H62" s="1">
        <f>SUM(OSRRefH22_11x_0)</f>
        <v>3228</v>
      </c>
      <c r="I62" s="1"/>
      <c r="J62" s="5">
        <f t="shared" si="31"/>
        <v>7.9990087969272705E-2</v>
      </c>
      <c r="K62" s="1"/>
      <c r="L62" s="1">
        <f t="shared" si="32"/>
        <v>-3228</v>
      </c>
      <c r="M62" s="1"/>
      <c r="N62" s="5">
        <f t="shared" si="33"/>
        <v>-1</v>
      </c>
      <c r="O62" s="14"/>
      <c r="P62" s="1">
        <f>SUM(OSRRefP22_11x_0)</f>
        <v>0</v>
      </c>
      <c r="Q62" s="1"/>
      <c r="R62" s="5">
        <f t="shared" si="34"/>
        <v>0</v>
      </c>
      <c r="S62" s="1"/>
      <c r="T62" s="1">
        <f>SUM(OSRRefT22_11x_0)</f>
        <v>21287</v>
      </c>
      <c r="U62" s="1"/>
      <c r="V62" s="5">
        <f t="shared" si="35"/>
        <v>7.9998346442785043E-2</v>
      </c>
      <c r="W62" s="1"/>
      <c r="X62" s="1">
        <f t="shared" si="36"/>
        <v>-21287</v>
      </c>
      <c r="Y62" s="1"/>
      <c r="Z62" s="5">
        <f t="shared" si="37"/>
        <v>-1</v>
      </c>
    </row>
    <row r="63" spans="1:26" s="24" customFormat="1" hidden="1" outlineLevel="2" x14ac:dyDescent="0.25">
      <c r="A63" s="29"/>
      <c r="B63" s="11" t="str">
        <f>CONCATENATE("          ", "6387", " - ", "COMMISSION DUE HOUSING")</f>
        <v xml:space="preserve">          6387 - COMMISSION DUE HOUSING</v>
      </c>
      <c r="C63" s="11"/>
      <c r="D63" s="7"/>
      <c r="E63" s="2"/>
      <c r="F63" s="6">
        <f t="shared" si="30"/>
        <v>0</v>
      </c>
      <c r="G63" s="2"/>
      <c r="H63" s="7">
        <v>3228</v>
      </c>
      <c r="I63" s="2"/>
      <c r="J63" s="6">
        <f t="shared" si="31"/>
        <v>7.9990087969272705E-2</v>
      </c>
      <c r="K63" s="2"/>
      <c r="L63" s="7">
        <f t="shared" si="32"/>
        <v>-3228</v>
      </c>
      <c r="M63" s="2"/>
      <c r="N63" s="6">
        <f t="shared" si="33"/>
        <v>-1</v>
      </c>
      <c r="O63" s="11"/>
      <c r="P63" s="7"/>
      <c r="Q63" s="2"/>
      <c r="R63" s="6">
        <f t="shared" si="34"/>
        <v>0</v>
      </c>
      <c r="S63" s="2"/>
      <c r="T63" s="7">
        <v>21287</v>
      </c>
      <c r="U63" s="2"/>
      <c r="V63" s="6">
        <f t="shared" si="35"/>
        <v>7.9998346442785043E-2</v>
      </c>
      <c r="W63" s="2"/>
      <c r="X63" s="7">
        <f t="shared" si="36"/>
        <v>-21287</v>
      </c>
      <c r="Y63" s="2"/>
      <c r="Z63" s="6">
        <f t="shared" si="37"/>
        <v>-1</v>
      </c>
    </row>
    <row r="64" spans="1:26" s="28" customFormat="1" outlineLevel="1" collapsed="1" x14ac:dyDescent="0.25">
      <c r="A64" s="27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SUM(OSRRefD22_12x_0)</f>
        <v>72.319999999999993</v>
      </c>
      <c r="E64" s="1"/>
      <c r="F64" s="5">
        <f t="shared" si="30"/>
        <v>0</v>
      </c>
      <c r="G64" s="1"/>
      <c r="H64" s="1">
        <f>SUM(OSRRefH22_12x_0)</f>
        <v>20</v>
      </c>
      <c r="I64" s="1"/>
      <c r="J64" s="5">
        <f t="shared" si="31"/>
        <v>4.9560153636476274E-4</v>
      </c>
      <c r="K64" s="1"/>
      <c r="L64" s="1">
        <f t="shared" si="32"/>
        <v>52.319999999999993</v>
      </c>
      <c r="M64" s="1"/>
      <c r="N64" s="5">
        <f t="shared" si="33"/>
        <v>2.6159999999999997</v>
      </c>
      <c r="O64" s="14"/>
      <c r="P64" s="1">
        <f>SUM(OSRRefP22_12x_0)</f>
        <v>144.66999999999999</v>
      </c>
      <c r="Q64" s="1"/>
      <c r="R64" s="5">
        <f t="shared" si="34"/>
        <v>0</v>
      </c>
      <c r="S64" s="1"/>
      <c r="T64" s="1">
        <f>SUM(OSRRefT22_12x_0)</f>
        <v>120</v>
      </c>
      <c r="U64" s="1"/>
      <c r="V64" s="5">
        <f t="shared" si="35"/>
        <v>4.5097014953418541E-4</v>
      </c>
      <c r="W64" s="1"/>
      <c r="X64" s="1">
        <f t="shared" si="36"/>
        <v>24.669999999999987</v>
      </c>
      <c r="Y64" s="1"/>
      <c r="Z64" s="5">
        <f t="shared" si="37"/>
        <v>0.20558333333333323</v>
      </c>
    </row>
    <row r="65" spans="1:26" s="24" customFormat="1" hidden="1" outlineLevel="2" x14ac:dyDescent="0.25">
      <c r="A65" s="29"/>
      <c r="B65" s="11" t="str">
        <f>CONCATENATE("          ", "6373", " - ", "MAINTENANCE CONTRACTS")</f>
        <v xml:space="preserve">          6373 - MAINTENANCE CONTRACTS</v>
      </c>
      <c r="C65" s="11"/>
      <c r="D65" s="7">
        <v>72.319999999999993</v>
      </c>
      <c r="E65" s="2"/>
      <c r="F65" s="6">
        <f t="shared" si="30"/>
        <v>0</v>
      </c>
      <c r="G65" s="2"/>
      <c r="H65" s="7">
        <v>20</v>
      </c>
      <c r="I65" s="2"/>
      <c r="J65" s="6">
        <f t="shared" si="31"/>
        <v>4.9560153636476274E-4</v>
      </c>
      <c r="K65" s="2"/>
      <c r="L65" s="7">
        <f t="shared" si="32"/>
        <v>52.319999999999993</v>
      </c>
      <c r="M65" s="2"/>
      <c r="N65" s="6">
        <f t="shared" si="33"/>
        <v>2.6159999999999997</v>
      </c>
      <c r="O65" s="11"/>
      <c r="P65" s="7">
        <v>144.66999999999999</v>
      </c>
      <c r="Q65" s="2"/>
      <c r="R65" s="6">
        <f t="shared" si="34"/>
        <v>0</v>
      </c>
      <c r="S65" s="2"/>
      <c r="T65" s="7">
        <v>120</v>
      </c>
      <c r="U65" s="2"/>
      <c r="V65" s="6">
        <f t="shared" si="35"/>
        <v>4.5097014953418541E-4</v>
      </c>
      <c r="W65" s="2"/>
      <c r="X65" s="7">
        <f t="shared" si="36"/>
        <v>24.669999999999987</v>
      </c>
      <c r="Y65" s="2"/>
      <c r="Z65" s="6">
        <f t="shared" si="37"/>
        <v>0.20558333333333323</v>
      </c>
    </row>
    <row r="66" spans="1:26" s="28" customFormat="1" outlineLevel="1" collapsed="1" x14ac:dyDescent="0.25">
      <c r="A66" s="27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SUM(OSRRefD22_13x_0)</f>
        <v>669.64</v>
      </c>
      <c r="E66" s="1"/>
      <c r="F66" s="5">
        <f t="shared" si="30"/>
        <v>0</v>
      </c>
      <c r="G66" s="1"/>
      <c r="H66" s="1">
        <f>SUM(OSRRefH22_13x_0)</f>
        <v>6247</v>
      </c>
      <c r="I66" s="1"/>
      <c r="J66" s="5">
        <f t="shared" si="31"/>
        <v>0.15480113988353364</v>
      </c>
      <c r="K66" s="1"/>
      <c r="L66" s="1">
        <f t="shared" si="32"/>
        <v>-5577.36</v>
      </c>
      <c r="M66" s="1"/>
      <c r="N66" s="5">
        <f t="shared" si="33"/>
        <v>-0.89280614695053617</v>
      </c>
      <c r="O66" s="14"/>
      <c r="P66" s="1">
        <f>SUM(OSRRefP22_13x_0)</f>
        <v>2750.33</v>
      </c>
      <c r="Q66" s="1"/>
      <c r="R66" s="5">
        <f t="shared" si="34"/>
        <v>0</v>
      </c>
      <c r="S66" s="1"/>
      <c r="T66" s="1">
        <f>SUM(OSRRefT22_13x_0)</f>
        <v>37482</v>
      </c>
      <c r="U66" s="1"/>
      <c r="V66" s="5">
        <f t="shared" si="35"/>
        <v>0.14086052620700282</v>
      </c>
      <c r="W66" s="1"/>
      <c r="X66" s="1">
        <f t="shared" si="36"/>
        <v>-34731.67</v>
      </c>
      <c r="Y66" s="1"/>
      <c r="Z66" s="5">
        <f t="shared" si="37"/>
        <v>-0.92662264553652418</v>
      </c>
    </row>
    <row r="67" spans="1:26" s="24" customFormat="1" hidden="1" outlineLevel="2" x14ac:dyDescent="0.25">
      <c r="A67" s="29"/>
      <c r="B67" s="11" t="str">
        <f>CONCATENATE("          ", "6282", " - ", "JANITORIAL/EXTERMINATOR EXPENS")</f>
        <v xml:space="preserve">          6282 - JANITORIAL/EXTERMINATOR EXPENS</v>
      </c>
      <c r="C67" s="11"/>
      <c r="D67" s="7">
        <v>71.77</v>
      </c>
      <c r="E67" s="2"/>
      <c r="F67" s="6">
        <f t="shared" si="30"/>
        <v>0</v>
      </c>
      <c r="G67" s="2"/>
      <c r="H67" s="7">
        <v>850</v>
      </c>
      <c r="I67" s="2"/>
      <c r="J67" s="6">
        <f t="shared" si="31"/>
        <v>2.1063065295502417E-2</v>
      </c>
      <c r="K67" s="2"/>
      <c r="L67" s="7">
        <f t="shared" si="32"/>
        <v>-778.23</v>
      </c>
      <c r="M67" s="2"/>
      <c r="N67" s="6">
        <f t="shared" si="33"/>
        <v>-0.91556470588235295</v>
      </c>
      <c r="O67" s="11"/>
      <c r="P67" s="7">
        <v>2152.46</v>
      </c>
      <c r="Q67" s="2"/>
      <c r="R67" s="6">
        <f t="shared" si="34"/>
        <v>0</v>
      </c>
      <c r="S67" s="2"/>
      <c r="T67" s="7">
        <v>5100</v>
      </c>
      <c r="U67" s="2"/>
      <c r="V67" s="6">
        <f t="shared" si="35"/>
        <v>1.916623135520288E-2</v>
      </c>
      <c r="W67" s="2"/>
      <c r="X67" s="7">
        <f t="shared" si="36"/>
        <v>-2947.54</v>
      </c>
      <c r="Y67" s="2"/>
      <c r="Z67" s="6">
        <f t="shared" si="37"/>
        <v>-0.57794901960784317</v>
      </c>
    </row>
    <row r="68" spans="1:26" s="24" customFormat="1" hidden="1" outlineLevel="2" x14ac:dyDescent="0.25">
      <c r="A68" s="29"/>
      <c r="B68" s="11" t="str">
        <f>CONCATENATE("          ", "6285", " - ", "JANITORIAL SERVICES")</f>
        <v xml:space="preserve">          6285 - JANITORIAL SERVICES</v>
      </c>
      <c r="C68" s="11"/>
      <c r="D68" s="7"/>
      <c r="E68" s="2"/>
      <c r="F68" s="6">
        <f t="shared" si="30"/>
        <v>0</v>
      </c>
      <c r="G68" s="2"/>
      <c r="H68" s="7">
        <v>3897</v>
      </c>
      <c r="I68" s="2"/>
      <c r="J68" s="6">
        <f t="shared" si="31"/>
        <v>9.6567959360674013E-2</v>
      </c>
      <c r="K68" s="2"/>
      <c r="L68" s="7">
        <f t="shared" si="32"/>
        <v>-3897</v>
      </c>
      <c r="M68" s="2"/>
      <c r="N68" s="6">
        <f t="shared" si="33"/>
        <v>-1</v>
      </c>
      <c r="O68" s="11"/>
      <c r="P68" s="7"/>
      <c r="Q68" s="2"/>
      <c r="R68" s="6">
        <f t="shared" si="34"/>
        <v>0</v>
      </c>
      <c r="S68" s="2"/>
      <c r="T68" s="7">
        <v>23382</v>
      </c>
      <c r="U68" s="2"/>
      <c r="V68" s="6">
        <f t="shared" si="35"/>
        <v>8.7871533636736027E-2</v>
      </c>
      <c r="W68" s="2"/>
      <c r="X68" s="7">
        <f t="shared" si="36"/>
        <v>-23382</v>
      </c>
      <c r="Y68" s="2"/>
      <c r="Z68" s="6">
        <f t="shared" si="37"/>
        <v>-1</v>
      </c>
    </row>
    <row r="69" spans="1:26" s="24" customFormat="1" hidden="1" outlineLevel="2" x14ac:dyDescent="0.25">
      <c r="A69" s="29"/>
      <c r="B69" s="11" t="str">
        <f>CONCATENATE("          ", "6286", " - ", "LAUNDRY EXPENSE")</f>
        <v xml:space="preserve">          6286 - LAUNDRY EXPENSE</v>
      </c>
      <c r="C69" s="11"/>
      <c r="D69" s="7">
        <v>597.87</v>
      </c>
      <c r="E69" s="2"/>
      <c r="F69" s="6">
        <f t="shared" si="30"/>
        <v>0</v>
      </c>
      <c r="G69" s="2"/>
      <c r="H69" s="7">
        <v>1500</v>
      </c>
      <c r="I69" s="2"/>
      <c r="J69" s="6">
        <f t="shared" si="31"/>
        <v>3.7170115227357206E-2</v>
      </c>
      <c r="K69" s="2"/>
      <c r="L69" s="7">
        <f t="shared" si="32"/>
        <v>-902.13</v>
      </c>
      <c r="M69" s="2"/>
      <c r="N69" s="6">
        <f t="shared" si="33"/>
        <v>-0.60141999999999995</v>
      </c>
      <c r="O69" s="11"/>
      <c r="P69" s="7">
        <v>597.87</v>
      </c>
      <c r="Q69" s="2"/>
      <c r="R69" s="6">
        <f t="shared" si="34"/>
        <v>0</v>
      </c>
      <c r="S69" s="2"/>
      <c r="T69" s="7">
        <v>9000</v>
      </c>
      <c r="U69" s="2"/>
      <c r="V69" s="6">
        <f t="shared" si="35"/>
        <v>3.3822761215063904E-2</v>
      </c>
      <c r="W69" s="2"/>
      <c r="X69" s="7">
        <f t="shared" si="36"/>
        <v>-8402.1299999999992</v>
      </c>
      <c r="Y69" s="2"/>
      <c r="Z69" s="6">
        <f t="shared" si="37"/>
        <v>-0.9335699999999999</v>
      </c>
    </row>
    <row r="70" spans="1:26" s="28" customFormat="1" outlineLevel="1" collapsed="1" x14ac:dyDescent="0.25">
      <c r="A70" s="27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SUM(OSRRefD22_14x_0)</f>
        <v>0</v>
      </c>
      <c r="E70" s="1"/>
      <c r="F70" s="5">
        <f t="shared" ref="F70:F77" si="38">IF(D$12=0,0,D70/D$12)</f>
        <v>0</v>
      </c>
      <c r="G70" s="1"/>
      <c r="H70" s="1">
        <f>SUM(OSRRefH22_14x_0)</f>
        <v>5720</v>
      </c>
      <c r="I70" s="1"/>
      <c r="J70" s="5">
        <f t="shared" ref="J70:J77" si="39">IF(H$12=0,0,H70/H$12)</f>
        <v>0.14174203940032215</v>
      </c>
      <c r="K70" s="1"/>
      <c r="L70" s="1">
        <f t="shared" ref="L70:L77" si="40">+D70-H70</f>
        <v>-5720</v>
      </c>
      <c r="M70" s="1"/>
      <c r="N70" s="5">
        <f t="shared" ref="N70:N77" si="41">IF(H70=0,0,L70/H70)</f>
        <v>-1</v>
      </c>
      <c r="O70" s="14"/>
      <c r="P70" s="1">
        <f>SUM(OSRRefP22_14x_0)</f>
        <v>57.16</v>
      </c>
      <c r="Q70" s="1"/>
      <c r="R70" s="5">
        <f t="shared" ref="R70:R77" si="42">IF(P$12=0,0,P70/P$12)</f>
        <v>0</v>
      </c>
      <c r="S70" s="1"/>
      <c r="T70" s="1">
        <f>SUM(OSRRefT22_14x_0)</f>
        <v>30040</v>
      </c>
      <c r="U70" s="1"/>
      <c r="V70" s="5">
        <f t="shared" ref="V70:V77" si="43">IF(T$12=0,0,T70/T$12)</f>
        <v>0.11289286076672442</v>
      </c>
      <c r="W70" s="1"/>
      <c r="X70" s="1">
        <f t="shared" ref="X70:X77" si="44">+P70-T70</f>
        <v>-29982.84</v>
      </c>
      <c r="Y70" s="1"/>
      <c r="Z70" s="5">
        <f t="shared" ref="Z70:Z77" si="45">IF(T70=0,0,X70/T70)</f>
        <v>-0.99809720372836219</v>
      </c>
    </row>
    <row r="71" spans="1:26" s="24" customFormat="1" hidden="1" outlineLevel="2" x14ac:dyDescent="0.25">
      <c r="A71" s="29"/>
      <c r="B71" s="11" t="str">
        <f>CONCATENATE("          ", "6235", " - ", "COVID-19 EXPENSES")</f>
        <v xml:space="preserve">          6235 - COVID-19 EXPENSES</v>
      </c>
      <c r="C71" s="11"/>
      <c r="D71" s="7"/>
      <c r="E71" s="2"/>
      <c r="F71" s="6">
        <f t="shared" si="38"/>
        <v>0</v>
      </c>
      <c r="G71" s="2"/>
      <c r="H71" s="7">
        <v>3000</v>
      </c>
      <c r="I71" s="2"/>
      <c r="J71" s="6">
        <f t="shared" si="39"/>
        <v>7.4340230454714412E-2</v>
      </c>
      <c r="K71" s="2"/>
      <c r="L71" s="7">
        <f t="shared" si="40"/>
        <v>-3000</v>
      </c>
      <c r="M71" s="2"/>
      <c r="N71" s="6">
        <f t="shared" si="41"/>
        <v>-1</v>
      </c>
      <c r="O71" s="11"/>
      <c r="P71" s="7"/>
      <c r="Q71" s="2"/>
      <c r="R71" s="6">
        <f t="shared" si="42"/>
        <v>0</v>
      </c>
      <c r="S71" s="2"/>
      <c r="T71" s="7">
        <v>15000</v>
      </c>
      <c r="U71" s="2"/>
      <c r="V71" s="6">
        <f t="shared" si="43"/>
        <v>5.6371268691773176E-2</v>
      </c>
      <c r="W71" s="2"/>
      <c r="X71" s="7">
        <f t="shared" si="44"/>
        <v>-15000</v>
      </c>
      <c r="Y71" s="2"/>
      <c r="Z71" s="6">
        <f t="shared" si="45"/>
        <v>-1</v>
      </c>
    </row>
    <row r="72" spans="1:26" s="24" customFormat="1" hidden="1" outlineLevel="2" x14ac:dyDescent="0.25">
      <c r="A72" s="29"/>
      <c r="B72" s="11" t="str">
        <f>CONCATENATE("          ", "6237", " - ", "JANITORIAL SUPPLIES")</f>
        <v xml:space="preserve">          6237 - JANITORIAL SUPPLIES</v>
      </c>
      <c r="C72" s="11"/>
      <c r="D72" s="7"/>
      <c r="E72" s="2"/>
      <c r="F72" s="6">
        <f t="shared" si="38"/>
        <v>0</v>
      </c>
      <c r="G72" s="2"/>
      <c r="H72" s="7">
        <v>2000</v>
      </c>
      <c r="I72" s="2"/>
      <c r="J72" s="6">
        <f t="shared" si="39"/>
        <v>4.956015363647627E-2</v>
      </c>
      <c r="K72" s="2"/>
      <c r="L72" s="7">
        <f t="shared" si="40"/>
        <v>-2000</v>
      </c>
      <c r="M72" s="2"/>
      <c r="N72" s="6">
        <f t="shared" si="41"/>
        <v>-1</v>
      </c>
      <c r="O72" s="11"/>
      <c r="P72" s="7"/>
      <c r="Q72" s="2"/>
      <c r="R72" s="6">
        <f t="shared" si="42"/>
        <v>0</v>
      </c>
      <c r="S72" s="2"/>
      <c r="T72" s="7">
        <v>11000</v>
      </c>
      <c r="U72" s="2"/>
      <c r="V72" s="6">
        <f t="shared" si="43"/>
        <v>4.1338930373966999E-2</v>
      </c>
      <c r="W72" s="2"/>
      <c r="X72" s="7">
        <f t="shared" si="44"/>
        <v>-11000</v>
      </c>
      <c r="Y72" s="2"/>
      <c r="Z72" s="6">
        <f t="shared" si="45"/>
        <v>-1</v>
      </c>
    </row>
    <row r="73" spans="1:26" s="24" customFormat="1" hidden="1" outlineLevel="2" x14ac:dyDescent="0.25">
      <c r="A73" s="29"/>
      <c r="B73" s="11" t="str">
        <f>CONCATENATE("          ", "6239", " - ", "KITCHEN SUPPLIES")</f>
        <v xml:space="preserve">          6239 - KITCHEN SUPPLIES</v>
      </c>
      <c r="C73" s="11"/>
      <c r="D73" s="7"/>
      <c r="E73" s="2"/>
      <c r="F73" s="6">
        <f t="shared" si="38"/>
        <v>0</v>
      </c>
      <c r="G73" s="2"/>
      <c r="H73" s="7">
        <v>300</v>
      </c>
      <c r="I73" s="2"/>
      <c r="J73" s="6">
        <f t="shared" si="39"/>
        <v>7.4340230454714414E-3</v>
      </c>
      <c r="K73" s="2"/>
      <c r="L73" s="7">
        <f t="shared" si="40"/>
        <v>-300</v>
      </c>
      <c r="M73" s="2"/>
      <c r="N73" s="6">
        <f t="shared" si="41"/>
        <v>-1</v>
      </c>
      <c r="O73" s="11"/>
      <c r="P73" s="7"/>
      <c r="Q73" s="2"/>
      <c r="R73" s="6">
        <f t="shared" si="42"/>
        <v>0</v>
      </c>
      <c r="S73" s="2"/>
      <c r="T73" s="7">
        <v>1500</v>
      </c>
      <c r="U73" s="2"/>
      <c r="V73" s="6">
        <f t="shared" si="43"/>
        <v>5.6371268691773179E-3</v>
      </c>
      <c r="W73" s="2"/>
      <c r="X73" s="7">
        <f t="shared" si="44"/>
        <v>-1500</v>
      </c>
      <c r="Y73" s="2"/>
      <c r="Z73" s="6">
        <f t="shared" si="45"/>
        <v>-1</v>
      </c>
    </row>
    <row r="74" spans="1:26" s="24" customFormat="1" hidden="1" outlineLevel="2" x14ac:dyDescent="0.25">
      <c r="A74" s="29"/>
      <c r="B74" s="11" t="str">
        <f>CONCATENATE("          ", "6241", " - ", "OFFICE EXPENSE")</f>
        <v xml:space="preserve">          6241 - OFFICE EXPENSE</v>
      </c>
      <c r="C74" s="11"/>
      <c r="D74" s="7"/>
      <c r="E74" s="2"/>
      <c r="F74" s="6">
        <f t="shared" si="38"/>
        <v>0</v>
      </c>
      <c r="G74" s="2"/>
      <c r="H74" s="7">
        <v>250</v>
      </c>
      <c r="I74" s="2"/>
      <c r="J74" s="6">
        <f t="shared" si="39"/>
        <v>6.1950192045595338E-3</v>
      </c>
      <c r="K74" s="2"/>
      <c r="L74" s="7">
        <f t="shared" si="40"/>
        <v>-250</v>
      </c>
      <c r="M74" s="2"/>
      <c r="N74" s="6">
        <f t="shared" si="41"/>
        <v>-1</v>
      </c>
      <c r="O74" s="11"/>
      <c r="P74" s="7">
        <v>57.16</v>
      </c>
      <c r="Q74" s="2"/>
      <c r="R74" s="6">
        <f t="shared" si="42"/>
        <v>0</v>
      </c>
      <c r="S74" s="2"/>
      <c r="T74" s="7">
        <v>1250</v>
      </c>
      <c r="U74" s="2"/>
      <c r="V74" s="6">
        <f t="shared" si="43"/>
        <v>4.697605724314431E-3</v>
      </c>
      <c r="W74" s="2"/>
      <c r="X74" s="7">
        <f t="shared" si="44"/>
        <v>-1192.8399999999999</v>
      </c>
      <c r="Y74" s="2"/>
      <c r="Z74" s="6">
        <f t="shared" si="45"/>
        <v>-0.9542719999999999</v>
      </c>
    </row>
    <row r="75" spans="1:26" s="24" customFormat="1" hidden="1" outlineLevel="2" x14ac:dyDescent="0.25">
      <c r="A75" s="29"/>
      <c r="B75" s="11" t="str">
        <f>CONCATENATE("          ", "6244", " - ", "SAFETY SUPPLY EXPENSE")</f>
        <v xml:space="preserve">          6244 - SAFETY SUPPLY EXPENSE</v>
      </c>
      <c r="C75" s="11"/>
      <c r="D75" s="7"/>
      <c r="E75" s="2"/>
      <c r="F75" s="6">
        <f t="shared" si="38"/>
        <v>0</v>
      </c>
      <c r="G75" s="2"/>
      <c r="H75" s="7">
        <v>20</v>
      </c>
      <c r="I75" s="2"/>
      <c r="J75" s="6">
        <f t="shared" si="39"/>
        <v>4.9560153636476274E-4</v>
      </c>
      <c r="K75" s="2"/>
      <c r="L75" s="7">
        <f t="shared" si="40"/>
        <v>-20</v>
      </c>
      <c r="M75" s="2"/>
      <c r="N75" s="6">
        <f t="shared" si="41"/>
        <v>-1</v>
      </c>
      <c r="O75" s="11"/>
      <c r="P75" s="7"/>
      <c r="Q75" s="2"/>
      <c r="R75" s="6">
        <f t="shared" si="42"/>
        <v>0</v>
      </c>
      <c r="S75" s="2"/>
      <c r="T75" s="7">
        <v>40</v>
      </c>
      <c r="U75" s="2"/>
      <c r="V75" s="6">
        <f t="shared" si="43"/>
        <v>1.5032338317806179E-4</v>
      </c>
      <c r="W75" s="2"/>
      <c r="X75" s="7">
        <f t="shared" si="44"/>
        <v>-40</v>
      </c>
      <c r="Y75" s="2"/>
      <c r="Z75" s="6">
        <f t="shared" si="45"/>
        <v>-1</v>
      </c>
    </row>
    <row r="76" spans="1:26" s="24" customFormat="1" hidden="1" outlineLevel="2" x14ac:dyDescent="0.25">
      <c r="A76" s="29"/>
      <c r="B76" s="11" t="str">
        <f>CONCATENATE("          ", "6245", " - ", "PRINTING")</f>
        <v xml:space="preserve">          6245 - PRINTING</v>
      </c>
      <c r="C76" s="11"/>
      <c r="D76" s="7"/>
      <c r="E76" s="2"/>
      <c r="F76" s="6">
        <f t="shared" si="38"/>
        <v>0</v>
      </c>
      <c r="G76" s="2"/>
      <c r="H76" s="7"/>
      <c r="I76" s="2"/>
      <c r="J76" s="6">
        <f t="shared" si="39"/>
        <v>0</v>
      </c>
      <c r="K76" s="2"/>
      <c r="L76" s="7">
        <f t="shared" si="40"/>
        <v>0</v>
      </c>
      <c r="M76" s="2"/>
      <c r="N76" s="6">
        <f t="shared" si="41"/>
        <v>0</v>
      </c>
      <c r="O76" s="11"/>
      <c r="P76" s="7"/>
      <c r="Q76" s="2"/>
      <c r="R76" s="6">
        <f t="shared" si="42"/>
        <v>0</v>
      </c>
      <c r="S76" s="2"/>
      <c r="T76" s="7">
        <v>500</v>
      </c>
      <c r="U76" s="2"/>
      <c r="V76" s="6">
        <f t="shared" si="43"/>
        <v>1.8790422897257725E-3</v>
      </c>
      <c r="W76" s="2"/>
      <c r="X76" s="7">
        <f t="shared" si="44"/>
        <v>-500</v>
      </c>
      <c r="Y76" s="2"/>
      <c r="Z76" s="6">
        <f t="shared" si="45"/>
        <v>-1</v>
      </c>
    </row>
    <row r="77" spans="1:26" s="24" customFormat="1" hidden="1" outlineLevel="2" x14ac:dyDescent="0.25">
      <c r="A77" s="29"/>
      <c r="B77" s="11" t="str">
        <f>CONCATENATE("          ", "6248", " - ", "UNIFORMS")</f>
        <v xml:space="preserve">          6248 - UNIFORMS</v>
      </c>
      <c r="C77" s="11"/>
      <c r="D77" s="7"/>
      <c r="E77" s="2"/>
      <c r="F77" s="6">
        <f t="shared" si="38"/>
        <v>0</v>
      </c>
      <c r="G77" s="2"/>
      <c r="H77" s="7">
        <v>150</v>
      </c>
      <c r="I77" s="2"/>
      <c r="J77" s="6">
        <f t="shared" si="39"/>
        <v>3.7170115227357207E-3</v>
      </c>
      <c r="K77" s="2"/>
      <c r="L77" s="7">
        <f t="shared" si="40"/>
        <v>-150</v>
      </c>
      <c r="M77" s="2"/>
      <c r="N77" s="6">
        <f t="shared" si="41"/>
        <v>-1</v>
      </c>
      <c r="O77" s="11"/>
      <c r="P77" s="7"/>
      <c r="Q77" s="2"/>
      <c r="R77" s="6">
        <f t="shared" si="42"/>
        <v>0</v>
      </c>
      <c r="S77" s="2"/>
      <c r="T77" s="7">
        <v>750</v>
      </c>
      <c r="U77" s="2"/>
      <c r="V77" s="6">
        <f t="shared" si="43"/>
        <v>2.818563434588659E-3</v>
      </c>
      <c r="W77" s="2"/>
      <c r="X77" s="7">
        <f t="shared" si="44"/>
        <v>-750</v>
      </c>
      <c r="Y77" s="2"/>
      <c r="Z77" s="6">
        <f t="shared" si="45"/>
        <v>-1</v>
      </c>
    </row>
    <row r="78" spans="1:26" s="28" customFormat="1" outlineLevel="1" collapsed="1" x14ac:dyDescent="0.25">
      <c r="A78" s="27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SUM(OSRRefD22_15x_0)</f>
        <v>50</v>
      </c>
      <c r="E78" s="1"/>
      <c r="F78" s="5">
        <f t="shared" ref="F78:F80" si="46">IF(D$12=0,0,D78/D$12)</f>
        <v>0</v>
      </c>
      <c r="G78" s="1"/>
      <c r="H78" s="1">
        <f>SUM(OSRRefH22_15x_0)</f>
        <v>140</v>
      </c>
      <c r="I78" s="1"/>
      <c r="J78" s="5">
        <f t="shared" ref="J78:J80" si="47">IF(H$12=0,0,H78/H$12)</f>
        <v>3.469210754553339E-3</v>
      </c>
      <c r="K78" s="1"/>
      <c r="L78" s="1">
        <f t="shared" ref="L78:L80" si="48">+D78-H78</f>
        <v>-90</v>
      </c>
      <c r="M78" s="1"/>
      <c r="N78" s="5">
        <f t="shared" ref="N78:N80" si="49">IF(H78=0,0,L78/H78)</f>
        <v>-0.6428571428571429</v>
      </c>
      <c r="O78" s="14"/>
      <c r="P78" s="1">
        <f>SUM(OSRRefP22_15x_0)</f>
        <v>579.63</v>
      </c>
      <c r="Q78" s="1"/>
      <c r="R78" s="5">
        <f t="shared" ref="R78:R80" si="50">IF(P$12=0,0,P78/P$12)</f>
        <v>0</v>
      </c>
      <c r="S78" s="1"/>
      <c r="T78" s="1">
        <f>SUM(OSRRefT22_15x_0)</f>
        <v>840</v>
      </c>
      <c r="U78" s="1"/>
      <c r="V78" s="5">
        <f t="shared" ref="V78:V80" si="51">IF(T$12=0,0,T78/T$12)</f>
        <v>3.1567910467392977E-3</v>
      </c>
      <c r="W78" s="1"/>
      <c r="X78" s="1">
        <f t="shared" ref="X78:X80" si="52">+P78-T78</f>
        <v>-260.37</v>
      </c>
      <c r="Y78" s="1"/>
      <c r="Z78" s="5">
        <f t="shared" ref="Z78:Z80" si="53">IF(T78=0,0,X78/T78)</f>
        <v>-0.30996428571428569</v>
      </c>
    </row>
    <row r="79" spans="1:26" s="24" customFormat="1" hidden="1" outlineLevel="2" x14ac:dyDescent="0.25">
      <c r="A79" s="29"/>
      <c r="B79" s="11" t="str">
        <f>CONCATENATE("          ", "6303", " - ", "DATA PHONE LINES")</f>
        <v xml:space="preserve">          6303 - DATA PHONE LINES</v>
      </c>
      <c r="C79" s="11"/>
      <c r="D79" s="7"/>
      <c r="E79" s="2"/>
      <c r="F79" s="6">
        <f t="shared" si="46"/>
        <v>0</v>
      </c>
      <c r="G79" s="2"/>
      <c r="H79" s="7">
        <v>140</v>
      </c>
      <c r="I79" s="2"/>
      <c r="J79" s="6">
        <f t="shared" si="47"/>
        <v>3.469210754553339E-3</v>
      </c>
      <c r="K79" s="2"/>
      <c r="L79" s="7">
        <f t="shared" si="48"/>
        <v>-140</v>
      </c>
      <c r="M79" s="2"/>
      <c r="N79" s="6">
        <f t="shared" si="49"/>
        <v>-1</v>
      </c>
      <c r="O79" s="11"/>
      <c r="P79" s="7"/>
      <c r="Q79" s="2"/>
      <c r="R79" s="6">
        <f t="shared" si="50"/>
        <v>0</v>
      </c>
      <c r="S79" s="2"/>
      <c r="T79" s="7">
        <v>840</v>
      </c>
      <c r="U79" s="2"/>
      <c r="V79" s="6">
        <f t="shared" si="51"/>
        <v>3.1567910467392977E-3</v>
      </c>
      <c r="W79" s="2"/>
      <c r="X79" s="7">
        <f t="shared" si="52"/>
        <v>-840</v>
      </c>
      <c r="Y79" s="2"/>
      <c r="Z79" s="6">
        <f t="shared" si="53"/>
        <v>-1</v>
      </c>
    </row>
    <row r="80" spans="1:26" s="24" customFormat="1" hidden="1" outlineLevel="2" x14ac:dyDescent="0.25">
      <c r="A80" s="29"/>
      <c r="B80" s="11" t="str">
        <f>CONCATENATE("          ", "6309", " - ", "TELEPHONE")</f>
        <v xml:space="preserve">          6309 - TELEPHONE</v>
      </c>
      <c r="C80" s="11"/>
      <c r="D80" s="7">
        <v>50</v>
      </c>
      <c r="E80" s="2"/>
      <c r="F80" s="6">
        <f t="shared" si="46"/>
        <v>0</v>
      </c>
      <c r="G80" s="2"/>
      <c r="H80" s="7"/>
      <c r="I80" s="2"/>
      <c r="J80" s="6">
        <f t="shared" si="47"/>
        <v>0</v>
      </c>
      <c r="K80" s="2"/>
      <c r="L80" s="7">
        <f t="shared" si="48"/>
        <v>50</v>
      </c>
      <c r="M80" s="2"/>
      <c r="N80" s="6">
        <f t="shared" si="49"/>
        <v>0</v>
      </c>
      <c r="O80" s="11"/>
      <c r="P80" s="7">
        <v>579.63</v>
      </c>
      <c r="Q80" s="2"/>
      <c r="R80" s="6">
        <f t="shared" si="50"/>
        <v>0</v>
      </c>
      <c r="S80" s="2"/>
      <c r="T80" s="7"/>
      <c r="U80" s="2"/>
      <c r="V80" s="6">
        <f t="shared" si="51"/>
        <v>0</v>
      </c>
      <c r="W80" s="2"/>
      <c r="X80" s="7">
        <f t="shared" si="52"/>
        <v>579.63</v>
      </c>
      <c r="Y80" s="2"/>
      <c r="Z80" s="6">
        <f t="shared" si="53"/>
        <v>0</v>
      </c>
    </row>
    <row r="81" spans="1:26" s="28" customFormat="1" outlineLevel="1" collapsed="1" x14ac:dyDescent="0.25">
      <c r="A81" s="27"/>
      <c r="B81" s="14" t="str">
        <f>CONCATENATE("     ","Training                                          ")</f>
        <v xml:space="preserve">     Training                                          </v>
      </c>
      <c r="C81" s="14"/>
      <c r="D81" s="1">
        <f>SUM(OSRRefD22_16x_0)</f>
        <v>0</v>
      </c>
      <c r="E81" s="1"/>
      <c r="F81" s="5">
        <f t="shared" ref="F81:F82" si="54">IF(D$12=0,0,D81/D$12)</f>
        <v>0</v>
      </c>
      <c r="G81" s="1"/>
      <c r="H81" s="1">
        <f>SUM(OSRRefH22_16x_0)</f>
        <v>200</v>
      </c>
      <c r="I81" s="1"/>
      <c r="J81" s="5">
        <f t="shared" ref="J81:J82" si="55">IF(H$12=0,0,H81/H$12)</f>
        <v>4.956015363647627E-3</v>
      </c>
      <c r="K81" s="1"/>
      <c r="L81" s="1">
        <f t="shared" ref="L81:L82" si="56">+D81-H81</f>
        <v>-200</v>
      </c>
      <c r="M81" s="1"/>
      <c r="N81" s="5">
        <f t="shared" ref="N81:N82" si="57">IF(H81=0,0,L81/H81)</f>
        <v>-1</v>
      </c>
      <c r="O81" s="14"/>
      <c r="P81" s="1">
        <f>SUM(OSRRefP22_16x_0)</f>
        <v>0</v>
      </c>
      <c r="Q81" s="1"/>
      <c r="R81" s="5">
        <f t="shared" ref="R81:R82" si="58">IF(P$12=0,0,P81/P$12)</f>
        <v>0</v>
      </c>
      <c r="S81" s="1"/>
      <c r="T81" s="1">
        <f>SUM(OSRRefT22_16x_0)</f>
        <v>1200</v>
      </c>
      <c r="U81" s="1"/>
      <c r="V81" s="5">
        <f t="shared" ref="V81:V82" si="59">IF(T$12=0,0,T81/T$12)</f>
        <v>4.509701495341854E-3</v>
      </c>
      <c r="W81" s="1"/>
      <c r="X81" s="1">
        <f t="shared" ref="X81:X82" si="60">+P81-T81</f>
        <v>-1200</v>
      </c>
      <c r="Y81" s="1"/>
      <c r="Z81" s="5">
        <f t="shared" ref="Z81:Z82" si="61">IF(T81=0,0,X81/T81)</f>
        <v>-1</v>
      </c>
    </row>
    <row r="82" spans="1:26" s="24" customFormat="1" hidden="1" outlineLevel="2" x14ac:dyDescent="0.25">
      <c r="A82" s="29"/>
      <c r="B82" s="11" t="str">
        <f>CONCATENATE("          ", "6376", " - ", "TRAINING")</f>
        <v xml:space="preserve">          6376 - TRAINING</v>
      </c>
      <c r="C82" s="11"/>
      <c r="D82" s="7"/>
      <c r="E82" s="2"/>
      <c r="F82" s="6">
        <f t="shared" si="54"/>
        <v>0</v>
      </c>
      <c r="G82" s="2"/>
      <c r="H82" s="7">
        <v>200</v>
      </c>
      <c r="I82" s="2"/>
      <c r="J82" s="6">
        <f t="shared" si="55"/>
        <v>4.956015363647627E-3</v>
      </c>
      <c r="K82" s="2"/>
      <c r="L82" s="7">
        <f t="shared" si="56"/>
        <v>-200</v>
      </c>
      <c r="M82" s="2"/>
      <c r="N82" s="6">
        <f t="shared" si="57"/>
        <v>-1</v>
      </c>
      <c r="O82" s="11"/>
      <c r="P82" s="7"/>
      <c r="Q82" s="2"/>
      <c r="R82" s="6">
        <f t="shared" si="58"/>
        <v>0</v>
      </c>
      <c r="S82" s="2"/>
      <c r="T82" s="7">
        <v>1200</v>
      </c>
      <c r="U82" s="2"/>
      <c r="V82" s="6">
        <f t="shared" si="59"/>
        <v>4.509701495341854E-3</v>
      </c>
      <c r="W82" s="2"/>
      <c r="X82" s="7">
        <f t="shared" si="60"/>
        <v>-1200</v>
      </c>
      <c r="Y82" s="2"/>
      <c r="Z82" s="6">
        <f t="shared" si="61"/>
        <v>-1</v>
      </c>
    </row>
    <row r="83" spans="1:26" s="53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6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5" t="s">
        <v>3</v>
      </c>
      <c r="C86" s="25"/>
      <c r="D86" s="21">
        <f>+D19-D21+D84</f>
        <v>-37830.829999999994</v>
      </c>
      <c r="E86" s="13"/>
      <c r="F86" s="19">
        <f>IF(D$12=0,0,D86/D$12)</f>
        <v>0</v>
      </c>
      <c r="G86" s="13"/>
      <c r="H86" s="21">
        <f>+H19-H21+H84</f>
        <v>-57573.318295587669</v>
      </c>
      <c r="I86" s="13"/>
      <c r="J86" s="19">
        <f>IF(H$12=0,0,H86/H$12)</f>
        <v>-1.4266712500455376</v>
      </c>
      <c r="K86" s="16"/>
      <c r="L86" s="21">
        <f>+D86-H86</f>
        <v>19742.488295587675</v>
      </c>
      <c r="M86" s="16"/>
      <c r="N86" s="19">
        <f>IF(H86=0,0,L86/H86)</f>
        <v>-0.34291037723807399</v>
      </c>
      <c r="O86" s="26"/>
      <c r="P86" s="21">
        <f>+P19-P21+P84</f>
        <v>-248870.62999999998</v>
      </c>
      <c r="Q86" s="13"/>
      <c r="R86" s="19">
        <f>IF(P$12=0,0,P86/P$12)</f>
        <v>0</v>
      </c>
      <c r="S86" s="13"/>
      <c r="T86" s="21">
        <f>+T19-T21+T84</f>
        <v>-345868.92254631966</v>
      </c>
      <c r="U86" s="13"/>
      <c r="V86" s="19">
        <f>IF(T$12=0,0,T86/T$12)</f>
        <v>-1.2998046643328447</v>
      </c>
      <c r="W86" s="16"/>
      <c r="X86" s="21">
        <f>+P86-T86</f>
        <v>96998.292546319688</v>
      </c>
      <c r="Y86" s="16"/>
      <c r="Z86" s="19">
        <f>IF(T86=0,0,X86/T86)</f>
        <v>-0.28044812998001989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/>
      <c r="E88" s="4"/>
      <c r="F88" s="12">
        <f>IF(D$12=0,0,D88/D$12)</f>
        <v>0</v>
      </c>
      <c r="G88" s="4"/>
      <c r="H88" s="4">
        <v>10215</v>
      </c>
      <c r="I88" s="4"/>
      <c r="J88" s="12">
        <f>IF(H$12=0,0,H88/H$12)</f>
        <v>0.25312848469830257</v>
      </c>
      <c r="K88" s="4"/>
      <c r="L88" s="4">
        <f>+D88-H88</f>
        <v>-10215</v>
      </c>
      <c r="M88" s="4"/>
      <c r="N88" s="12">
        <f>IF(H88=0,0,L88/H88)</f>
        <v>-1</v>
      </c>
      <c r="O88" s="10"/>
      <c r="P88" s="4">
        <v>0</v>
      </c>
      <c r="Q88" s="4"/>
      <c r="R88" s="12">
        <f>IF(P$12=0,0,P88/P$12)</f>
        <v>0</v>
      </c>
      <c r="S88" s="4"/>
      <c r="T88" s="4">
        <v>50475</v>
      </c>
      <c r="U88" s="4"/>
      <c r="V88" s="12">
        <f>IF(T$12=0,0,T88/T$12)</f>
        <v>0.18968931914781675</v>
      </c>
      <c r="W88" s="4"/>
      <c r="X88" s="4">
        <f>+P88-T88</f>
        <v>-50475</v>
      </c>
      <c r="Y88" s="4"/>
      <c r="Z88" s="12">
        <f>IF(T88=0,0,X88/T88)</f>
        <v>-1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5" t="s">
        <v>4</v>
      </c>
      <c r="C90" s="25"/>
      <c r="D90" s="34">
        <f>+D86-D88</f>
        <v>-37830.829999999994</v>
      </c>
      <c r="E90" s="13"/>
      <c r="F90" s="31">
        <f>IF(D$12=0,0,D90/D$12)</f>
        <v>0</v>
      </c>
      <c r="G90" s="13"/>
      <c r="H90" s="34">
        <f>+H86-H88</f>
        <v>-67788.318295587669</v>
      </c>
      <c r="I90" s="13"/>
      <c r="J90" s="31">
        <f>IF(H$12=0,0,H90/H$12)</f>
        <v>-1.6797997347438403</v>
      </c>
      <c r="K90" s="16"/>
      <c r="L90" s="34">
        <f>D90-H90</f>
        <v>29957.488295587675</v>
      </c>
      <c r="M90" s="16"/>
      <c r="N90" s="31">
        <f>IF(H90=0,0,L90/H90)</f>
        <v>-0.44192700230384097</v>
      </c>
      <c r="O90" s="26"/>
      <c r="P90" s="34">
        <f>+P86-P88</f>
        <v>-248870.62999999998</v>
      </c>
      <c r="Q90" s="13"/>
      <c r="R90" s="31">
        <f>IF(P$12=0,0,P90/P$12)</f>
        <v>0</v>
      </c>
      <c r="S90" s="13"/>
      <c r="T90" s="34">
        <f>+T86-T88</f>
        <v>-396343.92254631966</v>
      </c>
      <c r="U90" s="13"/>
      <c r="V90" s="31">
        <f>IF(T$12=0,0,T90/T$12)</f>
        <v>-1.4894939834806615</v>
      </c>
      <c r="W90" s="16"/>
      <c r="X90" s="34">
        <f>P90-T90</f>
        <v>147473.29254631969</v>
      </c>
      <c r="Y90" s="16"/>
      <c r="Z90" s="31">
        <f>IF(T90=0,0,X90/T90)</f>
        <v>-0.37208415256849275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5" t="s">
        <v>5</v>
      </c>
      <c r="C93" s="25"/>
      <c r="D93" s="33">
        <f>SUM(D90:D92)</f>
        <v>-37830.829999999994</v>
      </c>
      <c r="E93" s="13"/>
      <c r="F93" s="32">
        <f>IF(D$12=0,0,D93/D$12)</f>
        <v>0</v>
      </c>
      <c r="G93" s="13"/>
      <c r="H93" s="33">
        <f>SUM(H90:H92)</f>
        <v>-67788.318295587669</v>
      </c>
      <c r="I93" s="13"/>
      <c r="J93" s="32">
        <f>IF(H$12=0,0,H93/H$12)</f>
        <v>-1.6797997347438403</v>
      </c>
      <c r="K93" s="16"/>
      <c r="L93" s="33">
        <f>+D93-H93</f>
        <v>29957.488295587675</v>
      </c>
      <c r="M93" s="16"/>
      <c r="N93" s="32">
        <f>IF(H93=0,0,L93/H93)</f>
        <v>-0.44192700230384097</v>
      </c>
      <c r="O93" s="26"/>
      <c r="P93" s="33">
        <f>SUM(P90:P92)</f>
        <v>-248870.62999999998</v>
      </c>
      <c r="Q93" s="13"/>
      <c r="R93" s="32">
        <f>IF(P$12=0,0,P93/P$12)</f>
        <v>0</v>
      </c>
      <c r="S93" s="13"/>
      <c r="T93" s="33">
        <f>SUM(T90:T92)</f>
        <v>-396343.92254631966</v>
      </c>
      <c r="U93" s="13"/>
      <c r="V93" s="32">
        <f>IF(T$12=0,0,T93/T$12)</f>
        <v>-1.4894939834806615</v>
      </c>
      <c r="W93" s="16"/>
      <c r="X93" s="33">
        <f>+P93-T93</f>
        <v>147473.29254631969</v>
      </c>
      <c r="Y93" s="16"/>
      <c r="Z93" s="32">
        <f>IF(T93=0,0,X93/T93)</f>
        <v>-0.37208415256849275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63">
        <v>44209.518943368057</v>
      </c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60" t="s">
        <v>314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8"/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298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13225</v>
      </c>
      <c r="E12" s="4"/>
      <c r="F12" s="12"/>
      <c r="G12" s="4"/>
      <c r="H12" s="4">
        <f>SUM(OSRRefH13x_0)</f>
        <v>36332</v>
      </c>
      <c r="I12" s="4"/>
      <c r="J12" s="12"/>
      <c r="K12" s="4"/>
      <c r="L12" s="4">
        <f t="shared" ref="L12:L13" si="0">+D12-H12</f>
        <v>-23107</v>
      </c>
      <c r="M12" s="4"/>
      <c r="N12" s="12">
        <f t="shared" ref="N12:N13" si="1">IF(H12=0,0,L12/H12)</f>
        <v>-0.63599581636023339</v>
      </c>
      <c r="O12" s="10"/>
      <c r="P12" s="4">
        <f>SUM(OSRRefP13x_0)</f>
        <v>335672</v>
      </c>
      <c r="Q12" s="4"/>
      <c r="R12" s="12"/>
      <c r="S12" s="4"/>
      <c r="T12" s="4">
        <f>SUM(OSRRefT13x_0)</f>
        <v>374810</v>
      </c>
      <c r="U12" s="4"/>
      <c r="V12" s="12"/>
      <c r="W12" s="4"/>
      <c r="X12" s="4">
        <f t="shared" ref="X12:X13" si="2">+P12-T12</f>
        <v>-39138</v>
      </c>
      <c r="Y12" s="4"/>
      <c r="Z12" s="12">
        <f t="shared" ref="Z12:Z13" si="3">IF(T12=0,0,X12/T12)</f>
        <v>-0.10442090659267363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--13225</f>
        <v>13225</v>
      </c>
      <c r="E13" s="2"/>
      <c r="F13" s="22"/>
      <c r="G13" s="2"/>
      <c r="H13" s="2">
        <v>36332</v>
      </c>
      <c r="I13" s="2"/>
      <c r="J13" s="22"/>
      <c r="K13" s="2"/>
      <c r="L13" s="2">
        <f t="shared" si="0"/>
        <v>-23107</v>
      </c>
      <c r="M13" s="2"/>
      <c r="N13" s="22">
        <f t="shared" si="1"/>
        <v>-0.63599581636023339</v>
      </c>
      <c r="O13" s="11"/>
      <c r="P13" s="2">
        <f>--335672</f>
        <v>335672</v>
      </c>
      <c r="Q13" s="2"/>
      <c r="R13" s="22"/>
      <c r="S13" s="2"/>
      <c r="T13" s="2">
        <v>374810</v>
      </c>
      <c r="U13" s="2"/>
      <c r="V13" s="22"/>
      <c r="W13" s="2"/>
      <c r="X13" s="2">
        <f t="shared" si="2"/>
        <v>-39138</v>
      </c>
      <c r="Y13" s="2"/>
      <c r="Z13" s="22">
        <f t="shared" si="3"/>
        <v>-0.10442090659267363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21">
        <f>D12-D15</f>
        <v>13225</v>
      </c>
      <c r="E17" s="13"/>
      <c r="F17" s="19">
        <f>IF(D$12=0,0,D17/D$12)</f>
        <v>1</v>
      </c>
      <c r="G17" s="13"/>
      <c r="H17" s="21">
        <f>H12-H15</f>
        <v>36332</v>
      </c>
      <c r="I17" s="13"/>
      <c r="J17" s="19">
        <f>IF(H$12=0,0,H17/H$12)</f>
        <v>1</v>
      </c>
      <c r="K17" s="16"/>
      <c r="L17" s="21">
        <f>+D17-H17</f>
        <v>-23107</v>
      </c>
      <c r="M17" s="16"/>
      <c r="N17" s="19">
        <f>IF(H17=0,0,L17/H17)</f>
        <v>-0.63599581636023339</v>
      </c>
      <c r="O17" s="26"/>
      <c r="P17" s="21">
        <f>P12-P15</f>
        <v>335672</v>
      </c>
      <c r="Q17" s="13"/>
      <c r="R17" s="19">
        <f>IF(P$12=0,0,P17/P$12)</f>
        <v>1</v>
      </c>
      <c r="S17" s="13"/>
      <c r="T17" s="21">
        <f>T12-T15</f>
        <v>374810</v>
      </c>
      <c r="U17" s="13"/>
      <c r="V17" s="19">
        <f>IF(T$12=0,0,T17/T$12)</f>
        <v>1</v>
      </c>
      <c r="W17" s="16"/>
      <c r="X17" s="21">
        <f>+P17-T17</f>
        <v>-39138</v>
      </c>
      <c r="Y17" s="16"/>
      <c r="Z17" s="19">
        <f>IF(T17=0,0,X17/T17)</f>
        <v>-0.10442090659267363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20">
        <f>SUM(OSRRefD22x_0)</f>
        <v>20530.420000000002</v>
      </c>
      <c r="E19" s="20"/>
      <c r="F19" s="30">
        <f t="shared" ref="F19:F30" si="4">IF(D$12=0,0,D19/D$12)</f>
        <v>1.5523947069943291</v>
      </c>
      <c r="G19" s="20"/>
      <c r="H19" s="20">
        <f>SUM(OSRRefH22x_0)</f>
        <v>32729.148533615386</v>
      </c>
      <c r="I19" s="20"/>
      <c r="J19" s="30">
        <f t="shared" ref="J19:J30" si="5">IF(H$12=0,0,H19/H$12)</f>
        <v>0.90083531139533701</v>
      </c>
      <c r="K19" s="4"/>
      <c r="L19" s="20">
        <f t="shared" ref="L19:L30" si="6">+D19-H19</f>
        <v>-12198.728533615384</v>
      </c>
      <c r="M19" s="4"/>
      <c r="N19" s="30">
        <f t="shared" ref="N19:N30" si="7">IF(H19=0,0,L19/H19)</f>
        <v>-0.37271756462244471</v>
      </c>
      <c r="O19" s="10"/>
      <c r="P19" s="20">
        <f>SUM(OSRRefP22x_0)</f>
        <v>285695.19</v>
      </c>
      <c r="Q19" s="20"/>
      <c r="R19" s="30">
        <f t="shared" ref="R19:R30" si="8">IF(P$12=0,0,P19/P$12)</f>
        <v>0.85111415310183747</v>
      </c>
      <c r="S19" s="20"/>
      <c r="T19" s="20">
        <f>SUM(OSRRefT22x_0)</f>
        <v>333217.46830474999</v>
      </c>
      <c r="U19" s="20"/>
      <c r="V19" s="30">
        <f t="shared" ref="V19:V30" si="9">IF(T$12=0,0,T19/T$12)</f>
        <v>0.8890303575271471</v>
      </c>
      <c r="W19" s="4"/>
      <c r="X19" s="20">
        <f t="shared" ref="X19:X30" si="10">+P19-T19</f>
        <v>-47522.278304749983</v>
      </c>
      <c r="Y19" s="4"/>
      <c r="Z19" s="30">
        <f t="shared" ref="Z19:Z30" si="11">IF(T19=0,0,X19/T19)</f>
        <v>-0.14261640767670569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3872.88</v>
      </c>
      <c r="E20" s="1"/>
      <c r="F20" s="5">
        <f t="shared" si="4"/>
        <v>0.29284536862003779</v>
      </c>
      <c r="G20" s="1"/>
      <c r="H20" s="1">
        <f>SUM(OSRRefH22_0x_0)</f>
        <v>3678.1327643846166</v>
      </c>
      <c r="I20" s="1"/>
      <c r="J20" s="5">
        <f t="shared" si="5"/>
        <v>0.10123672697304351</v>
      </c>
      <c r="K20" s="1"/>
      <c r="L20" s="1">
        <f t="shared" si="6"/>
        <v>194.74723561538349</v>
      </c>
      <c r="M20" s="1"/>
      <c r="N20" s="5">
        <f t="shared" si="7"/>
        <v>5.2947309977802386E-2</v>
      </c>
      <c r="O20" s="14"/>
      <c r="P20" s="1">
        <f>SUM(OSRRefP22_0x_0)</f>
        <v>25245.63</v>
      </c>
      <c r="Q20" s="1"/>
      <c r="R20" s="5">
        <f t="shared" si="8"/>
        <v>7.520922209776211E-2</v>
      </c>
      <c r="S20" s="1"/>
      <c r="T20" s="1">
        <f>SUM(OSRRefT22_0x_0)</f>
        <v>25780.534554750007</v>
      </c>
      <c r="U20" s="1"/>
      <c r="V20" s="5">
        <f t="shared" si="9"/>
        <v>6.8782942170032835E-2</v>
      </c>
      <c r="W20" s="1"/>
      <c r="X20" s="1">
        <f t="shared" si="10"/>
        <v>-534.90455475000635</v>
      </c>
      <c r="Y20" s="1"/>
      <c r="Z20" s="5">
        <f t="shared" si="11"/>
        <v>-2.0748388813041557E-2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7">
        <v>938.94</v>
      </c>
      <c r="E21" s="2"/>
      <c r="F21" s="6">
        <f t="shared" si="4"/>
        <v>7.0997353497164462E-2</v>
      </c>
      <c r="G21" s="2"/>
      <c r="H21" s="7">
        <v>718.85158823076904</v>
      </c>
      <c r="I21" s="2"/>
      <c r="J21" s="6">
        <f t="shared" si="5"/>
        <v>1.9785632176339565E-2</v>
      </c>
      <c r="K21" s="2"/>
      <c r="L21" s="7">
        <f t="shared" si="6"/>
        <v>220.08841176923102</v>
      </c>
      <c r="M21" s="2"/>
      <c r="N21" s="6">
        <f t="shared" si="7"/>
        <v>0.30616669055557155</v>
      </c>
      <c r="O21" s="11"/>
      <c r="P21" s="7">
        <v>6290.87</v>
      </c>
      <c r="Q21" s="2"/>
      <c r="R21" s="6">
        <f t="shared" si="8"/>
        <v>1.8741122286041134E-2</v>
      </c>
      <c r="S21" s="2"/>
      <c r="T21" s="7">
        <v>6488.812247249999</v>
      </c>
      <c r="U21" s="2"/>
      <c r="V21" s="6">
        <f t="shared" si="9"/>
        <v>1.7312270876577465E-2</v>
      </c>
      <c r="W21" s="2"/>
      <c r="X21" s="7">
        <f t="shared" si="10"/>
        <v>-197.94224724999913</v>
      </c>
      <c r="Y21" s="2"/>
      <c r="Z21" s="6">
        <f t="shared" si="11"/>
        <v>-3.0505158680448542E-2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7">
        <v>171.99</v>
      </c>
      <c r="E22" s="2"/>
      <c r="F22" s="6">
        <f t="shared" si="4"/>
        <v>1.300491493383743E-2</v>
      </c>
      <c r="G22" s="2"/>
      <c r="H22" s="7">
        <v>323.62178076923101</v>
      </c>
      <c r="I22" s="2"/>
      <c r="J22" s="6">
        <f t="shared" si="5"/>
        <v>8.9073483642307331E-3</v>
      </c>
      <c r="K22" s="2"/>
      <c r="L22" s="7">
        <f t="shared" si="6"/>
        <v>-151.631780769231</v>
      </c>
      <c r="M22" s="2"/>
      <c r="N22" s="6">
        <f t="shared" si="7"/>
        <v>-0.46854627772213192</v>
      </c>
      <c r="O22" s="11"/>
      <c r="P22" s="7">
        <v>667.52</v>
      </c>
      <c r="Q22" s="2"/>
      <c r="R22" s="6">
        <f t="shared" si="8"/>
        <v>1.9886079267856715E-3</v>
      </c>
      <c r="S22" s="2"/>
      <c r="T22" s="7">
        <v>2142.9997625000019</v>
      </c>
      <c r="U22" s="2"/>
      <c r="V22" s="6">
        <f t="shared" si="9"/>
        <v>5.7175629318854939E-3</v>
      </c>
      <c r="W22" s="2"/>
      <c r="X22" s="7">
        <f t="shared" si="10"/>
        <v>-1475.4797625000019</v>
      </c>
      <c r="Y22" s="2"/>
      <c r="Z22" s="6">
        <f t="shared" si="11"/>
        <v>-0.68851139805014361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7">
        <v>1230.45</v>
      </c>
      <c r="E23" s="2"/>
      <c r="F23" s="6">
        <f t="shared" si="4"/>
        <v>9.3039697542533079E-2</v>
      </c>
      <c r="G23" s="2"/>
      <c r="H23" s="7">
        <v>1025</v>
      </c>
      <c r="I23" s="2"/>
      <c r="J23" s="6">
        <f t="shared" si="5"/>
        <v>2.8212044478696467E-2</v>
      </c>
      <c r="K23" s="2"/>
      <c r="L23" s="7">
        <f t="shared" si="6"/>
        <v>205.45000000000005</v>
      </c>
      <c r="M23" s="2"/>
      <c r="N23" s="6">
        <f t="shared" si="7"/>
        <v>0.20043902439024394</v>
      </c>
      <c r="O23" s="11"/>
      <c r="P23" s="7">
        <v>7403</v>
      </c>
      <c r="Q23" s="2"/>
      <c r="R23" s="6">
        <f t="shared" si="8"/>
        <v>2.2054267260897542E-2</v>
      </c>
      <c r="S23" s="2"/>
      <c r="T23" s="7">
        <v>6482.5</v>
      </c>
      <c r="U23" s="2"/>
      <c r="V23" s="6">
        <f t="shared" si="9"/>
        <v>1.7295429684373417E-2</v>
      </c>
      <c r="W23" s="2"/>
      <c r="X23" s="7">
        <f t="shared" si="10"/>
        <v>920.5</v>
      </c>
      <c r="Y23" s="2"/>
      <c r="Z23" s="6">
        <f t="shared" si="11"/>
        <v>0.14199768607790206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7"/>
      <c r="E24" s="2"/>
      <c r="F24" s="6">
        <f t="shared" si="4"/>
        <v>0</v>
      </c>
      <c r="G24" s="2"/>
      <c r="H24" s="7">
        <v>45.48198</v>
      </c>
      <c r="I24" s="2"/>
      <c r="J24" s="6">
        <f t="shared" si="5"/>
        <v>1.251843553891886E-3</v>
      </c>
      <c r="K24" s="2"/>
      <c r="L24" s="7">
        <f t="shared" si="6"/>
        <v>-45.48198</v>
      </c>
      <c r="M24" s="2"/>
      <c r="N24" s="6">
        <f t="shared" si="7"/>
        <v>-1</v>
      </c>
      <c r="O24" s="11"/>
      <c r="P24" s="7">
        <v>214.6</v>
      </c>
      <c r="Q24" s="2"/>
      <c r="R24" s="6">
        <f t="shared" si="8"/>
        <v>6.3931456898400822E-4</v>
      </c>
      <c r="S24" s="2"/>
      <c r="T24" s="7">
        <v>301.17834499999998</v>
      </c>
      <c r="U24" s="2"/>
      <c r="V24" s="6">
        <f t="shared" si="9"/>
        <v>8.0354938502174428E-4</v>
      </c>
      <c r="W24" s="2"/>
      <c r="X24" s="7">
        <f t="shared" si="10"/>
        <v>-86.578344999999985</v>
      </c>
      <c r="Y24" s="2"/>
      <c r="Z24" s="6">
        <f t="shared" si="11"/>
        <v>-0.2874653720538905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7">
        <v>640.35</v>
      </c>
      <c r="E25" s="2"/>
      <c r="F25" s="6">
        <f t="shared" si="4"/>
        <v>4.8419659735349715E-2</v>
      </c>
      <c r="G25" s="2"/>
      <c r="H25" s="7">
        <v>560.123953846154</v>
      </c>
      <c r="I25" s="2"/>
      <c r="J25" s="6">
        <f t="shared" si="5"/>
        <v>1.5416821365357096E-2</v>
      </c>
      <c r="K25" s="2"/>
      <c r="L25" s="7">
        <f t="shared" si="6"/>
        <v>80.226046153846028</v>
      </c>
      <c r="M25" s="2"/>
      <c r="N25" s="6">
        <f t="shared" si="7"/>
        <v>0.1432290934943326</v>
      </c>
      <c r="O25" s="11"/>
      <c r="P25" s="7">
        <v>4819.7</v>
      </c>
      <c r="Q25" s="2"/>
      <c r="R25" s="6">
        <f t="shared" si="8"/>
        <v>1.4358361734073738E-2</v>
      </c>
      <c r="S25" s="2"/>
      <c r="T25" s="7">
        <v>3886.1529500000001</v>
      </c>
      <c r="U25" s="2"/>
      <c r="V25" s="6">
        <f t="shared" si="9"/>
        <v>1.0368327819428511E-2</v>
      </c>
      <c r="W25" s="2"/>
      <c r="X25" s="7">
        <f t="shared" si="10"/>
        <v>933.54704999999967</v>
      </c>
      <c r="Y25" s="2"/>
      <c r="Z25" s="6">
        <f t="shared" si="11"/>
        <v>0.24022395979036276</v>
      </c>
    </row>
    <row r="26" spans="1:26" s="24" customFormat="1" hidden="1" outlineLevel="2" x14ac:dyDescent="0.25">
      <c r="A26" s="29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9"/>
      <c r="B27" s="11" t="str">
        <f>CONCATENATE("          ", "6117", " - ", "RETIREMENT STAFF HOURLY")</f>
        <v xml:space="preserve">          6117 - RETIREMENT STAFF HOURLY</v>
      </c>
      <c r="C27" s="11"/>
      <c r="D27" s="7">
        <v>71.87</v>
      </c>
      <c r="E27" s="2"/>
      <c r="F27" s="6">
        <f t="shared" si="4"/>
        <v>5.434404536862004E-3</v>
      </c>
      <c r="G27" s="2"/>
      <c r="H27" s="7"/>
      <c r="I27" s="2"/>
      <c r="J27" s="6">
        <f t="shared" si="5"/>
        <v>0</v>
      </c>
      <c r="K27" s="2"/>
      <c r="L27" s="7">
        <f t="shared" si="6"/>
        <v>71.87</v>
      </c>
      <c r="M27" s="2"/>
      <c r="N27" s="6">
        <f t="shared" si="7"/>
        <v>0</v>
      </c>
      <c r="O27" s="11"/>
      <c r="P27" s="7">
        <v>524.61</v>
      </c>
      <c r="Q27" s="2"/>
      <c r="R27" s="6">
        <f t="shared" si="8"/>
        <v>1.5628649395838796E-3</v>
      </c>
      <c r="S27" s="2"/>
      <c r="T27" s="7"/>
      <c r="U27" s="2"/>
      <c r="V27" s="6">
        <f t="shared" si="9"/>
        <v>0</v>
      </c>
      <c r="W27" s="2"/>
      <c r="X27" s="7">
        <f t="shared" si="10"/>
        <v>524.61</v>
      </c>
      <c r="Y27" s="2"/>
      <c r="Z27" s="6">
        <f t="shared" si="11"/>
        <v>0</v>
      </c>
    </row>
    <row r="28" spans="1:26" s="24" customFormat="1" hidden="1" outlineLevel="2" x14ac:dyDescent="0.25">
      <c r="A28" s="29"/>
      <c r="B28" s="11" t="str">
        <f>CONCATENATE("          ", "6118", " - ", "VACATION")</f>
        <v xml:space="preserve">          6118 - VACATION</v>
      </c>
      <c r="C28" s="11"/>
      <c r="D28" s="7">
        <v>520.02</v>
      </c>
      <c r="E28" s="2"/>
      <c r="F28" s="6">
        <f t="shared" si="4"/>
        <v>3.9320982986767485E-2</v>
      </c>
      <c r="G28" s="2"/>
      <c r="H28" s="7">
        <v>195.39207692307698</v>
      </c>
      <c r="I28" s="2"/>
      <c r="J28" s="6">
        <f t="shared" si="5"/>
        <v>5.3779609414036384E-3</v>
      </c>
      <c r="K28" s="2"/>
      <c r="L28" s="7">
        <f t="shared" si="6"/>
        <v>324.62792307692303</v>
      </c>
      <c r="M28" s="2"/>
      <c r="N28" s="6">
        <f t="shared" si="7"/>
        <v>1.6614180482083944</v>
      </c>
      <c r="O28" s="11"/>
      <c r="P28" s="7">
        <v>3380.13</v>
      </c>
      <c r="Q28" s="2"/>
      <c r="R28" s="6">
        <f t="shared" si="8"/>
        <v>1.0069740699254034E-2</v>
      </c>
      <c r="S28" s="2"/>
      <c r="T28" s="7">
        <v>1355.6347499999999</v>
      </c>
      <c r="U28" s="2"/>
      <c r="V28" s="6">
        <f t="shared" si="9"/>
        <v>3.616858541661108E-3</v>
      </c>
      <c r="W28" s="2"/>
      <c r="X28" s="7">
        <f t="shared" si="10"/>
        <v>2024.4952500000002</v>
      </c>
      <c r="Y28" s="2"/>
      <c r="Z28" s="6">
        <f t="shared" si="11"/>
        <v>1.4933928552657714</v>
      </c>
    </row>
    <row r="29" spans="1:26" s="24" customFormat="1" hidden="1" outlineLevel="2" x14ac:dyDescent="0.25">
      <c r="A29" s="29"/>
      <c r="B29" s="11" t="str">
        <f>CONCATENATE("          ", "6119", " - ", "SICK LEAVE")</f>
        <v xml:space="preserve">          6119 - SICK LEAVE</v>
      </c>
      <c r="C29" s="11"/>
      <c r="D29" s="7">
        <v>299.26</v>
      </c>
      <c r="E29" s="2"/>
      <c r="F29" s="6">
        <f t="shared" si="4"/>
        <v>2.2628355387523627E-2</v>
      </c>
      <c r="G29" s="2"/>
      <c r="H29" s="7">
        <v>459.66138461538497</v>
      </c>
      <c r="I29" s="2"/>
      <c r="J29" s="6">
        <f t="shared" si="5"/>
        <v>1.2651695051617994E-2</v>
      </c>
      <c r="K29" s="2"/>
      <c r="L29" s="7">
        <f t="shared" si="6"/>
        <v>-160.40138461538498</v>
      </c>
      <c r="M29" s="2"/>
      <c r="N29" s="6">
        <f t="shared" si="7"/>
        <v>-0.3489555354961969</v>
      </c>
      <c r="O29" s="11"/>
      <c r="P29" s="7">
        <v>1945.2</v>
      </c>
      <c r="Q29" s="2"/>
      <c r="R29" s="6">
        <f t="shared" si="8"/>
        <v>5.7949426821420911E-3</v>
      </c>
      <c r="S29" s="2"/>
      <c r="T29" s="7">
        <v>3023.2565000000022</v>
      </c>
      <c r="U29" s="2"/>
      <c r="V29" s="6">
        <f t="shared" si="9"/>
        <v>8.0661041594407897E-3</v>
      </c>
      <c r="W29" s="2"/>
      <c r="X29" s="7">
        <f t="shared" si="10"/>
        <v>-1078.0565000000022</v>
      </c>
      <c r="Y29" s="2"/>
      <c r="Z29" s="6">
        <f t="shared" si="11"/>
        <v>-0.35658783831276025</v>
      </c>
    </row>
    <row r="30" spans="1:26" s="24" customFormat="1" hidden="1" outlineLevel="2" x14ac:dyDescent="0.25">
      <c r="A30" s="29"/>
      <c r="B30" s="11" t="str">
        <f>CONCATENATE("          ", "6156", " - ", "EMPLOYEE MEALS")</f>
        <v xml:space="preserve">          6156 - EMPLOYEE MEALS</v>
      </c>
      <c r="C30" s="11"/>
      <c r="D30" s="7"/>
      <c r="E30" s="2"/>
      <c r="F30" s="6">
        <f t="shared" si="4"/>
        <v>0</v>
      </c>
      <c r="G30" s="2"/>
      <c r="H30" s="7">
        <v>350</v>
      </c>
      <c r="I30" s="2"/>
      <c r="J30" s="6">
        <f t="shared" si="5"/>
        <v>9.6333810415061109E-3</v>
      </c>
      <c r="K30" s="2"/>
      <c r="L30" s="7">
        <f t="shared" si="6"/>
        <v>-350</v>
      </c>
      <c r="M30" s="2"/>
      <c r="N30" s="6">
        <f t="shared" si="7"/>
        <v>-1</v>
      </c>
      <c r="O30" s="11"/>
      <c r="P30" s="7"/>
      <c r="Q30" s="2"/>
      <c r="R30" s="6">
        <f t="shared" si="8"/>
        <v>0</v>
      </c>
      <c r="S30" s="2"/>
      <c r="T30" s="7">
        <v>2100</v>
      </c>
      <c r="U30" s="2"/>
      <c r="V30" s="6">
        <f t="shared" si="9"/>
        <v>5.6028387716442994E-3</v>
      </c>
      <c r="W30" s="2"/>
      <c r="X30" s="7">
        <f t="shared" si="10"/>
        <v>-2100</v>
      </c>
      <c r="Y30" s="2"/>
      <c r="Z30" s="6">
        <f t="shared" si="11"/>
        <v>-1</v>
      </c>
    </row>
    <row r="31" spans="1:26" s="28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12559.970000000001</v>
      </c>
      <c r="E31" s="1"/>
      <c r="F31" s="5">
        <f t="shared" ref="F31:F41" si="12">IF(D$12=0,0,D31/D$12)</f>
        <v>0.94971417769376187</v>
      </c>
      <c r="G31" s="1"/>
      <c r="H31" s="1">
        <f>SUM(OSRRefH22_1x_0)</f>
        <v>16838.015769230769</v>
      </c>
      <c r="I31" s="1"/>
      <c r="J31" s="5">
        <f t="shared" ref="J31:J41" si="13">IF(H$12=0,0,H31/H$12)</f>
        <v>0.46344863396539604</v>
      </c>
      <c r="K31" s="1"/>
      <c r="L31" s="1">
        <f t="shared" ref="L31:L41" si="14">+D31-H31</f>
        <v>-4278.0457692307682</v>
      </c>
      <c r="M31" s="1"/>
      <c r="N31" s="5">
        <f t="shared" ref="N31:N41" si="15">IF(H31=0,0,L31/H31)</f>
        <v>-0.25407065938543227</v>
      </c>
      <c r="O31" s="14"/>
      <c r="P31" s="1">
        <f>SUM(OSRRefP22_1x_0)</f>
        <v>85215.37</v>
      </c>
      <c r="Q31" s="1"/>
      <c r="R31" s="5">
        <f t="shared" ref="R31:R41" si="16">IF(P$12=0,0,P31/P$12)</f>
        <v>0.2538649932076551</v>
      </c>
      <c r="S31" s="1"/>
      <c r="T31" s="1">
        <f>SUM(OSRRefT22_1x_0)</f>
        <v>111458.93375</v>
      </c>
      <c r="U31" s="1"/>
      <c r="V31" s="5">
        <f t="shared" ref="V31:V41" si="17">IF(T$12=0,0,T31/T$12)</f>
        <v>0.29737449307649205</v>
      </c>
      <c r="W31" s="1"/>
      <c r="X31" s="1">
        <f t="shared" ref="X31:X41" si="18">+P31-T31</f>
        <v>-26243.563750000001</v>
      </c>
      <c r="Y31" s="1"/>
      <c r="Z31" s="5">
        <f t="shared" ref="Z31:Z41" si="19">IF(T31=0,0,X31/T31)</f>
        <v>-0.23545500452089155</v>
      </c>
    </row>
    <row r="32" spans="1:26" s="24" customFormat="1" hidden="1" outlineLevel="2" x14ac:dyDescent="0.25">
      <c r="A32" s="29"/>
      <c r="B32" s="11" t="str">
        <f>CONCATENATE("          ", "6001", " - ", "ADMINISTRATIVE SALARIES")</f>
        <v xml:space="preserve">          6001 - ADMINISTRATIVE SALARIES</v>
      </c>
      <c r="C32" s="11"/>
      <c r="D32" s="7">
        <v>3785.15</v>
      </c>
      <c r="E32" s="2"/>
      <c r="F32" s="6">
        <f t="shared" si="12"/>
        <v>0.2862117202268431</v>
      </c>
      <c r="G32" s="2"/>
      <c r="H32" s="7">
        <v>4019.23076923077</v>
      </c>
      <c r="I32" s="2"/>
      <c r="J32" s="6">
        <f t="shared" si="13"/>
        <v>0.11062508998213062</v>
      </c>
      <c r="K32" s="2"/>
      <c r="L32" s="7">
        <f t="shared" si="14"/>
        <v>-234.08076923076987</v>
      </c>
      <c r="M32" s="2"/>
      <c r="N32" s="6">
        <f t="shared" si="15"/>
        <v>-5.824019138755996E-2</v>
      </c>
      <c r="O32" s="11"/>
      <c r="P32" s="7">
        <v>25654.89</v>
      </c>
      <c r="Q32" s="2"/>
      <c r="R32" s="6">
        <f t="shared" si="16"/>
        <v>7.6428448008770467E-2</v>
      </c>
      <c r="S32" s="2"/>
      <c r="T32" s="7">
        <v>26125</v>
      </c>
      <c r="U32" s="2"/>
      <c r="V32" s="6">
        <f t="shared" si="17"/>
        <v>6.970198233771778E-2</v>
      </c>
      <c r="W32" s="2"/>
      <c r="X32" s="7">
        <f t="shared" si="18"/>
        <v>-470.11000000000058</v>
      </c>
      <c r="Y32" s="2"/>
      <c r="Z32" s="6">
        <f t="shared" si="19"/>
        <v>-1.7994641148325382E-2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1939.95</v>
      </c>
      <c r="E33" s="2"/>
      <c r="F33" s="6">
        <f t="shared" si="12"/>
        <v>0.14668809073724007</v>
      </c>
      <c r="G33" s="2"/>
      <c r="H33" s="7">
        <v>2168.1849999999999</v>
      </c>
      <c r="I33" s="2"/>
      <c r="J33" s="6">
        <f t="shared" si="13"/>
        <v>5.9677006495651212E-2</v>
      </c>
      <c r="K33" s="2"/>
      <c r="L33" s="7">
        <f t="shared" si="14"/>
        <v>-228.2349999999999</v>
      </c>
      <c r="M33" s="2"/>
      <c r="N33" s="6">
        <f t="shared" si="15"/>
        <v>-0.10526546397101719</v>
      </c>
      <c r="O33" s="11"/>
      <c r="P33" s="7">
        <v>13693.79</v>
      </c>
      <c r="Q33" s="2"/>
      <c r="R33" s="6">
        <f t="shared" si="16"/>
        <v>4.0795151219047171E-2</v>
      </c>
      <c r="S33" s="2"/>
      <c r="T33" s="7">
        <v>16803.43375</v>
      </c>
      <c r="U33" s="2"/>
      <c r="V33" s="6">
        <f t="shared" si="17"/>
        <v>4.4831871481550656E-2</v>
      </c>
      <c r="W33" s="2"/>
      <c r="X33" s="7">
        <f t="shared" si="18"/>
        <v>-3109.6437499999993</v>
      </c>
      <c r="Y33" s="2"/>
      <c r="Z33" s="6">
        <f t="shared" si="19"/>
        <v>-0.18506001786688386</v>
      </c>
    </row>
    <row r="34" spans="1:26" s="24" customFormat="1" hidden="1" outlineLevel="2" x14ac:dyDescent="0.25">
      <c r="A34" s="29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9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12"/>
        <v>0</v>
      </c>
      <c r="G35" s="2"/>
      <c r="H35" s="7">
        <v>2793.6</v>
      </c>
      <c r="I35" s="2"/>
      <c r="J35" s="6">
        <f t="shared" si="13"/>
        <v>7.6890895078718477E-2</v>
      </c>
      <c r="K35" s="2"/>
      <c r="L35" s="7">
        <f t="shared" si="14"/>
        <v>-2793.6</v>
      </c>
      <c r="M35" s="2"/>
      <c r="N35" s="6">
        <f t="shared" si="15"/>
        <v>-1</v>
      </c>
      <c r="O35" s="11"/>
      <c r="P35" s="7"/>
      <c r="Q35" s="2"/>
      <c r="R35" s="6">
        <f t="shared" si="16"/>
        <v>0</v>
      </c>
      <c r="S35" s="2"/>
      <c r="T35" s="7">
        <v>17460</v>
      </c>
      <c r="U35" s="2"/>
      <c r="V35" s="6">
        <f t="shared" si="17"/>
        <v>4.658360235852832E-2</v>
      </c>
      <c r="W35" s="2"/>
      <c r="X35" s="7">
        <f t="shared" si="18"/>
        <v>-17460</v>
      </c>
      <c r="Y35" s="2"/>
      <c r="Z35" s="6">
        <f t="shared" si="19"/>
        <v>-1</v>
      </c>
    </row>
    <row r="36" spans="1:26" s="24" customFormat="1" hidden="1" outlineLevel="2" x14ac:dyDescent="0.25">
      <c r="A36" s="29"/>
      <c r="B36" s="11" t="str">
        <f>CONCATENATE("          ", "6005", " - ", "TEMPORARY WAGES-HOURLY")</f>
        <v xml:space="preserve">          6005 - TEMPORARY WAGES-HOURLY</v>
      </c>
      <c r="C36" s="11"/>
      <c r="D36" s="7">
        <v>5819.39</v>
      </c>
      <c r="E36" s="2"/>
      <c r="F36" s="6">
        <f t="shared" si="12"/>
        <v>0.44002948960302463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5819.39</v>
      </c>
      <c r="M36" s="2"/>
      <c r="N36" s="6">
        <f t="shared" si="15"/>
        <v>0</v>
      </c>
      <c r="O36" s="11"/>
      <c r="P36" s="7">
        <v>39166.15</v>
      </c>
      <c r="Q36" s="2"/>
      <c r="R36" s="6">
        <f t="shared" si="16"/>
        <v>0.11667982435234396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39166.15</v>
      </c>
      <c r="Y36" s="2"/>
      <c r="Z36" s="6">
        <f t="shared" si="19"/>
        <v>0</v>
      </c>
    </row>
    <row r="37" spans="1:26" s="24" customFormat="1" hidden="1" outlineLevel="2" x14ac:dyDescent="0.25">
      <c r="A37" s="29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/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25">
      <c r="A38" s="29"/>
      <c r="B38" s="11" t="str">
        <f>CONCATENATE("          ", "6007", " - ", "STUDENT HOURLY")</f>
        <v xml:space="preserve">          6007 - STUDENT HOURLY</v>
      </c>
      <c r="C38" s="11"/>
      <c r="D38" s="7">
        <v>612</v>
      </c>
      <c r="E38" s="2"/>
      <c r="F38" s="6">
        <f t="shared" si="12"/>
        <v>4.6275992438563326E-2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612</v>
      </c>
      <c r="M38" s="2"/>
      <c r="N38" s="6">
        <f t="shared" si="15"/>
        <v>0</v>
      </c>
      <c r="O38" s="11"/>
      <c r="P38" s="7">
        <v>3927.98</v>
      </c>
      <c r="Q38" s="2"/>
      <c r="R38" s="6">
        <f t="shared" si="16"/>
        <v>1.1701839891322481E-2</v>
      </c>
      <c r="S38" s="2"/>
      <c r="T38" s="7">
        <v>20952</v>
      </c>
      <c r="U38" s="2"/>
      <c r="V38" s="6">
        <f t="shared" si="17"/>
        <v>5.5900322830233988E-2</v>
      </c>
      <c r="W38" s="2"/>
      <c r="X38" s="7">
        <f t="shared" si="18"/>
        <v>-17024.02</v>
      </c>
      <c r="Y38" s="2"/>
      <c r="Z38" s="6">
        <f t="shared" si="19"/>
        <v>-0.81252481863306603</v>
      </c>
    </row>
    <row r="39" spans="1:26" s="24" customFormat="1" hidden="1" outlineLevel="2" x14ac:dyDescent="0.2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7">
        <v>403.48</v>
      </c>
      <c r="E39" s="2"/>
      <c r="F39" s="6">
        <f t="shared" si="12"/>
        <v>3.0508884688090737E-2</v>
      </c>
      <c r="G39" s="2"/>
      <c r="H39" s="7">
        <v>7857</v>
      </c>
      <c r="I39" s="2"/>
      <c r="J39" s="6">
        <f t="shared" si="13"/>
        <v>0.21625564240889575</v>
      </c>
      <c r="K39" s="2"/>
      <c r="L39" s="7">
        <f t="shared" si="14"/>
        <v>-7453.52</v>
      </c>
      <c r="M39" s="2"/>
      <c r="N39" s="6">
        <f t="shared" si="15"/>
        <v>-0.9486470663102966</v>
      </c>
      <c r="O39" s="11"/>
      <c r="P39" s="7">
        <v>2772.56</v>
      </c>
      <c r="Q39" s="2"/>
      <c r="R39" s="6">
        <f t="shared" si="16"/>
        <v>8.2597297361710238E-3</v>
      </c>
      <c r="S39" s="2"/>
      <c r="T39" s="7">
        <v>30118.499999999996</v>
      </c>
      <c r="U39" s="2"/>
      <c r="V39" s="6">
        <f t="shared" si="17"/>
        <v>8.0356714068461343E-2</v>
      </c>
      <c r="W39" s="2"/>
      <c r="X39" s="7">
        <f t="shared" si="18"/>
        <v>-27345.939999999995</v>
      </c>
      <c r="Y39" s="2"/>
      <c r="Z39" s="6">
        <f t="shared" si="19"/>
        <v>-0.90794495077776116</v>
      </c>
    </row>
    <row r="40" spans="1:26" s="24" customFormat="1" hidden="1" outlineLevel="2" x14ac:dyDescent="0.25">
      <c r="A40" s="29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9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8" customFormat="1" outlineLevel="1" collapsed="1" x14ac:dyDescent="0.25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2.75239458328746E-3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4"/>
      <c r="P42" s="1">
        <f>SUM(OSRRefP22_2x_0)</f>
        <v>0</v>
      </c>
      <c r="Q42" s="1"/>
      <c r="R42" s="5">
        <f t="shared" ref="R42:R50" si="24">IF(P$12=0,0,P42/P$12)</f>
        <v>0</v>
      </c>
      <c r="S42" s="1"/>
      <c r="T42" s="1">
        <f>SUM(OSRRefT22_2x_0)</f>
        <v>600</v>
      </c>
      <c r="U42" s="1"/>
      <c r="V42" s="5">
        <f t="shared" ref="V42:V50" si="25">IF(T$12=0,0,T42/T$12)</f>
        <v>1.6008110776126571E-3</v>
      </c>
      <c r="W42" s="1"/>
      <c r="X42" s="1">
        <f t="shared" ref="X42:X50" si="26">+P42-T42</f>
        <v>-600</v>
      </c>
      <c r="Y42" s="1"/>
      <c r="Z42" s="5">
        <f t="shared" ref="Z42:Z50" si="27">IF(T42=0,0,X42/T42)</f>
        <v>-1</v>
      </c>
    </row>
    <row r="43" spans="1:26" s="24" customFormat="1" hidden="1" outlineLevel="2" x14ac:dyDescent="0.25">
      <c r="A43" s="29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0"/>
        <v>0</v>
      </c>
      <c r="G43" s="2"/>
      <c r="H43" s="7">
        <v>100</v>
      </c>
      <c r="I43" s="2"/>
      <c r="J43" s="6">
        <f t="shared" si="21"/>
        <v>2.75239458328746E-3</v>
      </c>
      <c r="K43" s="2"/>
      <c r="L43" s="7">
        <f t="shared" si="22"/>
        <v>-100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600</v>
      </c>
      <c r="U43" s="2"/>
      <c r="V43" s="6">
        <f t="shared" si="25"/>
        <v>1.6008110776126571E-3</v>
      </c>
      <c r="W43" s="2"/>
      <c r="X43" s="7">
        <f t="shared" si="26"/>
        <v>-600</v>
      </c>
      <c r="Y43" s="2"/>
      <c r="Z43" s="6">
        <f t="shared" si="27"/>
        <v>-1</v>
      </c>
    </row>
    <row r="44" spans="1:26" s="28" customFormat="1" outlineLevel="1" collapsed="1" x14ac:dyDescent="0.2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45.41</v>
      </c>
      <c r="E44" s="1"/>
      <c r="F44" s="5">
        <f t="shared" si="20"/>
        <v>3.4336483931947069E-3</v>
      </c>
      <c r="G44" s="1"/>
      <c r="H44" s="1">
        <f>SUM(OSRRefH22_3x_0)</f>
        <v>2000</v>
      </c>
      <c r="I44" s="1"/>
      <c r="J44" s="5">
        <f t="shared" si="21"/>
        <v>5.50478916657492E-2</v>
      </c>
      <c r="K44" s="1"/>
      <c r="L44" s="1">
        <f t="shared" si="22"/>
        <v>-1954.59</v>
      </c>
      <c r="M44" s="1"/>
      <c r="N44" s="5">
        <f t="shared" si="23"/>
        <v>-0.97729499999999991</v>
      </c>
      <c r="O44" s="14"/>
      <c r="P44" s="1">
        <f>SUM(OSRRefP22_3x_0)</f>
        <v>619.58000000000004</v>
      </c>
      <c r="Q44" s="1"/>
      <c r="R44" s="5">
        <f t="shared" si="24"/>
        <v>1.8457899377964204E-3</v>
      </c>
      <c r="S44" s="1"/>
      <c r="T44" s="1">
        <f>SUM(OSRRefT22_3x_0)</f>
        <v>9700</v>
      </c>
      <c r="U44" s="1"/>
      <c r="V44" s="5">
        <f t="shared" si="25"/>
        <v>2.5879779088071288E-2</v>
      </c>
      <c r="W44" s="1"/>
      <c r="X44" s="1">
        <f t="shared" si="26"/>
        <v>-9080.42</v>
      </c>
      <c r="Y44" s="1"/>
      <c r="Z44" s="5">
        <f t="shared" si="27"/>
        <v>-0.93612577319587631</v>
      </c>
    </row>
    <row r="45" spans="1:26" s="24" customFormat="1" hidden="1" outlineLevel="2" x14ac:dyDescent="0.25">
      <c r="A45" s="29"/>
      <c r="B45" s="11" t="str">
        <f>CONCATENATE("          ", "6381", " - ", "BANK/CREDIT CARD FEES")</f>
        <v xml:space="preserve">          6381 - BANK/CREDIT CARD FEES</v>
      </c>
      <c r="C45" s="11"/>
      <c r="D45" s="7">
        <v>45.41</v>
      </c>
      <c r="E45" s="2"/>
      <c r="F45" s="6">
        <f t="shared" si="20"/>
        <v>3.4336483931947069E-3</v>
      </c>
      <c r="G45" s="2"/>
      <c r="H45" s="7">
        <v>2000</v>
      </c>
      <c r="I45" s="2"/>
      <c r="J45" s="6">
        <f t="shared" si="21"/>
        <v>5.50478916657492E-2</v>
      </c>
      <c r="K45" s="2"/>
      <c r="L45" s="7">
        <f t="shared" si="22"/>
        <v>-1954.59</v>
      </c>
      <c r="M45" s="2"/>
      <c r="N45" s="6">
        <f t="shared" si="23"/>
        <v>-0.97729499999999991</v>
      </c>
      <c r="O45" s="11"/>
      <c r="P45" s="7">
        <v>619.58000000000004</v>
      </c>
      <c r="Q45" s="2"/>
      <c r="R45" s="6">
        <f t="shared" si="24"/>
        <v>1.8457899377964204E-3</v>
      </c>
      <c r="S45" s="2"/>
      <c r="T45" s="7">
        <v>9700</v>
      </c>
      <c r="U45" s="2"/>
      <c r="V45" s="6">
        <f t="shared" si="25"/>
        <v>2.5879779088071288E-2</v>
      </c>
      <c r="W45" s="2"/>
      <c r="X45" s="7">
        <f t="shared" si="26"/>
        <v>-9080.42</v>
      </c>
      <c r="Y45" s="2"/>
      <c r="Z45" s="6">
        <f t="shared" si="27"/>
        <v>-0.93612577319587631</v>
      </c>
    </row>
    <row r="46" spans="1:26" s="28" customFormat="1" outlineLevel="1" collapsed="1" x14ac:dyDescent="0.25">
      <c r="A46" s="27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5.5047891665749207E-4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120</v>
      </c>
      <c r="U46" s="1"/>
      <c r="V46" s="5">
        <f t="shared" si="25"/>
        <v>3.2016221552253144E-4</v>
      </c>
      <c r="W46" s="1"/>
      <c r="X46" s="1">
        <f t="shared" si="26"/>
        <v>-120</v>
      </c>
      <c r="Y46" s="1"/>
      <c r="Z46" s="5">
        <f t="shared" si="27"/>
        <v>-1</v>
      </c>
    </row>
    <row r="47" spans="1:26" s="24" customFormat="1" hidden="1" outlineLevel="2" x14ac:dyDescent="0.25">
      <c r="A47" s="29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0"/>
        <v>0</v>
      </c>
      <c r="G47" s="2"/>
      <c r="H47" s="7">
        <v>20</v>
      </c>
      <c r="I47" s="2"/>
      <c r="J47" s="6">
        <f t="shared" si="21"/>
        <v>5.5047891665749207E-4</v>
      </c>
      <c r="K47" s="2"/>
      <c r="L47" s="7">
        <f t="shared" si="22"/>
        <v>-20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120</v>
      </c>
      <c r="U47" s="2"/>
      <c r="V47" s="6">
        <f t="shared" si="25"/>
        <v>3.2016221552253144E-4</v>
      </c>
      <c r="W47" s="2"/>
      <c r="X47" s="7">
        <f t="shared" si="26"/>
        <v>-120</v>
      </c>
      <c r="Y47" s="2"/>
      <c r="Z47" s="6">
        <f t="shared" si="27"/>
        <v>-1</v>
      </c>
    </row>
    <row r="48" spans="1:26" s="28" customFormat="1" outlineLevel="1" collapsed="1" x14ac:dyDescent="0.25">
      <c r="A48" s="27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0</v>
      </c>
      <c r="E48" s="1"/>
      <c r="F48" s="5">
        <f t="shared" si="20"/>
        <v>0</v>
      </c>
      <c r="G48" s="1"/>
      <c r="H48" s="1">
        <f>SUM(OSRRefH22_5x_0)</f>
        <v>10</v>
      </c>
      <c r="I48" s="1"/>
      <c r="J48" s="5">
        <f t="shared" si="21"/>
        <v>2.7523945832874603E-4</v>
      </c>
      <c r="K48" s="1"/>
      <c r="L48" s="1">
        <f t="shared" si="22"/>
        <v>-10</v>
      </c>
      <c r="M48" s="1"/>
      <c r="N48" s="5">
        <f t="shared" si="23"/>
        <v>-1</v>
      </c>
      <c r="O48" s="14"/>
      <c r="P48" s="1">
        <f>SUM(OSRRefP22_5x_0)</f>
        <v>2.12</v>
      </c>
      <c r="Q48" s="1"/>
      <c r="R48" s="5">
        <f t="shared" si="24"/>
        <v>6.3156891250983107E-6</v>
      </c>
      <c r="S48" s="1"/>
      <c r="T48" s="1">
        <f>SUM(OSRRefT22_5x_0)</f>
        <v>60</v>
      </c>
      <c r="U48" s="1"/>
      <c r="V48" s="5">
        <f t="shared" si="25"/>
        <v>1.6008110776126572E-4</v>
      </c>
      <c r="W48" s="1"/>
      <c r="X48" s="1">
        <f t="shared" si="26"/>
        <v>-57.88</v>
      </c>
      <c r="Y48" s="1"/>
      <c r="Z48" s="5">
        <f t="shared" si="27"/>
        <v>-0.96466666666666667</v>
      </c>
    </row>
    <row r="49" spans="1:26" s="24" customFormat="1" hidden="1" outlineLevel="2" x14ac:dyDescent="0.25">
      <c r="A49" s="29"/>
      <c r="B49" s="11" t="str">
        <f>CONCATENATE("          ", "6305", " - ", "FREIGHT OUT")</f>
        <v xml:space="preserve">          6305 - FREIGHT OUT</v>
      </c>
      <c r="C49" s="11"/>
      <c r="D49" s="7"/>
      <c r="E49" s="2"/>
      <c r="F49" s="6">
        <f t="shared" si="20"/>
        <v>0</v>
      </c>
      <c r="G49" s="2"/>
      <c r="H49" s="7"/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>
        <v>1.62</v>
      </c>
      <c r="Q49" s="2"/>
      <c r="R49" s="6">
        <f t="shared" si="24"/>
        <v>4.8261398031411622E-6</v>
      </c>
      <c r="S49" s="2"/>
      <c r="T49" s="7"/>
      <c r="U49" s="2"/>
      <c r="V49" s="6">
        <f t="shared" si="25"/>
        <v>0</v>
      </c>
      <c r="W49" s="2"/>
      <c r="X49" s="7">
        <f t="shared" si="26"/>
        <v>1.62</v>
      </c>
      <c r="Y49" s="2"/>
      <c r="Z49" s="6">
        <f t="shared" si="27"/>
        <v>0</v>
      </c>
    </row>
    <row r="50" spans="1:26" s="24" customFormat="1" hidden="1" outlineLevel="2" x14ac:dyDescent="0.25">
      <c r="A50" s="29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0"/>
        <v>0</v>
      </c>
      <c r="G50" s="2"/>
      <c r="H50" s="7">
        <v>10</v>
      </c>
      <c r="I50" s="2"/>
      <c r="J50" s="6">
        <f t="shared" si="21"/>
        <v>2.7523945832874603E-4</v>
      </c>
      <c r="K50" s="2"/>
      <c r="L50" s="7">
        <f t="shared" si="22"/>
        <v>-10</v>
      </c>
      <c r="M50" s="2"/>
      <c r="N50" s="6">
        <f t="shared" si="23"/>
        <v>-1</v>
      </c>
      <c r="O50" s="11"/>
      <c r="P50" s="7">
        <v>0.5</v>
      </c>
      <c r="Q50" s="2"/>
      <c r="R50" s="6">
        <f t="shared" si="24"/>
        <v>1.4895493219571487E-6</v>
      </c>
      <c r="S50" s="2"/>
      <c r="T50" s="7">
        <v>60</v>
      </c>
      <c r="U50" s="2"/>
      <c r="V50" s="6">
        <f t="shared" si="25"/>
        <v>1.6008110776126572E-4</v>
      </c>
      <c r="W50" s="2"/>
      <c r="X50" s="7">
        <f t="shared" si="26"/>
        <v>-59.5</v>
      </c>
      <c r="Y50" s="2"/>
      <c r="Z50" s="6">
        <f t="shared" si="27"/>
        <v>-0.9916666666666667</v>
      </c>
    </row>
    <row r="51" spans="1:26" s="28" customFormat="1" outlineLevel="1" collapsed="1" x14ac:dyDescent="0.25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ref="F51:F61" si="28">IF(D$12=0,0,D51/D$12)</f>
        <v>0</v>
      </c>
      <c r="G51" s="1"/>
      <c r="H51" s="1">
        <f>SUM(OSRRefH22_6x_0)</f>
        <v>50</v>
      </c>
      <c r="I51" s="1"/>
      <c r="J51" s="5">
        <f t="shared" ref="J51:J61" si="29">IF(H$12=0,0,H51/H$12)</f>
        <v>1.37619729164373E-3</v>
      </c>
      <c r="K51" s="1"/>
      <c r="L51" s="1">
        <f t="shared" ref="L51:L61" si="30">+D51-H51</f>
        <v>-50</v>
      </c>
      <c r="M51" s="1"/>
      <c r="N51" s="5">
        <f t="shared" ref="N51:N61" si="31">IF(H51=0,0,L51/H51)</f>
        <v>-1</v>
      </c>
      <c r="O51" s="14"/>
      <c r="P51" s="1">
        <f>SUM(OSRRefP22_6x_0)</f>
        <v>0</v>
      </c>
      <c r="Q51" s="1"/>
      <c r="R51" s="5">
        <f t="shared" ref="R51:R61" si="32">IF(P$12=0,0,P51/P$12)</f>
        <v>0</v>
      </c>
      <c r="S51" s="1"/>
      <c r="T51" s="1">
        <f>SUM(OSRRefT22_6x_0)</f>
        <v>300</v>
      </c>
      <c r="U51" s="1"/>
      <c r="V51" s="5">
        <f t="shared" ref="V51:V61" si="33">IF(T$12=0,0,T51/T$12)</f>
        <v>8.0040553880632857E-4</v>
      </c>
      <c r="W51" s="1"/>
      <c r="X51" s="1">
        <f t="shared" ref="X51:X61" si="34">+P51-T51</f>
        <v>-300</v>
      </c>
      <c r="Y51" s="1"/>
      <c r="Z51" s="5">
        <f t="shared" ref="Z51:Z61" si="35">IF(T51=0,0,X51/T51)</f>
        <v>-1</v>
      </c>
    </row>
    <row r="52" spans="1:26" s="24" customFormat="1" hidden="1" outlineLevel="2" x14ac:dyDescent="0.25">
      <c r="A52" s="29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8"/>
        <v>0</v>
      </c>
      <c r="G52" s="2"/>
      <c r="H52" s="7">
        <v>50</v>
      </c>
      <c r="I52" s="2"/>
      <c r="J52" s="6">
        <f t="shared" si="29"/>
        <v>1.37619729164373E-3</v>
      </c>
      <c r="K52" s="2"/>
      <c r="L52" s="7">
        <f t="shared" si="30"/>
        <v>-50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300</v>
      </c>
      <c r="U52" s="2"/>
      <c r="V52" s="6">
        <f t="shared" si="33"/>
        <v>8.0040553880632857E-4</v>
      </c>
      <c r="W52" s="2"/>
      <c r="X52" s="7">
        <f t="shared" si="34"/>
        <v>-300</v>
      </c>
      <c r="Y52" s="2"/>
      <c r="Z52" s="6">
        <f t="shared" si="35"/>
        <v>-1</v>
      </c>
    </row>
    <row r="53" spans="1:26" s="28" customFormat="1" outlineLevel="1" collapsed="1" x14ac:dyDescent="0.25">
      <c r="A53" s="27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29.01</v>
      </c>
      <c r="E53" s="1"/>
      <c r="F53" s="5">
        <f t="shared" si="28"/>
        <v>2.1935727788279773E-3</v>
      </c>
      <c r="G53" s="1"/>
      <c r="H53" s="1">
        <f>SUM(OSRRefH22_7x_0)</f>
        <v>33</v>
      </c>
      <c r="I53" s="1"/>
      <c r="J53" s="5">
        <f t="shared" si="29"/>
        <v>9.0829021248486181E-4</v>
      </c>
      <c r="K53" s="1"/>
      <c r="L53" s="1">
        <f t="shared" si="30"/>
        <v>-3.9899999999999984</v>
      </c>
      <c r="M53" s="1"/>
      <c r="N53" s="5">
        <f t="shared" si="31"/>
        <v>-0.12090909090909085</v>
      </c>
      <c r="O53" s="14"/>
      <c r="P53" s="1">
        <f>SUM(OSRRefP22_7x_0)</f>
        <v>174.06</v>
      </c>
      <c r="Q53" s="1"/>
      <c r="R53" s="5">
        <f t="shared" si="32"/>
        <v>5.1854190995972256E-4</v>
      </c>
      <c r="S53" s="1"/>
      <c r="T53" s="1">
        <f>SUM(OSRRefT22_7x_0)</f>
        <v>198</v>
      </c>
      <c r="U53" s="1"/>
      <c r="V53" s="5">
        <f t="shared" si="33"/>
        <v>5.2826765561217687E-4</v>
      </c>
      <c r="W53" s="1"/>
      <c r="X53" s="1">
        <f t="shared" si="34"/>
        <v>-23.939999999999998</v>
      </c>
      <c r="Y53" s="1"/>
      <c r="Z53" s="5">
        <f t="shared" si="35"/>
        <v>-0.1209090909090909</v>
      </c>
    </row>
    <row r="54" spans="1:26" s="24" customFormat="1" hidden="1" outlineLevel="2" x14ac:dyDescent="0.25">
      <c r="A54" s="29"/>
      <c r="B54" s="11" t="str">
        <f>CONCATENATE("          ", "6314", " - ", "LIABILITY INSURANCE")</f>
        <v xml:space="preserve">          6314 - LIABILITY INSURANCE</v>
      </c>
      <c r="C54" s="11"/>
      <c r="D54" s="7">
        <v>29.01</v>
      </c>
      <c r="E54" s="2"/>
      <c r="F54" s="6">
        <f t="shared" si="28"/>
        <v>2.1935727788279773E-3</v>
      </c>
      <c r="G54" s="2"/>
      <c r="H54" s="7">
        <v>33</v>
      </c>
      <c r="I54" s="2"/>
      <c r="J54" s="6">
        <f t="shared" si="29"/>
        <v>9.0829021248486181E-4</v>
      </c>
      <c r="K54" s="2"/>
      <c r="L54" s="7">
        <f t="shared" si="30"/>
        <v>-3.9899999999999984</v>
      </c>
      <c r="M54" s="2"/>
      <c r="N54" s="6">
        <f t="shared" si="31"/>
        <v>-0.12090909090909085</v>
      </c>
      <c r="O54" s="11"/>
      <c r="P54" s="7">
        <v>174.06</v>
      </c>
      <c r="Q54" s="2"/>
      <c r="R54" s="6">
        <f t="shared" si="32"/>
        <v>5.1854190995972256E-4</v>
      </c>
      <c r="S54" s="2"/>
      <c r="T54" s="7">
        <v>198</v>
      </c>
      <c r="U54" s="2"/>
      <c r="V54" s="6">
        <f t="shared" si="33"/>
        <v>5.2826765561217687E-4</v>
      </c>
      <c r="W54" s="2"/>
      <c r="X54" s="7">
        <f t="shared" si="34"/>
        <v>-23.939999999999998</v>
      </c>
      <c r="Y54" s="2"/>
      <c r="Z54" s="6">
        <f t="shared" si="35"/>
        <v>-0.1209090909090909</v>
      </c>
    </row>
    <row r="55" spans="1:26" s="28" customFormat="1" outlineLevel="1" collapsed="1" x14ac:dyDescent="0.25">
      <c r="A55" s="27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800</v>
      </c>
      <c r="E55" s="1"/>
      <c r="F55" s="5">
        <f t="shared" si="28"/>
        <v>6.0491493383742913E-2</v>
      </c>
      <c r="G55" s="1"/>
      <c r="H55" s="1">
        <f>SUM(OSRRefH22_8x_0)</f>
        <v>800</v>
      </c>
      <c r="I55" s="1"/>
      <c r="J55" s="5">
        <f t="shared" si="29"/>
        <v>2.201915666629968E-2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SUM(OSRRefP22_8x_0)</f>
        <v>4800</v>
      </c>
      <c r="Q55" s="1"/>
      <c r="R55" s="5">
        <f t="shared" si="32"/>
        <v>1.4299673490788627E-2</v>
      </c>
      <c r="S55" s="1"/>
      <c r="T55" s="1">
        <f>SUM(OSRRefT22_8x_0)</f>
        <v>4800</v>
      </c>
      <c r="U55" s="1"/>
      <c r="V55" s="5">
        <f t="shared" si="33"/>
        <v>1.2806488620901257E-2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25">
      <c r="A56" s="29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8"/>
        <v>6.0491493383742913E-2</v>
      </c>
      <c r="G56" s="2"/>
      <c r="H56" s="7">
        <v>800</v>
      </c>
      <c r="I56" s="2"/>
      <c r="J56" s="6">
        <f t="shared" si="29"/>
        <v>2.201915666629968E-2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4800</v>
      </c>
      <c r="Q56" s="2"/>
      <c r="R56" s="6">
        <f t="shared" si="32"/>
        <v>1.4299673490788627E-2</v>
      </c>
      <c r="S56" s="2"/>
      <c r="T56" s="7">
        <v>4800</v>
      </c>
      <c r="U56" s="2"/>
      <c r="V56" s="6">
        <f t="shared" si="33"/>
        <v>1.2806488620901257E-2</v>
      </c>
      <c r="W56" s="2"/>
      <c r="X56" s="7">
        <f t="shared" si="34"/>
        <v>0</v>
      </c>
      <c r="Y56" s="2"/>
      <c r="Z56" s="6">
        <f t="shared" si="35"/>
        <v>0</v>
      </c>
    </row>
    <row r="57" spans="1:26" s="28" customFormat="1" outlineLevel="1" collapsed="1" x14ac:dyDescent="0.25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3087</v>
      </c>
      <c r="E57" s="1"/>
      <c r="F57" s="5">
        <f t="shared" si="28"/>
        <v>0.23342155009451795</v>
      </c>
      <c r="G57" s="1"/>
      <c r="H57" s="1">
        <f>SUM(OSRRefH22_9x_0)</f>
        <v>1500</v>
      </c>
      <c r="I57" s="1"/>
      <c r="J57" s="5">
        <f t="shared" si="29"/>
        <v>4.1285918749311902E-2</v>
      </c>
      <c r="K57" s="1"/>
      <c r="L57" s="1">
        <f t="shared" si="30"/>
        <v>1587</v>
      </c>
      <c r="M57" s="1"/>
      <c r="N57" s="5">
        <f t="shared" si="31"/>
        <v>1.0580000000000001</v>
      </c>
      <c r="O57" s="14"/>
      <c r="P57" s="1">
        <f>SUM(OSRRefP22_9x_0)</f>
        <v>126914.90000000001</v>
      </c>
      <c r="Q57" s="1"/>
      <c r="R57" s="5">
        <f t="shared" si="32"/>
        <v>0.37809200648251867</v>
      </c>
      <c r="S57" s="1"/>
      <c r="T57" s="1">
        <f>SUM(OSRRefT22_9x_0)</f>
        <v>134000</v>
      </c>
      <c r="U57" s="1"/>
      <c r="V57" s="5">
        <f t="shared" si="33"/>
        <v>0.35751447400016007</v>
      </c>
      <c r="W57" s="1"/>
      <c r="X57" s="1">
        <f t="shared" si="34"/>
        <v>-7085.0999999999913</v>
      </c>
      <c r="Y57" s="1"/>
      <c r="Z57" s="5">
        <f t="shared" si="35"/>
        <v>-5.2873880597014859E-2</v>
      </c>
    </row>
    <row r="58" spans="1:26" s="24" customFormat="1" hidden="1" outlineLevel="2" x14ac:dyDescent="0.25">
      <c r="A58" s="29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8"/>
        <v>0</v>
      </c>
      <c r="G58" s="2"/>
      <c r="H58" s="7"/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/>
      <c r="Q58" s="2"/>
      <c r="R58" s="6">
        <f t="shared" si="32"/>
        <v>0</v>
      </c>
      <c r="S58" s="2"/>
      <c r="T58" s="7">
        <v>125000</v>
      </c>
      <c r="U58" s="2"/>
      <c r="V58" s="6">
        <f t="shared" si="33"/>
        <v>0.33350230783597024</v>
      </c>
      <c r="W58" s="2"/>
      <c r="X58" s="7">
        <f t="shared" si="34"/>
        <v>-125000</v>
      </c>
      <c r="Y58" s="2"/>
      <c r="Z58" s="6">
        <f t="shared" si="35"/>
        <v>-1</v>
      </c>
    </row>
    <row r="59" spans="1:26" s="24" customFormat="1" hidden="1" outlineLevel="2" x14ac:dyDescent="0.25">
      <c r="A59" s="29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8"/>
        <v>0</v>
      </c>
      <c r="G59" s="2"/>
      <c r="H59" s="7">
        <v>1500</v>
      </c>
      <c r="I59" s="2"/>
      <c r="J59" s="6">
        <f t="shared" si="29"/>
        <v>4.1285918749311902E-2</v>
      </c>
      <c r="K59" s="2"/>
      <c r="L59" s="7">
        <f t="shared" si="30"/>
        <v>-1500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9000</v>
      </c>
      <c r="U59" s="2"/>
      <c r="V59" s="6">
        <f t="shared" si="33"/>
        <v>2.4012166164189858E-2</v>
      </c>
      <c r="W59" s="2"/>
      <c r="X59" s="7">
        <f t="shared" si="34"/>
        <v>-9000</v>
      </c>
      <c r="Y59" s="2"/>
      <c r="Z59" s="6">
        <f t="shared" si="35"/>
        <v>-1</v>
      </c>
    </row>
    <row r="60" spans="1:26" s="24" customFormat="1" hidden="1" outlineLevel="2" x14ac:dyDescent="0.25">
      <c r="A60" s="29"/>
      <c r="B60" s="11" t="str">
        <f>CONCATENATE("          ", "6373", " - ", "MAINTENANCE CONTRACTS")</f>
        <v xml:space="preserve">          6373 - MAINTENANCE CONTRACTS</v>
      </c>
      <c r="C60" s="11"/>
      <c r="D60" s="7">
        <v>3087</v>
      </c>
      <c r="E60" s="2"/>
      <c r="F60" s="6">
        <f t="shared" si="28"/>
        <v>0.23342155009451795</v>
      </c>
      <c r="G60" s="2"/>
      <c r="H60" s="7"/>
      <c r="I60" s="2"/>
      <c r="J60" s="6">
        <f t="shared" si="29"/>
        <v>0</v>
      </c>
      <c r="K60" s="2"/>
      <c r="L60" s="7">
        <f t="shared" si="30"/>
        <v>3087</v>
      </c>
      <c r="M60" s="2"/>
      <c r="N60" s="6">
        <f t="shared" si="31"/>
        <v>0</v>
      </c>
      <c r="O60" s="11"/>
      <c r="P60" s="7">
        <v>120352.90000000001</v>
      </c>
      <c r="Q60" s="2"/>
      <c r="R60" s="6">
        <f t="shared" si="32"/>
        <v>0.35854316118115304</v>
      </c>
      <c r="S60" s="2"/>
      <c r="T60" s="7"/>
      <c r="U60" s="2"/>
      <c r="V60" s="6">
        <f t="shared" si="33"/>
        <v>0</v>
      </c>
      <c r="W60" s="2"/>
      <c r="X60" s="7">
        <f t="shared" si="34"/>
        <v>120352.90000000001</v>
      </c>
      <c r="Y60" s="2"/>
      <c r="Z60" s="6">
        <f t="shared" si="35"/>
        <v>0</v>
      </c>
    </row>
    <row r="61" spans="1:26" s="24" customFormat="1" hidden="1" outlineLevel="2" x14ac:dyDescent="0.25">
      <c r="A61" s="29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6562</v>
      </c>
      <c r="Q61" s="2"/>
      <c r="R61" s="6">
        <f t="shared" si="32"/>
        <v>1.9548845301365619E-2</v>
      </c>
      <c r="S61" s="2"/>
      <c r="T61" s="7"/>
      <c r="U61" s="2"/>
      <c r="V61" s="6">
        <f t="shared" si="33"/>
        <v>0</v>
      </c>
      <c r="W61" s="2"/>
      <c r="X61" s="7">
        <f t="shared" si="34"/>
        <v>6562</v>
      </c>
      <c r="Y61" s="2"/>
      <c r="Z61" s="6">
        <f t="shared" si="35"/>
        <v>0</v>
      </c>
    </row>
    <row r="62" spans="1:26" s="28" customFormat="1" outlineLevel="1" collapsed="1" x14ac:dyDescent="0.25">
      <c r="A62" s="27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SUM(OSRRefD22_10x_0)</f>
        <v>0</v>
      </c>
      <c r="E62" s="1"/>
      <c r="F62" s="5">
        <f t="shared" ref="F62:F64" si="36">IF(D$12=0,0,D62/D$12)</f>
        <v>0</v>
      </c>
      <c r="G62" s="1"/>
      <c r="H62" s="1">
        <f>SUM(OSRRefH22_10x_0)</f>
        <v>7000</v>
      </c>
      <c r="I62" s="1"/>
      <c r="J62" s="5">
        <f t="shared" ref="J62:J64" si="37">IF(H$12=0,0,H62/H$12)</f>
        <v>0.1926676208301222</v>
      </c>
      <c r="K62" s="1"/>
      <c r="L62" s="1">
        <f t="shared" ref="L62:L64" si="38">+D62-H62</f>
        <v>-7000</v>
      </c>
      <c r="M62" s="1"/>
      <c r="N62" s="5">
        <f t="shared" ref="N62:N64" si="39">IF(H62=0,0,L62/H62)</f>
        <v>-1</v>
      </c>
      <c r="O62" s="14"/>
      <c r="P62" s="1">
        <f>SUM(OSRRefP22_10x_0)</f>
        <v>41271.699999999997</v>
      </c>
      <c r="Q62" s="1"/>
      <c r="R62" s="5">
        <f t="shared" ref="R62:R64" si="40">IF(P$12=0,0,P62/P$12)</f>
        <v>0.1229524655020377</v>
      </c>
      <c r="S62" s="1"/>
      <c r="T62" s="1">
        <f>SUM(OSRRefT22_10x_0)</f>
        <v>42000</v>
      </c>
      <c r="U62" s="1"/>
      <c r="V62" s="5">
        <f t="shared" ref="V62:V64" si="41">IF(T$12=0,0,T62/T$12)</f>
        <v>0.112056775432886</v>
      </c>
      <c r="W62" s="1"/>
      <c r="X62" s="1">
        <f t="shared" ref="X62:X64" si="42">+P62-T62</f>
        <v>-728.30000000000291</v>
      </c>
      <c r="Y62" s="1"/>
      <c r="Z62" s="5">
        <f t="shared" ref="Z62:Z64" si="43">IF(T62=0,0,X62/T62)</f>
        <v>-1.734047619047626E-2</v>
      </c>
    </row>
    <row r="63" spans="1:26" s="24" customFormat="1" hidden="1" outlineLevel="2" x14ac:dyDescent="0.25">
      <c r="A63" s="29"/>
      <c r="B63" s="11" t="str">
        <f>CONCATENATE("          ", "6234", " - ", "EXPENDABLE SUPPLIES &amp; EQUIPMEN")</f>
        <v xml:space="preserve">          6234 - EXPENDABLE SUPPLIES &amp; EQUIPMEN</v>
      </c>
      <c r="C63" s="11"/>
      <c r="D63" s="7"/>
      <c r="E63" s="2"/>
      <c r="F63" s="6">
        <f t="shared" si="36"/>
        <v>0</v>
      </c>
      <c r="G63" s="2"/>
      <c r="H63" s="7">
        <v>7000</v>
      </c>
      <c r="I63" s="2"/>
      <c r="J63" s="6">
        <f t="shared" si="37"/>
        <v>0.1926676208301222</v>
      </c>
      <c r="K63" s="2"/>
      <c r="L63" s="7">
        <f t="shared" si="38"/>
        <v>-7000</v>
      </c>
      <c r="M63" s="2"/>
      <c r="N63" s="6">
        <f t="shared" si="39"/>
        <v>-1</v>
      </c>
      <c r="O63" s="11"/>
      <c r="P63" s="7"/>
      <c r="Q63" s="2"/>
      <c r="R63" s="6">
        <f t="shared" si="40"/>
        <v>0</v>
      </c>
      <c r="S63" s="2"/>
      <c r="T63" s="7">
        <v>42000</v>
      </c>
      <c r="U63" s="2"/>
      <c r="V63" s="6">
        <f t="shared" si="41"/>
        <v>0.112056775432886</v>
      </c>
      <c r="W63" s="2"/>
      <c r="X63" s="7">
        <f t="shared" si="42"/>
        <v>-42000</v>
      </c>
      <c r="Y63" s="2"/>
      <c r="Z63" s="6">
        <f t="shared" si="43"/>
        <v>-1</v>
      </c>
    </row>
    <row r="64" spans="1:26" s="24" customFormat="1" hidden="1" outlineLevel="2" x14ac:dyDescent="0.25">
      <c r="A64" s="29"/>
      <c r="B64" s="11" t="str">
        <f>CONCATENATE("          ", "6241", " - ", "OFFICE EXPENSE")</f>
        <v xml:space="preserve">          6241 - OFFICE EXPENSE</v>
      </c>
      <c r="C64" s="11"/>
      <c r="D64" s="7"/>
      <c r="E64" s="2"/>
      <c r="F64" s="6">
        <f t="shared" si="36"/>
        <v>0</v>
      </c>
      <c r="G64" s="2"/>
      <c r="H64" s="7"/>
      <c r="I64" s="2"/>
      <c r="J64" s="6">
        <f t="shared" si="37"/>
        <v>0</v>
      </c>
      <c r="K64" s="2"/>
      <c r="L64" s="7">
        <f t="shared" si="38"/>
        <v>0</v>
      </c>
      <c r="M64" s="2"/>
      <c r="N64" s="6">
        <f t="shared" si="39"/>
        <v>0</v>
      </c>
      <c r="O64" s="11"/>
      <c r="P64" s="7">
        <v>41271.699999999997</v>
      </c>
      <c r="Q64" s="2"/>
      <c r="R64" s="6">
        <f t="shared" si="40"/>
        <v>0.1229524655020377</v>
      </c>
      <c r="S64" s="2"/>
      <c r="T64" s="7"/>
      <c r="U64" s="2"/>
      <c r="V64" s="6">
        <f t="shared" si="41"/>
        <v>0</v>
      </c>
      <c r="W64" s="2"/>
      <c r="X64" s="7">
        <f t="shared" si="42"/>
        <v>41271.699999999997</v>
      </c>
      <c r="Y64" s="2"/>
      <c r="Z64" s="6">
        <f t="shared" si="43"/>
        <v>0</v>
      </c>
    </row>
    <row r="65" spans="1:26" s="28" customFormat="1" outlineLevel="1" collapsed="1" x14ac:dyDescent="0.25">
      <c r="A65" s="27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SUM(OSRRefD22_11x_0)</f>
        <v>136.15</v>
      </c>
      <c r="E65" s="1"/>
      <c r="F65" s="5">
        <f t="shared" ref="F65:F66" si="44">IF(D$12=0,0,D65/D$12)</f>
        <v>1.0294896030245746E-2</v>
      </c>
      <c r="G65" s="1"/>
      <c r="H65" s="1">
        <f>SUM(OSRRefH22_11x_0)</f>
        <v>700</v>
      </c>
      <c r="I65" s="1"/>
      <c r="J65" s="5">
        <f t="shared" ref="J65:J66" si="45">IF(H$12=0,0,H65/H$12)</f>
        <v>1.9266762083012222E-2</v>
      </c>
      <c r="K65" s="1"/>
      <c r="L65" s="1">
        <f t="shared" ref="L65:L66" si="46">+D65-H65</f>
        <v>-563.85</v>
      </c>
      <c r="M65" s="1"/>
      <c r="N65" s="5">
        <f t="shared" ref="N65:N66" si="47">IF(H65=0,0,L65/H65)</f>
        <v>-0.80549999999999999</v>
      </c>
      <c r="O65" s="14"/>
      <c r="P65" s="1">
        <f>SUM(OSRRefP22_11x_0)</f>
        <v>1451.83</v>
      </c>
      <c r="Q65" s="1"/>
      <c r="R65" s="5">
        <f t="shared" ref="R65:R66" si="48">IF(P$12=0,0,P65/P$12)</f>
        <v>4.3251447841940937E-3</v>
      </c>
      <c r="S65" s="1"/>
      <c r="T65" s="1">
        <f>SUM(OSRRefT22_11x_0)</f>
        <v>4200</v>
      </c>
      <c r="U65" s="1"/>
      <c r="V65" s="5">
        <f t="shared" ref="V65:V66" si="49">IF(T$12=0,0,T65/T$12)</f>
        <v>1.1205677543288599E-2</v>
      </c>
      <c r="W65" s="1"/>
      <c r="X65" s="1">
        <f t="shared" ref="X65:X66" si="50">+P65-T65</f>
        <v>-2748.17</v>
      </c>
      <c r="Y65" s="1"/>
      <c r="Z65" s="5">
        <f t="shared" ref="Z65:Z66" si="51">IF(T65=0,0,X65/T65)</f>
        <v>-0.65432619047619045</v>
      </c>
    </row>
    <row r="66" spans="1:26" s="24" customFormat="1" hidden="1" outlineLevel="2" x14ac:dyDescent="0.25">
      <c r="A66" s="29"/>
      <c r="B66" s="11" t="str">
        <f>CONCATENATE("          ", "6309", " - ", "TELEPHONE")</f>
        <v xml:space="preserve">          6309 - TELEPHONE</v>
      </c>
      <c r="C66" s="11"/>
      <c r="D66" s="7">
        <v>136.15</v>
      </c>
      <c r="E66" s="2"/>
      <c r="F66" s="6">
        <f t="shared" si="44"/>
        <v>1.0294896030245746E-2</v>
      </c>
      <c r="G66" s="2"/>
      <c r="H66" s="7">
        <v>700</v>
      </c>
      <c r="I66" s="2"/>
      <c r="J66" s="6">
        <f t="shared" si="45"/>
        <v>1.9266762083012222E-2</v>
      </c>
      <c r="K66" s="2"/>
      <c r="L66" s="7">
        <f t="shared" si="46"/>
        <v>-563.85</v>
      </c>
      <c r="M66" s="2"/>
      <c r="N66" s="6">
        <f t="shared" si="47"/>
        <v>-0.80549999999999999</v>
      </c>
      <c r="O66" s="11"/>
      <c r="P66" s="7">
        <v>1451.83</v>
      </c>
      <c r="Q66" s="2"/>
      <c r="R66" s="6">
        <f t="shared" si="48"/>
        <v>4.3251447841940937E-3</v>
      </c>
      <c r="S66" s="2"/>
      <c r="T66" s="7">
        <v>4200</v>
      </c>
      <c r="U66" s="2"/>
      <c r="V66" s="6">
        <f t="shared" si="49"/>
        <v>1.1205677543288599E-2</v>
      </c>
      <c r="W66" s="2"/>
      <c r="X66" s="7">
        <f t="shared" si="50"/>
        <v>-2748.17</v>
      </c>
      <c r="Y66" s="2"/>
      <c r="Z66" s="6">
        <f t="shared" si="51"/>
        <v>-0.65432619047619045</v>
      </c>
    </row>
    <row r="67" spans="1:26" s="53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25">
      <c r="A68" s="10"/>
      <c r="B68" s="26" t="s">
        <v>0</v>
      </c>
      <c r="C68" s="10"/>
      <c r="D68" s="4">
        <f>SUM(OSRRefD25x_0)</f>
        <v>140</v>
      </c>
      <c r="E68" s="4"/>
      <c r="F68" s="12">
        <f t="shared" ref="F68:F69" si="52">IF(D$12=0,0,D68/D$12)</f>
        <v>1.058601134215501E-2</v>
      </c>
      <c r="G68" s="4"/>
      <c r="H68" s="4">
        <f>SUM(OSRRefH25x_0)</f>
        <v>1800</v>
      </c>
      <c r="I68" s="4"/>
      <c r="J68" s="12">
        <f t="shared" ref="J68:J69" si="53">IF(H$12=0,0,H68/H$12)</f>
        <v>4.9543102499174284E-2</v>
      </c>
      <c r="K68" s="4"/>
      <c r="L68" s="4">
        <f t="shared" ref="L68:L69" si="54">+D68-H68</f>
        <v>-1660</v>
      </c>
      <c r="M68" s="4"/>
      <c r="N68" s="12">
        <f t="shared" ref="N68:N69" si="55">IF(H68=0,0,L68/H68)</f>
        <v>-0.92222222222222228</v>
      </c>
      <c r="O68" s="10"/>
      <c r="P68" s="4">
        <f>SUM(OSRRefP25x_0)</f>
        <v>1260.2</v>
      </c>
      <c r="Q68" s="4"/>
      <c r="R68" s="12">
        <f t="shared" ref="R68:R69" si="56">IF(P$12=0,0,P68/P$12)</f>
        <v>3.7542601110607974E-3</v>
      </c>
      <c r="S68" s="4"/>
      <c r="T68" s="4">
        <f>SUM(OSRRefT25x_0)</f>
        <v>15450</v>
      </c>
      <c r="U68" s="4"/>
      <c r="V68" s="12">
        <f t="shared" ref="V68:V69" si="57">IF(T$12=0,0,T68/T$12)</f>
        <v>4.1220885248525921E-2</v>
      </c>
      <c r="W68" s="4"/>
      <c r="X68" s="4">
        <f t="shared" ref="X68:X69" si="58">+P68-T68</f>
        <v>-14189.8</v>
      </c>
      <c r="Y68" s="4"/>
      <c r="Z68" s="12">
        <f t="shared" ref="Z68:Z69" si="59">IF(T68=0,0,X68/T68)</f>
        <v>-0.91843365695792878</v>
      </c>
    </row>
    <row r="69" spans="1:26" s="24" customFormat="1" hidden="1" outlineLevel="1" x14ac:dyDescent="0.25">
      <c r="A69" s="51"/>
      <c r="B69" s="11" t="str">
        <f>CONCATENATE("          ", "9150", " - ", "MISC. INCOME")</f>
        <v xml:space="preserve">          9150 - MISC. INCOME</v>
      </c>
      <c r="C69" s="11"/>
      <c r="D69" s="2">
        <f>--140</f>
        <v>140</v>
      </c>
      <c r="E69" s="2"/>
      <c r="F69" s="22">
        <f t="shared" si="52"/>
        <v>1.058601134215501E-2</v>
      </c>
      <c r="G69" s="2"/>
      <c r="H69" s="2">
        <v>1800</v>
      </c>
      <c r="I69" s="2"/>
      <c r="J69" s="22">
        <f t="shared" si="53"/>
        <v>4.9543102499174284E-2</v>
      </c>
      <c r="K69" s="2"/>
      <c r="L69" s="2">
        <f t="shared" si="54"/>
        <v>-1660</v>
      </c>
      <c r="M69" s="2"/>
      <c r="N69" s="22">
        <f t="shared" si="55"/>
        <v>-0.92222222222222228</v>
      </c>
      <c r="O69" s="11"/>
      <c r="P69" s="2">
        <f>--1260.2</f>
        <v>1260.2</v>
      </c>
      <c r="Q69" s="2"/>
      <c r="R69" s="22">
        <f t="shared" si="56"/>
        <v>3.7542601110607974E-3</v>
      </c>
      <c r="S69" s="2"/>
      <c r="T69" s="2">
        <v>15450</v>
      </c>
      <c r="U69" s="2"/>
      <c r="V69" s="22">
        <f t="shared" si="57"/>
        <v>4.1220885248525921E-2</v>
      </c>
      <c r="W69" s="2"/>
      <c r="X69" s="2">
        <f t="shared" si="58"/>
        <v>-14189.8</v>
      </c>
      <c r="Y69" s="2"/>
      <c r="Z69" s="22">
        <f t="shared" si="59"/>
        <v>-0.91843365695792878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5" t="s">
        <v>3</v>
      </c>
      <c r="C71" s="25"/>
      <c r="D71" s="21">
        <f>+D17-D19+D68</f>
        <v>-7165.4200000000019</v>
      </c>
      <c r="E71" s="13"/>
      <c r="F71" s="19">
        <f>IF(D$12=0,0,D71/D$12)</f>
        <v>-0.54180869565217404</v>
      </c>
      <c r="G71" s="13"/>
      <c r="H71" s="21">
        <f>+H17-H19+H68</f>
        <v>5402.8514663846145</v>
      </c>
      <c r="I71" s="13"/>
      <c r="J71" s="19">
        <f>IF(H$12=0,0,H71/H$12)</f>
        <v>0.14870779110383722</v>
      </c>
      <c r="K71" s="16"/>
      <c r="L71" s="21">
        <f>+D71-H71</f>
        <v>-12568.271466384616</v>
      </c>
      <c r="M71" s="16"/>
      <c r="N71" s="19">
        <f>IF(H71=0,0,L71/H71)</f>
        <v>-2.3262293151277085</v>
      </c>
      <c r="O71" s="26"/>
      <c r="P71" s="21">
        <f>+P17-P19+P68</f>
        <v>51237.009999999995</v>
      </c>
      <c r="Q71" s="13"/>
      <c r="R71" s="19">
        <f>IF(P$12=0,0,P71/P$12)</f>
        <v>0.15264010700922329</v>
      </c>
      <c r="S71" s="13"/>
      <c r="T71" s="21">
        <f>+T17-T19+T68</f>
        <v>57042.531695250014</v>
      </c>
      <c r="U71" s="13"/>
      <c r="V71" s="19">
        <f>IF(T$12=0,0,T71/T$12)</f>
        <v>0.15219052772137887</v>
      </c>
      <c r="W71" s="16"/>
      <c r="X71" s="21">
        <f>+P71-T71</f>
        <v>-5805.5216952500195</v>
      </c>
      <c r="Y71" s="16"/>
      <c r="Z71" s="19">
        <f>IF(T71=0,0,X71/T71)</f>
        <v>-0.1017753161144047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14</v>
      </c>
      <c r="C73" s="10"/>
      <c r="D73" s="4">
        <v>10869.59</v>
      </c>
      <c r="E73" s="4"/>
      <c r="F73" s="12">
        <f>IF(D$12=0,0,D73/D$12)</f>
        <v>0.82189716446124761</v>
      </c>
      <c r="G73" s="4"/>
      <c r="H73" s="4">
        <v>10731</v>
      </c>
      <c r="I73" s="4"/>
      <c r="J73" s="12">
        <f>IF(H$12=0,0,H73/H$12)</f>
        <v>0.29535946273257735</v>
      </c>
      <c r="K73" s="4"/>
      <c r="L73" s="4">
        <f>+D73-H73</f>
        <v>138.59000000000015</v>
      </c>
      <c r="M73" s="4"/>
      <c r="N73" s="12">
        <f>IF(H73=0,0,L73/H73)</f>
        <v>1.2914919392414513E-2</v>
      </c>
      <c r="O73" s="10"/>
      <c r="P73" s="4">
        <v>62106.429999999993</v>
      </c>
      <c r="Q73" s="4"/>
      <c r="R73" s="12">
        <f>IF(P$12=0,0,P73/P$12)</f>
        <v>0.1850211813913582</v>
      </c>
      <c r="S73" s="4"/>
      <c r="T73" s="4">
        <v>71099</v>
      </c>
      <c r="U73" s="4"/>
      <c r="V73" s="12">
        <f>IF(T$12=0,0,T73/T$12)</f>
        <v>0.18969344467863716</v>
      </c>
      <c r="W73" s="4"/>
      <c r="X73" s="4">
        <f>+P73-T73</f>
        <v>-8992.570000000007</v>
      </c>
      <c r="Y73" s="4"/>
      <c r="Z73" s="12">
        <f>IF(T73=0,0,X73/T73)</f>
        <v>-0.12647955667449623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5" t="s">
        <v>4</v>
      </c>
      <c r="C75" s="25"/>
      <c r="D75" s="34">
        <f>+D71-D73</f>
        <v>-18035.010000000002</v>
      </c>
      <c r="E75" s="13"/>
      <c r="F75" s="31">
        <f>IF(D$12=0,0,D75/D$12)</f>
        <v>-1.3637058601134218</v>
      </c>
      <c r="G75" s="13"/>
      <c r="H75" s="34">
        <f>+H71-H73</f>
        <v>-5328.1485336153855</v>
      </c>
      <c r="I75" s="13"/>
      <c r="J75" s="31">
        <f>IF(H$12=0,0,H75/H$12)</f>
        <v>-0.1466516716287401</v>
      </c>
      <c r="K75" s="16"/>
      <c r="L75" s="34">
        <f>D75-H75</f>
        <v>-12706.861466384617</v>
      </c>
      <c r="M75" s="16"/>
      <c r="N75" s="31">
        <f>IF(H75=0,0,L75/H75)</f>
        <v>2.384854961571885</v>
      </c>
      <c r="O75" s="26"/>
      <c r="P75" s="34">
        <f>+P71-P73</f>
        <v>-10869.419999999998</v>
      </c>
      <c r="Q75" s="13"/>
      <c r="R75" s="31">
        <f>IF(P$12=0,0,P75/P$12)</f>
        <v>-3.2381074382134938E-2</v>
      </c>
      <c r="S75" s="13"/>
      <c r="T75" s="34">
        <f>+T71-T73</f>
        <v>-14056.468304749986</v>
      </c>
      <c r="U75" s="13"/>
      <c r="V75" s="31">
        <f>IF(T$12=0,0,T75/T$12)</f>
        <v>-3.7502916957258305E-2</v>
      </c>
      <c r="W75" s="16"/>
      <c r="X75" s="34">
        <f>P75-T75</f>
        <v>3187.0483047499874</v>
      </c>
      <c r="Y75" s="16"/>
      <c r="Z75" s="31">
        <f>IF(T75=0,0,X75/T75)</f>
        <v>-0.22673179604246785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5" t="s">
        <v>5</v>
      </c>
      <c r="C78" s="25"/>
      <c r="D78" s="33">
        <f>SUM(D75:D77)</f>
        <v>-18035.010000000002</v>
      </c>
      <c r="E78" s="13"/>
      <c r="F78" s="32">
        <f>IF(D$12=0,0,D78/D$12)</f>
        <v>-1.3637058601134218</v>
      </c>
      <c r="G78" s="13"/>
      <c r="H78" s="33">
        <f>SUM(H75:H77)</f>
        <v>-5328.1485336153855</v>
      </c>
      <c r="I78" s="13"/>
      <c r="J78" s="32">
        <f>IF(H$12=0,0,H78/H$12)</f>
        <v>-0.1466516716287401</v>
      </c>
      <c r="K78" s="16"/>
      <c r="L78" s="33">
        <f>+D78-H78</f>
        <v>-12706.861466384617</v>
      </c>
      <c r="M78" s="16"/>
      <c r="N78" s="32">
        <f>IF(H78=0,0,L78/H78)</f>
        <v>2.384854961571885</v>
      </c>
      <c r="O78" s="26"/>
      <c r="P78" s="33">
        <f>SUM(P75:P77)</f>
        <v>-10869.419999999998</v>
      </c>
      <c r="Q78" s="13"/>
      <c r="R78" s="32">
        <f>IF(P$12=0,0,P78/P$12)</f>
        <v>-3.2381074382134938E-2</v>
      </c>
      <c r="S78" s="13"/>
      <c r="T78" s="33">
        <f>SUM(T75:T77)</f>
        <v>-14056.468304749986</v>
      </c>
      <c r="U78" s="13"/>
      <c r="V78" s="32">
        <f>IF(T$12=0,0,T78/T$12)</f>
        <v>-3.7502916957258305E-2</v>
      </c>
      <c r="W78" s="16"/>
      <c r="X78" s="33">
        <f>+P78-T78</f>
        <v>3187.0483047499874</v>
      </c>
      <c r="Y78" s="16"/>
      <c r="Z78" s="32">
        <f>IF(T78=0,0,X78/T78)</f>
        <v>-0.22673179604246785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3">
        <v>44209.518241203703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60" t="s">
        <v>314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8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str">
        <f>CONCATENATE("Period ",RIGHT(202106,2),", ",2021)</f>
        <v>Period 06, 2021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>
        <v>44191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","501", " - ", "ID Card Services")</f>
        <v>Department 501 - ID Card Services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13225</v>
      </c>
      <c r="E12" s="4"/>
      <c r="F12" s="12"/>
      <c r="G12" s="4"/>
      <c r="H12" s="4">
        <f>SUM(OSRRefH13x_0)</f>
        <v>36332</v>
      </c>
      <c r="I12" s="4"/>
      <c r="J12" s="12"/>
      <c r="K12" s="4"/>
      <c r="L12" s="4">
        <f t="shared" ref="L12:L13" si="0">+D12-H12</f>
        <v>-23107</v>
      </c>
      <c r="M12" s="4"/>
      <c r="N12" s="12">
        <f t="shared" ref="N12:N13" si="1">IF(H12=0,0,L12/H12)</f>
        <v>-0.63599581636023339</v>
      </c>
      <c r="O12" s="10"/>
      <c r="P12" s="4">
        <f>SUM(OSRRefP13x_0)</f>
        <v>335672</v>
      </c>
      <c r="Q12" s="4"/>
      <c r="R12" s="12"/>
      <c r="S12" s="4"/>
      <c r="T12" s="4">
        <f>SUM(OSRRefT13x_0)</f>
        <v>374810</v>
      </c>
      <c r="U12" s="4"/>
      <c r="V12" s="12"/>
      <c r="W12" s="4"/>
      <c r="X12" s="4">
        <f t="shared" ref="X12:X13" si="2">+P12-T12</f>
        <v>-39138</v>
      </c>
      <c r="Y12" s="4"/>
      <c r="Z12" s="12">
        <f t="shared" ref="Z12:Z13" si="3">IF(T12=0,0,X12/T12)</f>
        <v>-0.10442090659267363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--13225</f>
        <v>13225</v>
      </c>
      <c r="E13" s="2"/>
      <c r="F13" s="22"/>
      <c r="G13" s="2"/>
      <c r="H13" s="2">
        <v>36332</v>
      </c>
      <c r="I13" s="2"/>
      <c r="J13" s="22"/>
      <c r="K13" s="2"/>
      <c r="L13" s="2">
        <f t="shared" si="0"/>
        <v>-23107</v>
      </c>
      <c r="M13" s="2"/>
      <c r="N13" s="22">
        <f t="shared" si="1"/>
        <v>-0.63599581636023339</v>
      </c>
      <c r="O13" s="11"/>
      <c r="P13" s="2">
        <f>--335672</f>
        <v>335672</v>
      </c>
      <c r="Q13" s="2"/>
      <c r="R13" s="22"/>
      <c r="S13" s="2"/>
      <c r="T13" s="2">
        <v>374810</v>
      </c>
      <c r="U13" s="2"/>
      <c r="V13" s="22"/>
      <c r="W13" s="2"/>
      <c r="X13" s="2">
        <f t="shared" si="2"/>
        <v>-39138</v>
      </c>
      <c r="Y13" s="2"/>
      <c r="Z13" s="22">
        <f t="shared" si="3"/>
        <v>-0.10442090659267363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21">
        <f>D12-D15</f>
        <v>13225</v>
      </c>
      <c r="E17" s="13"/>
      <c r="F17" s="19">
        <f>IF(D$12=0,0,D17/D$12)</f>
        <v>1</v>
      </c>
      <c r="G17" s="13"/>
      <c r="H17" s="21">
        <f>H12-H15</f>
        <v>36332</v>
      </c>
      <c r="I17" s="13"/>
      <c r="J17" s="19">
        <f>IF(H$12=0,0,H17/H$12)</f>
        <v>1</v>
      </c>
      <c r="K17" s="16"/>
      <c r="L17" s="21">
        <f>+D17-H17</f>
        <v>-23107</v>
      </c>
      <c r="M17" s="16"/>
      <c r="N17" s="19">
        <f>IF(H17=0,0,L17/H17)</f>
        <v>-0.63599581636023339</v>
      </c>
      <c r="O17" s="26"/>
      <c r="P17" s="21">
        <f>P12-P15</f>
        <v>335672</v>
      </c>
      <c r="Q17" s="13"/>
      <c r="R17" s="19">
        <f>IF(P$12=0,0,P17/P$12)</f>
        <v>1</v>
      </c>
      <c r="S17" s="13"/>
      <c r="T17" s="21">
        <f>T12-T15</f>
        <v>374810</v>
      </c>
      <c r="U17" s="13"/>
      <c r="V17" s="19">
        <f>IF(T$12=0,0,T17/T$12)</f>
        <v>1</v>
      </c>
      <c r="W17" s="16"/>
      <c r="X17" s="21">
        <f>+P17-T17</f>
        <v>-39138</v>
      </c>
      <c r="Y17" s="16"/>
      <c r="Z17" s="19">
        <f>IF(T17=0,0,X17/T17)</f>
        <v>-0.10442090659267363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20">
        <f>SUM(OSRRefD22x_0)</f>
        <v>20530.420000000002</v>
      </c>
      <c r="E19" s="20"/>
      <c r="F19" s="30">
        <f t="shared" ref="F19:F30" si="4">IF(D$12=0,0,D19/D$12)</f>
        <v>1.5523947069943291</v>
      </c>
      <c r="G19" s="20"/>
      <c r="H19" s="20">
        <f>SUM(OSRRefH22x_0)</f>
        <v>32729.148533615386</v>
      </c>
      <c r="I19" s="20"/>
      <c r="J19" s="30">
        <f t="shared" ref="J19:J30" si="5">IF(H$12=0,0,H19/H$12)</f>
        <v>0.90083531139533701</v>
      </c>
      <c r="K19" s="4"/>
      <c r="L19" s="20">
        <f t="shared" ref="L19:L30" si="6">+D19-H19</f>
        <v>-12198.728533615384</v>
      </c>
      <c r="M19" s="4"/>
      <c r="N19" s="30">
        <f t="shared" ref="N19:N30" si="7">IF(H19=0,0,L19/H19)</f>
        <v>-0.37271756462244471</v>
      </c>
      <c r="O19" s="10"/>
      <c r="P19" s="20">
        <f>SUM(OSRRefP22x_0)</f>
        <v>285695.19</v>
      </c>
      <c r="Q19" s="20"/>
      <c r="R19" s="30">
        <f t="shared" ref="R19:R30" si="8">IF(P$12=0,0,P19/P$12)</f>
        <v>0.85111415310183747</v>
      </c>
      <c r="S19" s="20"/>
      <c r="T19" s="20">
        <f>SUM(OSRRefT22x_0)</f>
        <v>333217.46830474999</v>
      </c>
      <c r="U19" s="20"/>
      <c r="V19" s="30">
        <f t="shared" ref="V19:V30" si="9">IF(T$12=0,0,T19/T$12)</f>
        <v>0.8890303575271471</v>
      </c>
      <c r="W19" s="4"/>
      <c r="X19" s="20">
        <f t="shared" ref="X19:X30" si="10">+P19-T19</f>
        <v>-47522.278304749983</v>
      </c>
      <c r="Y19" s="4"/>
      <c r="Z19" s="30">
        <f t="shared" ref="Z19:Z30" si="11">IF(T19=0,0,X19/T19)</f>
        <v>-0.14261640767670569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3872.88</v>
      </c>
      <c r="E20" s="1"/>
      <c r="F20" s="5">
        <f t="shared" si="4"/>
        <v>0.29284536862003779</v>
      </c>
      <c r="G20" s="1"/>
      <c r="H20" s="1">
        <f>SUM(OSRRefH22_0x_0)</f>
        <v>3678.1327643846166</v>
      </c>
      <c r="I20" s="1"/>
      <c r="J20" s="5">
        <f t="shared" si="5"/>
        <v>0.10123672697304351</v>
      </c>
      <c r="K20" s="1"/>
      <c r="L20" s="1">
        <f t="shared" si="6"/>
        <v>194.74723561538349</v>
      </c>
      <c r="M20" s="1"/>
      <c r="N20" s="5">
        <f t="shared" si="7"/>
        <v>5.2947309977802386E-2</v>
      </c>
      <c r="O20" s="14"/>
      <c r="P20" s="1">
        <f>SUM(OSRRefP22_0x_0)</f>
        <v>25245.63</v>
      </c>
      <c r="Q20" s="1"/>
      <c r="R20" s="5">
        <f t="shared" si="8"/>
        <v>7.520922209776211E-2</v>
      </c>
      <c r="S20" s="1"/>
      <c r="T20" s="1">
        <f>SUM(OSRRefT22_0x_0)</f>
        <v>25780.534554750007</v>
      </c>
      <c r="U20" s="1"/>
      <c r="V20" s="5">
        <f t="shared" si="9"/>
        <v>6.8782942170032835E-2</v>
      </c>
      <c r="W20" s="1"/>
      <c r="X20" s="1">
        <f t="shared" si="10"/>
        <v>-534.90455475000635</v>
      </c>
      <c r="Y20" s="1"/>
      <c r="Z20" s="5">
        <f t="shared" si="11"/>
        <v>-2.0748388813041557E-2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7">
        <v>938.94</v>
      </c>
      <c r="E21" s="2"/>
      <c r="F21" s="6">
        <f t="shared" si="4"/>
        <v>7.0997353497164462E-2</v>
      </c>
      <c r="G21" s="2"/>
      <c r="H21" s="7">
        <v>718.85158823076904</v>
      </c>
      <c r="I21" s="2"/>
      <c r="J21" s="6">
        <f t="shared" si="5"/>
        <v>1.9785632176339565E-2</v>
      </c>
      <c r="K21" s="2"/>
      <c r="L21" s="7">
        <f t="shared" si="6"/>
        <v>220.08841176923102</v>
      </c>
      <c r="M21" s="2"/>
      <c r="N21" s="6">
        <f t="shared" si="7"/>
        <v>0.30616669055557155</v>
      </c>
      <c r="O21" s="11"/>
      <c r="P21" s="7">
        <v>6290.87</v>
      </c>
      <c r="Q21" s="2"/>
      <c r="R21" s="6">
        <f t="shared" si="8"/>
        <v>1.8741122286041134E-2</v>
      </c>
      <c r="S21" s="2"/>
      <c r="T21" s="7">
        <v>6488.812247249999</v>
      </c>
      <c r="U21" s="2"/>
      <c r="V21" s="6">
        <f t="shared" si="9"/>
        <v>1.7312270876577465E-2</v>
      </c>
      <c r="W21" s="2"/>
      <c r="X21" s="7">
        <f t="shared" si="10"/>
        <v>-197.94224724999913</v>
      </c>
      <c r="Y21" s="2"/>
      <c r="Z21" s="6">
        <f t="shared" si="11"/>
        <v>-3.0505158680448542E-2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7">
        <v>171.99</v>
      </c>
      <c r="E22" s="2"/>
      <c r="F22" s="6">
        <f t="shared" si="4"/>
        <v>1.300491493383743E-2</v>
      </c>
      <c r="G22" s="2"/>
      <c r="H22" s="7">
        <v>323.62178076923101</v>
      </c>
      <c r="I22" s="2"/>
      <c r="J22" s="6">
        <f t="shared" si="5"/>
        <v>8.9073483642307331E-3</v>
      </c>
      <c r="K22" s="2"/>
      <c r="L22" s="7">
        <f t="shared" si="6"/>
        <v>-151.631780769231</v>
      </c>
      <c r="M22" s="2"/>
      <c r="N22" s="6">
        <f t="shared" si="7"/>
        <v>-0.46854627772213192</v>
      </c>
      <c r="O22" s="11"/>
      <c r="P22" s="7">
        <v>667.52</v>
      </c>
      <c r="Q22" s="2"/>
      <c r="R22" s="6">
        <f t="shared" si="8"/>
        <v>1.9886079267856715E-3</v>
      </c>
      <c r="S22" s="2"/>
      <c r="T22" s="7">
        <v>2142.9997625000019</v>
      </c>
      <c r="U22" s="2"/>
      <c r="V22" s="6">
        <f t="shared" si="9"/>
        <v>5.7175629318854939E-3</v>
      </c>
      <c r="W22" s="2"/>
      <c r="X22" s="7">
        <f t="shared" si="10"/>
        <v>-1475.4797625000019</v>
      </c>
      <c r="Y22" s="2"/>
      <c r="Z22" s="6">
        <f t="shared" si="11"/>
        <v>-0.68851139805014361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7">
        <v>1230.45</v>
      </c>
      <c r="E23" s="2"/>
      <c r="F23" s="6">
        <f t="shared" si="4"/>
        <v>9.3039697542533079E-2</v>
      </c>
      <c r="G23" s="2"/>
      <c r="H23" s="7">
        <v>1025</v>
      </c>
      <c r="I23" s="2"/>
      <c r="J23" s="6">
        <f t="shared" si="5"/>
        <v>2.8212044478696467E-2</v>
      </c>
      <c r="K23" s="2"/>
      <c r="L23" s="7">
        <f t="shared" si="6"/>
        <v>205.45000000000005</v>
      </c>
      <c r="M23" s="2"/>
      <c r="N23" s="6">
        <f t="shared" si="7"/>
        <v>0.20043902439024394</v>
      </c>
      <c r="O23" s="11"/>
      <c r="P23" s="7">
        <v>7403</v>
      </c>
      <c r="Q23" s="2"/>
      <c r="R23" s="6">
        <f t="shared" si="8"/>
        <v>2.2054267260897542E-2</v>
      </c>
      <c r="S23" s="2"/>
      <c r="T23" s="7">
        <v>6482.5</v>
      </c>
      <c r="U23" s="2"/>
      <c r="V23" s="6">
        <f t="shared" si="9"/>
        <v>1.7295429684373417E-2</v>
      </c>
      <c r="W23" s="2"/>
      <c r="X23" s="7">
        <f t="shared" si="10"/>
        <v>920.5</v>
      </c>
      <c r="Y23" s="2"/>
      <c r="Z23" s="6">
        <f t="shared" si="11"/>
        <v>0.14199768607790206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7"/>
      <c r="E24" s="2"/>
      <c r="F24" s="6">
        <f t="shared" si="4"/>
        <v>0</v>
      </c>
      <c r="G24" s="2"/>
      <c r="H24" s="7">
        <v>45.48198</v>
      </c>
      <c r="I24" s="2"/>
      <c r="J24" s="6">
        <f t="shared" si="5"/>
        <v>1.251843553891886E-3</v>
      </c>
      <c r="K24" s="2"/>
      <c r="L24" s="7">
        <f t="shared" si="6"/>
        <v>-45.48198</v>
      </c>
      <c r="M24" s="2"/>
      <c r="N24" s="6">
        <f t="shared" si="7"/>
        <v>-1</v>
      </c>
      <c r="O24" s="11"/>
      <c r="P24" s="7">
        <v>214.6</v>
      </c>
      <c r="Q24" s="2"/>
      <c r="R24" s="6">
        <f t="shared" si="8"/>
        <v>6.3931456898400822E-4</v>
      </c>
      <c r="S24" s="2"/>
      <c r="T24" s="7">
        <v>301.17834499999998</v>
      </c>
      <c r="U24" s="2"/>
      <c r="V24" s="6">
        <f t="shared" si="9"/>
        <v>8.0354938502174428E-4</v>
      </c>
      <c r="W24" s="2"/>
      <c r="X24" s="7">
        <f t="shared" si="10"/>
        <v>-86.578344999999985</v>
      </c>
      <c r="Y24" s="2"/>
      <c r="Z24" s="6">
        <f t="shared" si="11"/>
        <v>-0.2874653720538905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7">
        <v>640.35</v>
      </c>
      <c r="E25" s="2"/>
      <c r="F25" s="6">
        <f t="shared" si="4"/>
        <v>4.8419659735349715E-2</v>
      </c>
      <c r="G25" s="2"/>
      <c r="H25" s="7">
        <v>560.123953846154</v>
      </c>
      <c r="I25" s="2"/>
      <c r="J25" s="6">
        <f t="shared" si="5"/>
        <v>1.5416821365357096E-2</v>
      </c>
      <c r="K25" s="2"/>
      <c r="L25" s="7">
        <f t="shared" si="6"/>
        <v>80.226046153846028</v>
      </c>
      <c r="M25" s="2"/>
      <c r="N25" s="6">
        <f t="shared" si="7"/>
        <v>0.1432290934943326</v>
      </c>
      <c r="O25" s="11"/>
      <c r="P25" s="7">
        <v>4819.7</v>
      </c>
      <c r="Q25" s="2"/>
      <c r="R25" s="6">
        <f t="shared" si="8"/>
        <v>1.4358361734073738E-2</v>
      </c>
      <c r="S25" s="2"/>
      <c r="T25" s="7">
        <v>3886.1529500000001</v>
      </c>
      <c r="U25" s="2"/>
      <c r="V25" s="6">
        <f t="shared" si="9"/>
        <v>1.0368327819428511E-2</v>
      </c>
      <c r="W25" s="2"/>
      <c r="X25" s="7">
        <f t="shared" si="10"/>
        <v>933.54704999999967</v>
      </c>
      <c r="Y25" s="2"/>
      <c r="Z25" s="6">
        <f t="shared" si="11"/>
        <v>0.24022395979036276</v>
      </c>
    </row>
    <row r="26" spans="1:26" s="24" customFormat="1" hidden="1" outlineLevel="2" x14ac:dyDescent="0.25">
      <c r="A26" s="29"/>
      <c r="B26" s="11" t="str">
        <f>CONCATENATE("          ", "6116", " - ", "EDUCATIONAL BENEFITS")</f>
        <v xml:space="preserve">          6116 - EDUCATIONAL BENEFITS</v>
      </c>
      <c r="C26" s="11"/>
      <c r="D26" s="7"/>
      <c r="E26" s="2"/>
      <c r="F26" s="6">
        <f t="shared" si="4"/>
        <v>0</v>
      </c>
      <c r="G26" s="2"/>
      <c r="H26" s="7">
        <v>0</v>
      </c>
      <c r="I26" s="2"/>
      <c r="J26" s="6">
        <f t="shared" si="5"/>
        <v>0</v>
      </c>
      <c r="K26" s="2"/>
      <c r="L26" s="7">
        <f t="shared" si="6"/>
        <v>0</v>
      </c>
      <c r="M26" s="2"/>
      <c r="N26" s="6">
        <f t="shared" si="7"/>
        <v>0</v>
      </c>
      <c r="O26" s="11"/>
      <c r="P26" s="7"/>
      <c r="Q26" s="2"/>
      <c r="R26" s="6">
        <f t="shared" si="8"/>
        <v>0</v>
      </c>
      <c r="S26" s="2"/>
      <c r="T26" s="7">
        <v>0</v>
      </c>
      <c r="U26" s="2"/>
      <c r="V26" s="6">
        <f t="shared" si="9"/>
        <v>0</v>
      </c>
      <c r="W26" s="2"/>
      <c r="X26" s="7">
        <f t="shared" si="10"/>
        <v>0</v>
      </c>
      <c r="Y26" s="2"/>
      <c r="Z26" s="6">
        <f t="shared" si="11"/>
        <v>0</v>
      </c>
    </row>
    <row r="27" spans="1:26" s="24" customFormat="1" hidden="1" outlineLevel="2" x14ac:dyDescent="0.25">
      <c r="A27" s="29"/>
      <c r="B27" s="11" t="str">
        <f>CONCATENATE("          ", "6117", " - ", "RETIREMENT STAFF HOURLY")</f>
        <v xml:space="preserve">          6117 - RETIREMENT STAFF HOURLY</v>
      </c>
      <c r="C27" s="11"/>
      <c r="D27" s="7">
        <v>71.87</v>
      </c>
      <c r="E27" s="2"/>
      <c r="F27" s="6">
        <f t="shared" si="4"/>
        <v>5.434404536862004E-3</v>
      </c>
      <c r="G27" s="2"/>
      <c r="H27" s="7"/>
      <c r="I27" s="2"/>
      <c r="J27" s="6">
        <f t="shared" si="5"/>
        <v>0</v>
      </c>
      <c r="K27" s="2"/>
      <c r="L27" s="7">
        <f t="shared" si="6"/>
        <v>71.87</v>
      </c>
      <c r="M27" s="2"/>
      <c r="N27" s="6">
        <f t="shared" si="7"/>
        <v>0</v>
      </c>
      <c r="O27" s="11"/>
      <c r="P27" s="7">
        <v>524.61</v>
      </c>
      <c r="Q27" s="2"/>
      <c r="R27" s="6">
        <f t="shared" si="8"/>
        <v>1.5628649395838796E-3</v>
      </c>
      <c r="S27" s="2"/>
      <c r="T27" s="7"/>
      <c r="U27" s="2"/>
      <c r="V27" s="6">
        <f t="shared" si="9"/>
        <v>0</v>
      </c>
      <c r="W27" s="2"/>
      <c r="X27" s="7">
        <f t="shared" si="10"/>
        <v>524.61</v>
      </c>
      <c r="Y27" s="2"/>
      <c r="Z27" s="6">
        <f t="shared" si="11"/>
        <v>0</v>
      </c>
    </row>
    <row r="28" spans="1:26" s="24" customFormat="1" hidden="1" outlineLevel="2" x14ac:dyDescent="0.25">
      <c r="A28" s="29"/>
      <c r="B28" s="11" t="str">
        <f>CONCATENATE("          ", "6118", " - ", "VACATION")</f>
        <v xml:space="preserve">          6118 - VACATION</v>
      </c>
      <c r="C28" s="11"/>
      <c r="D28" s="7">
        <v>520.02</v>
      </c>
      <c r="E28" s="2"/>
      <c r="F28" s="6">
        <f t="shared" si="4"/>
        <v>3.9320982986767485E-2</v>
      </c>
      <c r="G28" s="2"/>
      <c r="H28" s="7">
        <v>195.39207692307698</v>
      </c>
      <c r="I28" s="2"/>
      <c r="J28" s="6">
        <f t="shared" si="5"/>
        <v>5.3779609414036384E-3</v>
      </c>
      <c r="K28" s="2"/>
      <c r="L28" s="7">
        <f t="shared" si="6"/>
        <v>324.62792307692303</v>
      </c>
      <c r="M28" s="2"/>
      <c r="N28" s="6">
        <f t="shared" si="7"/>
        <v>1.6614180482083944</v>
      </c>
      <c r="O28" s="11"/>
      <c r="P28" s="7">
        <v>3380.13</v>
      </c>
      <c r="Q28" s="2"/>
      <c r="R28" s="6">
        <f t="shared" si="8"/>
        <v>1.0069740699254034E-2</v>
      </c>
      <c r="S28" s="2"/>
      <c r="T28" s="7">
        <v>1355.6347499999999</v>
      </c>
      <c r="U28" s="2"/>
      <c r="V28" s="6">
        <f t="shared" si="9"/>
        <v>3.616858541661108E-3</v>
      </c>
      <c r="W28" s="2"/>
      <c r="X28" s="7">
        <f t="shared" si="10"/>
        <v>2024.4952500000002</v>
      </c>
      <c r="Y28" s="2"/>
      <c r="Z28" s="6">
        <f t="shared" si="11"/>
        <v>1.4933928552657714</v>
      </c>
    </row>
    <row r="29" spans="1:26" s="24" customFormat="1" hidden="1" outlineLevel="2" x14ac:dyDescent="0.25">
      <c r="A29" s="29"/>
      <c r="B29" s="11" t="str">
        <f>CONCATENATE("          ", "6119", " - ", "SICK LEAVE")</f>
        <v xml:space="preserve">          6119 - SICK LEAVE</v>
      </c>
      <c r="C29" s="11"/>
      <c r="D29" s="7">
        <v>299.26</v>
      </c>
      <c r="E29" s="2"/>
      <c r="F29" s="6">
        <f t="shared" si="4"/>
        <v>2.2628355387523627E-2</v>
      </c>
      <c r="G29" s="2"/>
      <c r="H29" s="7">
        <v>459.66138461538497</v>
      </c>
      <c r="I29" s="2"/>
      <c r="J29" s="6">
        <f t="shared" si="5"/>
        <v>1.2651695051617994E-2</v>
      </c>
      <c r="K29" s="2"/>
      <c r="L29" s="7">
        <f t="shared" si="6"/>
        <v>-160.40138461538498</v>
      </c>
      <c r="M29" s="2"/>
      <c r="N29" s="6">
        <f t="shared" si="7"/>
        <v>-0.3489555354961969</v>
      </c>
      <c r="O29" s="11"/>
      <c r="P29" s="7">
        <v>1945.2</v>
      </c>
      <c r="Q29" s="2"/>
      <c r="R29" s="6">
        <f t="shared" si="8"/>
        <v>5.7949426821420911E-3</v>
      </c>
      <c r="S29" s="2"/>
      <c r="T29" s="7">
        <v>3023.2565000000022</v>
      </c>
      <c r="U29" s="2"/>
      <c r="V29" s="6">
        <f t="shared" si="9"/>
        <v>8.0661041594407897E-3</v>
      </c>
      <c r="W29" s="2"/>
      <c r="X29" s="7">
        <f t="shared" si="10"/>
        <v>-1078.0565000000022</v>
      </c>
      <c r="Y29" s="2"/>
      <c r="Z29" s="6">
        <f t="shared" si="11"/>
        <v>-0.35658783831276025</v>
      </c>
    </row>
    <row r="30" spans="1:26" s="24" customFormat="1" hidden="1" outlineLevel="2" x14ac:dyDescent="0.25">
      <c r="A30" s="29"/>
      <c r="B30" s="11" t="str">
        <f>CONCATENATE("          ", "6156", " - ", "EMPLOYEE MEALS")</f>
        <v xml:space="preserve">          6156 - EMPLOYEE MEALS</v>
      </c>
      <c r="C30" s="11"/>
      <c r="D30" s="7"/>
      <c r="E30" s="2"/>
      <c r="F30" s="6">
        <f t="shared" si="4"/>
        <v>0</v>
      </c>
      <c r="G30" s="2"/>
      <c r="H30" s="7">
        <v>350</v>
      </c>
      <c r="I30" s="2"/>
      <c r="J30" s="6">
        <f t="shared" si="5"/>
        <v>9.6333810415061109E-3</v>
      </c>
      <c r="K30" s="2"/>
      <c r="L30" s="7">
        <f t="shared" si="6"/>
        <v>-350</v>
      </c>
      <c r="M30" s="2"/>
      <c r="N30" s="6">
        <f t="shared" si="7"/>
        <v>-1</v>
      </c>
      <c r="O30" s="11"/>
      <c r="P30" s="7"/>
      <c r="Q30" s="2"/>
      <c r="R30" s="6">
        <f t="shared" si="8"/>
        <v>0</v>
      </c>
      <c r="S30" s="2"/>
      <c r="T30" s="7">
        <v>2100</v>
      </c>
      <c r="U30" s="2"/>
      <c r="V30" s="6">
        <f t="shared" si="9"/>
        <v>5.6028387716442994E-3</v>
      </c>
      <c r="W30" s="2"/>
      <c r="X30" s="7">
        <f t="shared" si="10"/>
        <v>-2100</v>
      </c>
      <c r="Y30" s="2"/>
      <c r="Z30" s="6">
        <f t="shared" si="11"/>
        <v>-1</v>
      </c>
    </row>
    <row r="31" spans="1:26" s="28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12559.970000000001</v>
      </c>
      <c r="E31" s="1"/>
      <c r="F31" s="5">
        <f t="shared" ref="F31:F41" si="12">IF(D$12=0,0,D31/D$12)</f>
        <v>0.94971417769376187</v>
      </c>
      <c r="G31" s="1"/>
      <c r="H31" s="1">
        <f>SUM(OSRRefH22_1x_0)</f>
        <v>16838.015769230769</v>
      </c>
      <c r="I31" s="1"/>
      <c r="J31" s="5">
        <f t="shared" ref="J31:J41" si="13">IF(H$12=0,0,H31/H$12)</f>
        <v>0.46344863396539604</v>
      </c>
      <c r="K31" s="1"/>
      <c r="L31" s="1">
        <f t="shared" ref="L31:L41" si="14">+D31-H31</f>
        <v>-4278.0457692307682</v>
      </c>
      <c r="M31" s="1"/>
      <c r="N31" s="5">
        <f t="shared" ref="N31:N41" si="15">IF(H31=0,0,L31/H31)</f>
        <v>-0.25407065938543227</v>
      </c>
      <c r="O31" s="14"/>
      <c r="P31" s="1">
        <f>SUM(OSRRefP22_1x_0)</f>
        <v>85215.37</v>
      </c>
      <c r="Q31" s="1"/>
      <c r="R31" s="5">
        <f t="shared" ref="R31:R41" si="16">IF(P$12=0,0,P31/P$12)</f>
        <v>0.2538649932076551</v>
      </c>
      <c r="S31" s="1"/>
      <c r="T31" s="1">
        <f>SUM(OSRRefT22_1x_0)</f>
        <v>111458.93375</v>
      </c>
      <c r="U31" s="1"/>
      <c r="V31" s="5">
        <f t="shared" ref="V31:V41" si="17">IF(T$12=0,0,T31/T$12)</f>
        <v>0.29737449307649205</v>
      </c>
      <c r="W31" s="1"/>
      <c r="X31" s="1">
        <f t="shared" ref="X31:X41" si="18">+P31-T31</f>
        <v>-26243.563750000001</v>
      </c>
      <c r="Y31" s="1"/>
      <c r="Z31" s="5">
        <f t="shared" ref="Z31:Z41" si="19">IF(T31=0,0,X31/T31)</f>
        <v>-0.23545500452089155</v>
      </c>
    </row>
    <row r="32" spans="1:26" s="24" customFormat="1" hidden="1" outlineLevel="2" x14ac:dyDescent="0.25">
      <c r="A32" s="29"/>
      <c r="B32" s="11" t="str">
        <f>CONCATENATE("          ", "6001", " - ", "ADMINISTRATIVE SALARIES")</f>
        <v xml:space="preserve">          6001 - ADMINISTRATIVE SALARIES</v>
      </c>
      <c r="C32" s="11"/>
      <c r="D32" s="7">
        <v>3785.15</v>
      </c>
      <c r="E32" s="2"/>
      <c r="F32" s="6">
        <f t="shared" si="12"/>
        <v>0.2862117202268431</v>
      </c>
      <c r="G32" s="2"/>
      <c r="H32" s="7">
        <v>4019.23076923077</v>
      </c>
      <c r="I32" s="2"/>
      <c r="J32" s="6">
        <f t="shared" si="13"/>
        <v>0.11062508998213062</v>
      </c>
      <c r="K32" s="2"/>
      <c r="L32" s="7">
        <f t="shared" si="14"/>
        <v>-234.08076923076987</v>
      </c>
      <c r="M32" s="2"/>
      <c r="N32" s="6">
        <f t="shared" si="15"/>
        <v>-5.824019138755996E-2</v>
      </c>
      <c r="O32" s="11"/>
      <c r="P32" s="7">
        <v>25654.89</v>
      </c>
      <c r="Q32" s="2"/>
      <c r="R32" s="6">
        <f t="shared" si="16"/>
        <v>7.6428448008770467E-2</v>
      </c>
      <c r="S32" s="2"/>
      <c r="T32" s="7">
        <v>26125</v>
      </c>
      <c r="U32" s="2"/>
      <c r="V32" s="6">
        <f t="shared" si="17"/>
        <v>6.970198233771778E-2</v>
      </c>
      <c r="W32" s="2"/>
      <c r="X32" s="7">
        <f t="shared" si="18"/>
        <v>-470.11000000000058</v>
      </c>
      <c r="Y32" s="2"/>
      <c r="Z32" s="6">
        <f t="shared" si="19"/>
        <v>-1.7994641148325382E-2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1939.95</v>
      </c>
      <c r="E33" s="2"/>
      <c r="F33" s="6">
        <f t="shared" si="12"/>
        <v>0.14668809073724007</v>
      </c>
      <c r="G33" s="2"/>
      <c r="H33" s="7">
        <v>2168.1849999999999</v>
      </c>
      <c r="I33" s="2"/>
      <c r="J33" s="6">
        <f t="shared" si="13"/>
        <v>5.9677006495651212E-2</v>
      </c>
      <c r="K33" s="2"/>
      <c r="L33" s="7">
        <f t="shared" si="14"/>
        <v>-228.2349999999999</v>
      </c>
      <c r="M33" s="2"/>
      <c r="N33" s="6">
        <f t="shared" si="15"/>
        <v>-0.10526546397101719</v>
      </c>
      <c r="O33" s="11"/>
      <c r="P33" s="7">
        <v>13693.79</v>
      </c>
      <c r="Q33" s="2"/>
      <c r="R33" s="6">
        <f t="shared" si="16"/>
        <v>4.0795151219047171E-2</v>
      </c>
      <c r="S33" s="2"/>
      <c r="T33" s="7">
        <v>16803.43375</v>
      </c>
      <c r="U33" s="2"/>
      <c r="V33" s="6">
        <f t="shared" si="17"/>
        <v>4.4831871481550656E-2</v>
      </c>
      <c r="W33" s="2"/>
      <c r="X33" s="7">
        <f t="shared" si="18"/>
        <v>-3109.6437499999993</v>
      </c>
      <c r="Y33" s="2"/>
      <c r="Z33" s="6">
        <f t="shared" si="19"/>
        <v>-0.18506001786688386</v>
      </c>
    </row>
    <row r="34" spans="1:26" s="24" customFormat="1" hidden="1" outlineLevel="2" x14ac:dyDescent="0.25">
      <c r="A34" s="29"/>
      <c r="B34" s="11" t="str">
        <f>CONCATENATE("          ", "6003", " - ", "STAFF HOURLY-9 MONTH")</f>
        <v xml:space="preserve">          6003 - STAFF HOURLY-9 MONTH</v>
      </c>
      <c r="C34" s="11"/>
      <c r="D34" s="7"/>
      <c r="E34" s="2"/>
      <c r="F34" s="6">
        <f t="shared" si="12"/>
        <v>0</v>
      </c>
      <c r="G34" s="2"/>
      <c r="H34" s="7">
        <v>0</v>
      </c>
      <c r="I34" s="2"/>
      <c r="J34" s="6">
        <f t="shared" si="13"/>
        <v>0</v>
      </c>
      <c r="K34" s="2"/>
      <c r="L34" s="7">
        <f t="shared" si="14"/>
        <v>0</v>
      </c>
      <c r="M34" s="2"/>
      <c r="N34" s="6">
        <f t="shared" si="15"/>
        <v>0</v>
      </c>
      <c r="O34" s="11"/>
      <c r="P34" s="7"/>
      <c r="Q34" s="2"/>
      <c r="R34" s="6">
        <f t="shared" si="16"/>
        <v>0</v>
      </c>
      <c r="S34" s="2"/>
      <c r="T34" s="7">
        <v>0</v>
      </c>
      <c r="U34" s="2"/>
      <c r="V34" s="6">
        <f t="shared" si="17"/>
        <v>0</v>
      </c>
      <c r="W34" s="2"/>
      <c r="X34" s="7">
        <f t="shared" si="18"/>
        <v>0</v>
      </c>
      <c r="Y34" s="2"/>
      <c r="Z34" s="6">
        <f t="shared" si="19"/>
        <v>0</v>
      </c>
    </row>
    <row r="35" spans="1:26" s="24" customFormat="1" hidden="1" outlineLevel="2" x14ac:dyDescent="0.25">
      <c r="A35" s="29"/>
      <c r="B35" s="11" t="str">
        <f>CONCATENATE("          ", "6004", " - ", "STAFF HOURLY")</f>
        <v xml:space="preserve">          6004 - STAFF HOURLY</v>
      </c>
      <c r="C35" s="11"/>
      <c r="D35" s="7"/>
      <c r="E35" s="2"/>
      <c r="F35" s="6">
        <f t="shared" si="12"/>
        <v>0</v>
      </c>
      <c r="G35" s="2"/>
      <c r="H35" s="7">
        <v>2793.6</v>
      </c>
      <c r="I35" s="2"/>
      <c r="J35" s="6">
        <f t="shared" si="13"/>
        <v>7.6890895078718477E-2</v>
      </c>
      <c r="K35" s="2"/>
      <c r="L35" s="7">
        <f t="shared" si="14"/>
        <v>-2793.6</v>
      </c>
      <c r="M35" s="2"/>
      <c r="N35" s="6">
        <f t="shared" si="15"/>
        <v>-1</v>
      </c>
      <c r="O35" s="11"/>
      <c r="P35" s="7"/>
      <c r="Q35" s="2"/>
      <c r="R35" s="6">
        <f t="shared" si="16"/>
        <v>0</v>
      </c>
      <c r="S35" s="2"/>
      <c r="T35" s="7">
        <v>17460</v>
      </c>
      <c r="U35" s="2"/>
      <c r="V35" s="6">
        <f t="shared" si="17"/>
        <v>4.658360235852832E-2</v>
      </c>
      <c r="W35" s="2"/>
      <c r="X35" s="7">
        <f t="shared" si="18"/>
        <v>-17460</v>
      </c>
      <c r="Y35" s="2"/>
      <c r="Z35" s="6">
        <f t="shared" si="19"/>
        <v>-1</v>
      </c>
    </row>
    <row r="36" spans="1:26" s="24" customFormat="1" hidden="1" outlineLevel="2" x14ac:dyDescent="0.25">
      <c r="A36" s="29"/>
      <c r="B36" s="11" t="str">
        <f>CONCATENATE("          ", "6005", " - ", "TEMPORARY WAGES-HOURLY")</f>
        <v xml:space="preserve">          6005 - TEMPORARY WAGES-HOURLY</v>
      </c>
      <c r="C36" s="11"/>
      <c r="D36" s="7">
        <v>5819.39</v>
      </c>
      <c r="E36" s="2"/>
      <c r="F36" s="6">
        <f t="shared" si="12"/>
        <v>0.44002948960302463</v>
      </c>
      <c r="G36" s="2"/>
      <c r="H36" s="7">
        <v>0</v>
      </c>
      <c r="I36" s="2"/>
      <c r="J36" s="6">
        <f t="shared" si="13"/>
        <v>0</v>
      </c>
      <c r="K36" s="2"/>
      <c r="L36" s="7">
        <f t="shared" si="14"/>
        <v>5819.39</v>
      </c>
      <c r="M36" s="2"/>
      <c r="N36" s="6">
        <f t="shared" si="15"/>
        <v>0</v>
      </c>
      <c r="O36" s="11"/>
      <c r="P36" s="7">
        <v>39166.15</v>
      </c>
      <c r="Q36" s="2"/>
      <c r="R36" s="6">
        <f t="shared" si="16"/>
        <v>0.11667982435234396</v>
      </c>
      <c r="S36" s="2"/>
      <c r="T36" s="7">
        <v>0</v>
      </c>
      <c r="U36" s="2"/>
      <c r="V36" s="6">
        <f t="shared" si="17"/>
        <v>0</v>
      </c>
      <c r="W36" s="2"/>
      <c r="X36" s="7">
        <f t="shared" si="18"/>
        <v>39166.15</v>
      </c>
      <c r="Y36" s="2"/>
      <c r="Z36" s="6">
        <f t="shared" si="19"/>
        <v>0</v>
      </c>
    </row>
    <row r="37" spans="1:26" s="24" customFormat="1" hidden="1" outlineLevel="2" x14ac:dyDescent="0.25">
      <c r="A37" s="29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12"/>
        <v>0</v>
      </c>
      <c r="G37" s="2"/>
      <c r="H37" s="7">
        <v>0</v>
      </c>
      <c r="I37" s="2"/>
      <c r="J37" s="6">
        <f t="shared" si="13"/>
        <v>0</v>
      </c>
      <c r="K37" s="2"/>
      <c r="L37" s="7">
        <f t="shared" si="14"/>
        <v>0</v>
      </c>
      <c r="M37" s="2"/>
      <c r="N37" s="6">
        <f t="shared" si="15"/>
        <v>0</v>
      </c>
      <c r="O37" s="11"/>
      <c r="P37" s="7"/>
      <c r="Q37" s="2"/>
      <c r="R37" s="6">
        <f t="shared" si="16"/>
        <v>0</v>
      </c>
      <c r="S37" s="2"/>
      <c r="T37" s="7">
        <v>0</v>
      </c>
      <c r="U37" s="2"/>
      <c r="V37" s="6">
        <f t="shared" si="17"/>
        <v>0</v>
      </c>
      <c r="W37" s="2"/>
      <c r="X37" s="7">
        <f t="shared" si="18"/>
        <v>0</v>
      </c>
      <c r="Y37" s="2"/>
      <c r="Z37" s="6">
        <f t="shared" si="19"/>
        <v>0</v>
      </c>
    </row>
    <row r="38" spans="1:26" s="24" customFormat="1" hidden="1" outlineLevel="2" x14ac:dyDescent="0.25">
      <c r="A38" s="29"/>
      <c r="B38" s="11" t="str">
        <f>CONCATENATE("          ", "6007", " - ", "STUDENT HOURLY")</f>
        <v xml:space="preserve">          6007 - STUDENT HOURLY</v>
      </c>
      <c r="C38" s="11"/>
      <c r="D38" s="7">
        <v>612</v>
      </c>
      <c r="E38" s="2"/>
      <c r="F38" s="6">
        <f t="shared" si="12"/>
        <v>4.6275992438563326E-2</v>
      </c>
      <c r="G38" s="2"/>
      <c r="H38" s="7">
        <v>0</v>
      </c>
      <c r="I38" s="2"/>
      <c r="J38" s="6">
        <f t="shared" si="13"/>
        <v>0</v>
      </c>
      <c r="K38" s="2"/>
      <c r="L38" s="7">
        <f t="shared" si="14"/>
        <v>612</v>
      </c>
      <c r="M38" s="2"/>
      <c r="N38" s="6">
        <f t="shared" si="15"/>
        <v>0</v>
      </c>
      <c r="O38" s="11"/>
      <c r="P38" s="7">
        <v>3927.98</v>
      </c>
      <c r="Q38" s="2"/>
      <c r="R38" s="6">
        <f t="shared" si="16"/>
        <v>1.1701839891322481E-2</v>
      </c>
      <c r="S38" s="2"/>
      <c r="T38" s="7">
        <v>20952</v>
      </c>
      <c r="U38" s="2"/>
      <c r="V38" s="6">
        <f t="shared" si="17"/>
        <v>5.5900322830233988E-2</v>
      </c>
      <c r="W38" s="2"/>
      <c r="X38" s="7">
        <f t="shared" si="18"/>
        <v>-17024.02</v>
      </c>
      <c r="Y38" s="2"/>
      <c r="Z38" s="6">
        <f t="shared" si="19"/>
        <v>-0.81252481863306603</v>
      </c>
    </row>
    <row r="39" spans="1:26" s="24" customFormat="1" hidden="1" outlineLevel="2" x14ac:dyDescent="0.2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7">
        <v>403.48</v>
      </c>
      <c r="E39" s="2"/>
      <c r="F39" s="6">
        <f t="shared" si="12"/>
        <v>3.0508884688090737E-2</v>
      </c>
      <c r="G39" s="2"/>
      <c r="H39" s="7">
        <v>7857</v>
      </c>
      <c r="I39" s="2"/>
      <c r="J39" s="6">
        <f t="shared" si="13"/>
        <v>0.21625564240889575</v>
      </c>
      <c r="K39" s="2"/>
      <c r="L39" s="7">
        <f t="shared" si="14"/>
        <v>-7453.52</v>
      </c>
      <c r="M39" s="2"/>
      <c r="N39" s="6">
        <f t="shared" si="15"/>
        <v>-0.9486470663102966</v>
      </c>
      <c r="O39" s="11"/>
      <c r="P39" s="7">
        <v>2772.56</v>
      </c>
      <c r="Q39" s="2"/>
      <c r="R39" s="6">
        <f t="shared" si="16"/>
        <v>8.2597297361710238E-3</v>
      </c>
      <c r="S39" s="2"/>
      <c r="T39" s="7">
        <v>30118.499999999996</v>
      </c>
      <c r="U39" s="2"/>
      <c r="V39" s="6">
        <f t="shared" si="17"/>
        <v>8.0356714068461343E-2</v>
      </c>
      <c r="W39" s="2"/>
      <c r="X39" s="7">
        <f t="shared" si="18"/>
        <v>-27345.939999999995</v>
      </c>
      <c r="Y39" s="2"/>
      <c r="Z39" s="6">
        <f t="shared" si="19"/>
        <v>-0.90794495077776116</v>
      </c>
    </row>
    <row r="40" spans="1:26" s="24" customFormat="1" hidden="1" outlineLevel="2" x14ac:dyDescent="0.25">
      <c r="A40" s="29"/>
      <c r="B40" s="11" t="str">
        <f>CONCATENATE("          ", "6009", " - ", "TEMPORARY-SEASONAL")</f>
        <v xml:space="preserve">          6009 - TEMPORARY-SEASONAL</v>
      </c>
      <c r="C40" s="11"/>
      <c r="D40" s="7"/>
      <c r="E40" s="2"/>
      <c r="F40" s="6">
        <f t="shared" si="12"/>
        <v>0</v>
      </c>
      <c r="G40" s="2"/>
      <c r="H40" s="7">
        <v>0</v>
      </c>
      <c r="I40" s="2"/>
      <c r="J40" s="6">
        <f t="shared" si="13"/>
        <v>0</v>
      </c>
      <c r="K40" s="2"/>
      <c r="L40" s="7">
        <f t="shared" si="14"/>
        <v>0</v>
      </c>
      <c r="M40" s="2"/>
      <c r="N40" s="6">
        <f t="shared" si="15"/>
        <v>0</v>
      </c>
      <c r="O40" s="11"/>
      <c r="P40" s="7"/>
      <c r="Q40" s="2"/>
      <c r="R40" s="6">
        <f t="shared" si="16"/>
        <v>0</v>
      </c>
      <c r="S40" s="2"/>
      <c r="T40" s="7">
        <v>0</v>
      </c>
      <c r="U40" s="2"/>
      <c r="V40" s="6">
        <f t="shared" si="17"/>
        <v>0</v>
      </c>
      <c r="W40" s="2"/>
      <c r="X40" s="7">
        <f t="shared" si="18"/>
        <v>0</v>
      </c>
      <c r="Y40" s="2"/>
      <c r="Z40" s="6">
        <f t="shared" si="19"/>
        <v>0</v>
      </c>
    </row>
    <row r="41" spans="1:26" s="24" customFormat="1" hidden="1" outlineLevel="2" x14ac:dyDescent="0.25">
      <c r="A41" s="29"/>
      <c r="B41" s="11" t="str">
        <f>CONCATENATE("          ", "6010", " - ", "GRATUITY")</f>
        <v xml:space="preserve">          6010 - GRATUITY</v>
      </c>
      <c r="C41" s="11"/>
      <c r="D41" s="7"/>
      <c r="E41" s="2"/>
      <c r="F41" s="6">
        <f t="shared" si="12"/>
        <v>0</v>
      </c>
      <c r="G41" s="2"/>
      <c r="H41" s="7">
        <v>0</v>
      </c>
      <c r="I41" s="2"/>
      <c r="J41" s="6">
        <f t="shared" si="13"/>
        <v>0</v>
      </c>
      <c r="K41" s="2"/>
      <c r="L41" s="7">
        <f t="shared" si="14"/>
        <v>0</v>
      </c>
      <c r="M41" s="2"/>
      <c r="N41" s="6">
        <f t="shared" si="15"/>
        <v>0</v>
      </c>
      <c r="O41" s="11"/>
      <c r="P41" s="7"/>
      <c r="Q41" s="2"/>
      <c r="R41" s="6">
        <f t="shared" si="16"/>
        <v>0</v>
      </c>
      <c r="S41" s="2"/>
      <c r="T41" s="7">
        <v>0</v>
      </c>
      <c r="U41" s="2"/>
      <c r="V41" s="6">
        <f t="shared" si="17"/>
        <v>0</v>
      </c>
      <c r="W41" s="2"/>
      <c r="X41" s="7">
        <f t="shared" si="18"/>
        <v>0</v>
      </c>
      <c r="Y41" s="2"/>
      <c r="Z41" s="6">
        <f t="shared" si="19"/>
        <v>0</v>
      </c>
    </row>
    <row r="42" spans="1:26" s="28" customFormat="1" outlineLevel="1" collapsed="1" x14ac:dyDescent="0.25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2.75239458328746E-3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4"/>
      <c r="P42" s="1">
        <f>SUM(OSRRefP22_2x_0)</f>
        <v>0</v>
      </c>
      <c r="Q42" s="1"/>
      <c r="R42" s="5">
        <f t="shared" ref="R42:R50" si="24">IF(P$12=0,0,P42/P$12)</f>
        <v>0</v>
      </c>
      <c r="S42" s="1"/>
      <c r="T42" s="1">
        <f>SUM(OSRRefT22_2x_0)</f>
        <v>600</v>
      </c>
      <c r="U42" s="1"/>
      <c r="V42" s="5">
        <f t="shared" ref="V42:V50" si="25">IF(T$12=0,0,T42/T$12)</f>
        <v>1.6008110776126571E-3</v>
      </c>
      <c r="W42" s="1"/>
      <c r="X42" s="1">
        <f t="shared" ref="X42:X50" si="26">+P42-T42</f>
        <v>-600</v>
      </c>
      <c r="Y42" s="1"/>
      <c r="Z42" s="5">
        <f t="shared" ref="Z42:Z50" si="27">IF(T42=0,0,X42/T42)</f>
        <v>-1</v>
      </c>
    </row>
    <row r="43" spans="1:26" s="24" customFormat="1" hidden="1" outlineLevel="2" x14ac:dyDescent="0.25">
      <c r="A43" s="29"/>
      <c r="B43" s="11" t="str">
        <f>CONCATENATE("          ", "6362", " - ", "ADVERTISING EXPENSE")</f>
        <v xml:space="preserve">          6362 - ADVERTISING EXPENSE</v>
      </c>
      <c r="C43" s="11"/>
      <c r="D43" s="7"/>
      <c r="E43" s="2"/>
      <c r="F43" s="6">
        <f t="shared" si="20"/>
        <v>0</v>
      </c>
      <c r="G43" s="2"/>
      <c r="H43" s="7">
        <v>100</v>
      </c>
      <c r="I43" s="2"/>
      <c r="J43" s="6">
        <f t="shared" si="21"/>
        <v>2.75239458328746E-3</v>
      </c>
      <c r="K43" s="2"/>
      <c r="L43" s="7">
        <f t="shared" si="22"/>
        <v>-100</v>
      </c>
      <c r="M43" s="2"/>
      <c r="N43" s="6">
        <f t="shared" si="23"/>
        <v>-1</v>
      </c>
      <c r="O43" s="11"/>
      <c r="P43" s="7"/>
      <c r="Q43" s="2"/>
      <c r="R43" s="6">
        <f t="shared" si="24"/>
        <v>0</v>
      </c>
      <c r="S43" s="2"/>
      <c r="T43" s="7">
        <v>600</v>
      </c>
      <c r="U43" s="2"/>
      <c r="V43" s="6">
        <f t="shared" si="25"/>
        <v>1.6008110776126571E-3</v>
      </c>
      <c r="W43" s="2"/>
      <c r="X43" s="7">
        <f t="shared" si="26"/>
        <v>-600</v>
      </c>
      <c r="Y43" s="2"/>
      <c r="Z43" s="6">
        <f t="shared" si="27"/>
        <v>-1</v>
      </c>
    </row>
    <row r="44" spans="1:26" s="28" customFormat="1" outlineLevel="1" collapsed="1" x14ac:dyDescent="0.2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45.41</v>
      </c>
      <c r="E44" s="1"/>
      <c r="F44" s="5">
        <f t="shared" si="20"/>
        <v>3.4336483931947069E-3</v>
      </c>
      <c r="G44" s="1"/>
      <c r="H44" s="1">
        <f>SUM(OSRRefH22_3x_0)</f>
        <v>2000</v>
      </c>
      <c r="I44" s="1"/>
      <c r="J44" s="5">
        <f t="shared" si="21"/>
        <v>5.50478916657492E-2</v>
      </c>
      <c r="K44" s="1"/>
      <c r="L44" s="1">
        <f t="shared" si="22"/>
        <v>-1954.59</v>
      </c>
      <c r="M44" s="1"/>
      <c r="N44" s="5">
        <f t="shared" si="23"/>
        <v>-0.97729499999999991</v>
      </c>
      <c r="O44" s="14"/>
      <c r="P44" s="1">
        <f>SUM(OSRRefP22_3x_0)</f>
        <v>619.58000000000004</v>
      </c>
      <c r="Q44" s="1"/>
      <c r="R44" s="5">
        <f t="shared" si="24"/>
        <v>1.8457899377964204E-3</v>
      </c>
      <c r="S44" s="1"/>
      <c r="T44" s="1">
        <f>SUM(OSRRefT22_3x_0)</f>
        <v>9700</v>
      </c>
      <c r="U44" s="1"/>
      <c r="V44" s="5">
        <f t="shared" si="25"/>
        <v>2.5879779088071288E-2</v>
      </c>
      <c r="W44" s="1"/>
      <c r="X44" s="1">
        <f t="shared" si="26"/>
        <v>-9080.42</v>
      </c>
      <c r="Y44" s="1"/>
      <c r="Z44" s="5">
        <f t="shared" si="27"/>
        <v>-0.93612577319587631</v>
      </c>
    </row>
    <row r="45" spans="1:26" s="24" customFormat="1" hidden="1" outlineLevel="2" x14ac:dyDescent="0.25">
      <c r="A45" s="29"/>
      <c r="B45" s="11" t="str">
        <f>CONCATENATE("          ", "6381", " - ", "BANK/CREDIT CARD FEES")</f>
        <v xml:space="preserve">          6381 - BANK/CREDIT CARD FEES</v>
      </c>
      <c r="C45" s="11"/>
      <c r="D45" s="7">
        <v>45.41</v>
      </c>
      <c r="E45" s="2"/>
      <c r="F45" s="6">
        <f t="shared" si="20"/>
        <v>3.4336483931947069E-3</v>
      </c>
      <c r="G45" s="2"/>
      <c r="H45" s="7">
        <v>2000</v>
      </c>
      <c r="I45" s="2"/>
      <c r="J45" s="6">
        <f t="shared" si="21"/>
        <v>5.50478916657492E-2</v>
      </c>
      <c r="K45" s="2"/>
      <c r="L45" s="7">
        <f t="shared" si="22"/>
        <v>-1954.59</v>
      </c>
      <c r="M45" s="2"/>
      <c r="N45" s="6">
        <f t="shared" si="23"/>
        <v>-0.97729499999999991</v>
      </c>
      <c r="O45" s="11"/>
      <c r="P45" s="7">
        <v>619.58000000000004</v>
      </c>
      <c r="Q45" s="2"/>
      <c r="R45" s="6">
        <f t="shared" si="24"/>
        <v>1.8457899377964204E-3</v>
      </c>
      <c r="S45" s="2"/>
      <c r="T45" s="7">
        <v>9700</v>
      </c>
      <c r="U45" s="2"/>
      <c r="V45" s="6">
        <f t="shared" si="25"/>
        <v>2.5879779088071288E-2</v>
      </c>
      <c r="W45" s="2"/>
      <c r="X45" s="7">
        <f t="shared" si="26"/>
        <v>-9080.42</v>
      </c>
      <c r="Y45" s="2"/>
      <c r="Z45" s="6">
        <f t="shared" si="27"/>
        <v>-0.93612577319587631</v>
      </c>
    </row>
    <row r="46" spans="1:26" s="28" customFormat="1" outlineLevel="1" collapsed="1" x14ac:dyDescent="0.25">
      <c r="A46" s="27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5.5047891665749207E-4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120</v>
      </c>
      <c r="U46" s="1"/>
      <c r="V46" s="5">
        <f t="shared" si="25"/>
        <v>3.2016221552253144E-4</v>
      </c>
      <c r="W46" s="1"/>
      <c r="X46" s="1">
        <f t="shared" si="26"/>
        <v>-120</v>
      </c>
      <c r="Y46" s="1"/>
      <c r="Z46" s="5">
        <f t="shared" si="27"/>
        <v>-1</v>
      </c>
    </row>
    <row r="47" spans="1:26" s="24" customFormat="1" hidden="1" outlineLevel="2" x14ac:dyDescent="0.25">
      <c r="A47" s="29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20"/>
        <v>0</v>
      </c>
      <c r="G47" s="2"/>
      <c r="H47" s="7">
        <v>20</v>
      </c>
      <c r="I47" s="2"/>
      <c r="J47" s="6">
        <f t="shared" si="21"/>
        <v>5.5047891665749207E-4</v>
      </c>
      <c r="K47" s="2"/>
      <c r="L47" s="7">
        <f t="shared" si="22"/>
        <v>-20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120</v>
      </c>
      <c r="U47" s="2"/>
      <c r="V47" s="6">
        <f t="shared" si="25"/>
        <v>3.2016221552253144E-4</v>
      </c>
      <c r="W47" s="2"/>
      <c r="X47" s="7">
        <f t="shared" si="26"/>
        <v>-120</v>
      </c>
      <c r="Y47" s="2"/>
      <c r="Z47" s="6">
        <f t="shared" si="27"/>
        <v>-1</v>
      </c>
    </row>
    <row r="48" spans="1:26" s="28" customFormat="1" outlineLevel="1" collapsed="1" x14ac:dyDescent="0.25">
      <c r="A48" s="27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0</v>
      </c>
      <c r="E48" s="1"/>
      <c r="F48" s="5">
        <f t="shared" si="20"/>
        <v>0</v>
      </c>
      <c r="G48" s="1"/>
      <c r="H48" s="1">
        <f>SUM(OSRRefH22_5x_0)</f>
        <v>10</v>
      </c>
      <c r="I48" s="1"/>
      <c r="J48" s="5">
        <f t="shared" si="21"/>
        <v>2.7523945832874603E-4</v>
      </c>
      <c r="K48" s="1"/>
      <c r="L48" s="1">
        <f t="shared" si="22"/>
        <v>-10</v>
      </c>
      <c r="M48" s="1"/>
      <c r="N48" s="5">
        <f t="shared" si="23"/>
        <v>-1</v>
      </c>
      <c r="O48" s="14"/>
      <c r="P48" s="1">
        <f>SUM(OSRRefP22_5x_0)</f>
        <v>2.12</v>
      </c>
      <c r="Q48" s="1"/>
      <c r="R48" s="5">
        <f t="shared" si="24"/>
        <v>6.3156891250983107E-6</v>
      </c>
      <c r="S48" s="1"/>
      <c r="T48" s="1">
        <f>SUM(OSRRefT22_5x_0)</f>
        <v>60</v>
      </c>
      <c r="U48" s="1"/>
      <c r="V48" s="5">
        <f t="shared" si="25"/>
        <v>1.6008110776126572E-4</v>
      </c>
      <c r="W48" s="1"/>
      <c r="X48" s="1">
        <f t="shared" si="26"/>
        <v>-57.88</v>
      </c>
      <c r="Y48" s="1"/>
      <c r="Z48" s="5">
        <f t="shared" si="27"/>
        <v>-0.96466666666666667</v>
      </c>
    </row>
    <row r="49" spans="1:26" s="24" customFormat="1" hidden="1" outlineLevel="2" x14ac:dyDescent="0.25">
      <c r="A49" s="29"/>
      <c r="B49" s="11" t="str">
        <f>CONCATENATE("          ", "6305", " - ", "FREIGHT OUT")</f>
        <v xml:space="preserve">          6305 - FREIGHT OUT</v>
      </c>
      <c r="C49" s="11"/>
      <c r="D49" s="7"/>
      <c r="E49" s="2"/>
      <c r="F49" s="6">
        <f t="shared" si="20"/>
        <v>0</v>
      </c>
      <c r="G49" s="2"/>
      <c r="H49" s="7"/>
      <c r="I49" s="2"/>
      <c r="J49" s="6">
        <f t="shared" si="21"/>
        <v>0</v>
      </c>
      <c r="K49" s="2"/>
      <c r="L49" s="7">
        <f t="shared" si="22"/>
        <v>0</v>
      </c>
      <c r="M49" s="2"/>
      <c r="N49" s="6">
        <f t="shared" si="23"/>
        <v>0</v>
      </c>
      <c r="O49" s="11"/>
      <c r="P49" s="7">
        <v>1.62</v>
      </c>
      <c r="Q49" s="2"/>
      <c r="R49" s="6">
        <f t="shared" si="24"/>
        <v>4.8261398031411622E-6</v>
      </c>
      <c r="S49" s="2"/>
      <c r="T49" s="7"/>
      <c r="U49" s="2"/>
      <c r="V49" s="6">
        <f t="shared" si="25"/>
        <v>0</v>
      </c>
      <c r="W49" s="2"/>
      <c r="X49" s="7">
        <f t="shared" si="26"/>
        <v>1.62</v>
      </c>
      <c r="Y49" s="2"/>
      <c r="Z49" s="6">
        <f t="shared" si="27"/>
        <v>0</v>
      </c>
    </row>
    <row r="50" spans="1:26" s="24" customFormat="1" hidden="1" outlineLevel="2" x14ac:dyDescent="0.25">
      <c r="A50" s="29"/>
      <c r="B50" s="11" t="str">
        <f>CONCATENATE("          ", "6307", " - ", "POSTAGE")</f>
        <v xml:space="preserve">          6307 - POSTAGE</v>
      </c>
      <c r="C50" s="11"/>
      <c r="D50" s="7"/>
      <c r="E50" s="2"/>
      <c r="F50" s="6">
        <f t="shared" si="20"/>
        <v>0</v>
      </c>
      <c r="G50" s="2"/>
      <c r="H50" s="7">
        <v>10</v>
      </c>
      <c r="I50" s="2"/>
      <c r="J50" s="6">
        <f t="shared" si="21"/>
        <v>2.7523945832874603E-4</v>
      </c>
      <c r="K50" s="2"/>
      <c r="L50" s="7">
        <f t="shared" si="22"/>
        <v>-10</v>
      </c>
      <c r="M50" s="2"/>
      <c r="N50" s="6">
        <f t="shared" si="23"/>
        <v>-1</v>
      </c>
      <c r="O50" s="11"/>
      <c r="P50" s="7">
        <v>0.5</v>
      </c>
      <c r="Q50" s="2"/>
      <c r="R50" s="6">
        <f t="shared" si="24"/>
        <v>1.4895493219571487E-6</v>
      </c>
      <c r="S50" s="2"/>
      <c r="T50" s="7">
        <v>60</v>
      </c>
      <c r="U50" s="2"/>
      <c r="V50" s="6">
        <f t="shared" si="25"/>
        <v>1.6008110776126572E-4</v>
      </c>
      <c r="W50" s="2"/>
      <c r="X50" s="7">
        <f t="shared" si="26"/>
        <v>-59.5</v>
      </c>
      <c r="Y50" s="2"/>
      <c r="Z50" s="6">
        <f t="shared" si="27"/>
        <v>-0.9916666666666667</v>
      </c>
    </row>
    <row r="51" spans="1:26" s="28" customFormat="1" outlineLevel="1" collapsed="1" x14ac:dyDescent="0.25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ref="F51:F61" si="28">IF(D$12=0,0,D51/D$12)</f>
        <v>0</v>
      </c>
      <c r="G51" s="1"/>
      <c r="H51" s="1">
        <f>SUM(OSRRefH22_6x_0)</f>
        <v>50</v>
      </c>
      <c r="I51" s="1"/>
      <c r="J51" s="5">
        <f t="shared" ref="J51:J61" si="29">IF(H$12=0,0,H51/H$12)</f>
        <v>1.37619729164373E-3</v>
      </c>
      <c r="K51" s="1"/>
      <c r="L51" s="1">
        <f t="shared" ref="L51:L61" si="30">+D51-H51</f>
        <v>-50</v>
      </c>
      <c r="M51" s="1"/>
      <c r="N51" s="5">
        <f t="shared" ref="N51:N61" si="31">IF(H51=0,0,L51/H51)</f>
        <v>-1</v>
      </c>
      <c r="O51" s="14"/>
      <c r="P51" s="1">
        <f>SUM(OSRRefP22_6x_0)</f>
        <v>0</v>
      </c>
      <c r="Q51" s="1"/>
      <c r="R51" s="5">
        <f t="shared" ref="R51:R61" si="32">IF(P$12=0,0,P51/P$12)</f>
        <v>0</v>
      </c>
      <c r="S51" s="1"/>
      <c r="T51" s="1">
        <f>SUM(OSRRefT22_6x_0)</f>
        <v>300</v>
      </c>
      <c r="U51" s="1"/>
      <c r="V51" s="5">
        <f t="shared" ref="V51:V61" si="33">IF(T$12=0,0,T51/T$12)</f>
        <v>8.0040553880632857E-4</v>
      </c>
      <c r="W51" s="1"/>
      <c r="X51" s="1">
        <f t="shared" ref="X51:X61" si="34">+P51-T51</f>
        <v>-300</v>
      </c>
      <c r="Y51" s="1"/>
      <c r="Z51" s="5">
        <f t="shared" ref="Z51:Z61" si="35">IF(T51=0,0,X51/T51)</f>
        <v>-1</v>
      </c>
    </row>
    <row r="52" spans="1:26" s="24" customFormat="1" hidden="1" outlineLevel="2" x14ac:dyDescent="0.25">
      <c r="A52" s="29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28"/>
        <v>0</v>
      </c>
      <c r="G52" s="2"/>
      <c r="H52" s="7">
        <v>50</v>
      </c>
      <c r="I52" s="2"/>
      <c r="J52" s="6">
        <f t="shared" si="29"/>
        <v>1.37619729164373E-3</v>
      </c>
      <c r="K52" s="2"/>
      <c r="L52" s="7">
        <f t="shared" si="30"/>
        <v>-50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300</v>
      </c>
      <c r="U52" s="2"/>
      <c r="V52" s="6">
        <f t="shared" si="33"/>
        <v>8.0040553880632857E-4</v>
      </c>
      <c r="W52" s="2"/>
      <c r="X52" s="7">
        <f t="shared" si="34"/>
        <v>-300</v>
      </c>
      <c r="Y52" s="2"/>
      <c r="Z52" s="6">
        <f t="shared" si="35"/>
        <v>-1</v>
      </c>
    </row>
    <row r="53" spans="1:26" s="28" customFormat="1" outlineLevel="1" collapsed="1" x14ac:dyDescent="0.25">
      <c r="A53" s="27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29.01</v>
      </c>
      <c r="E53" s="1"/>
      <c r="F53" s="5">
        <f t="shared" si="28"/>
        <v>2.1935727788279773E-3</v>
      </c>
      <c r="G53" s="1"/>
      <c r="H53" s="1">
        <f>SUM(OSRRefH22_7x_0)</f>
        <v>33</v>
      </c>
      <c r="I53" s="1"/>
      <c r="J53" s="5">
        <f t="shared" si="29"/>
        <v>9.0829021248486181E-4</v>
      </c>
      <c r="K53" s="1"/>
      <c r="L53" s="1">
        <f t="shared" si="30"/>
        <v>-3.9899999999999984</v>
      </c>
      <c r="M53" s="1"/>
      <c r="N53" s="5">
        <f t="shared" si="31"/>
        <v>-0.12090909090909085</v>
      </c>
      <c r="O53" s="14"/>
      <c r="P53" s="1">
        <f>SUM(OSRRefP22_7x_0)</f>
        <v>174.06</v>
      </c>
      <c r="Q53" s="1"/>
      <c r="R53" s="5">
        <f t="shared" si="32"/>
        <v>5.1854190995972256E-4</v>
      </c>
      <c r="S53" s="1"/>
      <c r="T53" s="1">
        <f>SUM(OSRRefT22_7x_0)</f>
        <v>198</v>
      </c>
      <c r="U53" s="1"/>
      <c r="V53" s="5">
        <f t="shared" si="33"/>
        <v>5.2826765561217687E-4</v>
      </c>
      <c r="W53" s="1"/>
      <c r="X53" s="1">
        <f t="shared" si="34"/>
        <v>-23.939999999999998</v>
      </c>
      <c r="Y53" s="1"/>
      <c r="Z53" s="5">
        <f t="shared" si="35"/>
        <v>-0.1209090909090909</v>
      </c>
    </row>
    <row r="54" spans="1:26" s="24" customFormat="1" hidden="1" outlineLevel="2" x14ac:dyDescent="0.25">
      <c r="A54" s="29"/>
      <c r="B54" s="11" t="str">
        <f>CONCATENATE("          ", "6314", " - ", "LIABILITY INSURANCE")</f>
        <v xml:space="preserve">          6314 - LIABILITY INSURANCE</v>
      </c>
      <c r="C54" s="11"/>
      <c r="D54" s="7">
        <v>29.01</v>
      </c>
      <c r="E54" s="2"/>
      <c r="F54" s="6">
        <f t="shared" si="28"/>
        <v>2.1935727788279773E-3</v>
      </c>
      <c r="G54" s="2"/>
      <c r="H54" s="7">
        <v>33</v>
      </c>
      <c r="I54" s="2"/>
      <c r="J54" s="6">
        <f t="shared" si="29"/>
        <v>9.0829021248486181E-4</v>
      </c>
      <c r="K54" s="2"/>
      <c r="L54" s="7">
        <f t="shared" si="30"/>
        <v>-3.9899999999999984</v>
      </c>
      <c r="M54" s="2"/>
      <c r="N54" s="6">
        <f t="shared" si="31"/>
        <v>-0.12090909090909085</v>
      </c>
      <c r="O54" s="11"/>
      <c r="P54" s="7">
        <v>174.06</v>
      </c>
      <c r="Q54" s="2"/>
      <c r="R54" s="6">
        <f t="shared" si="32"/>
        <v>5.1854190995972256E-4</v>
      </c>
      <c r="S54" s="2"/>
      <c r="T54" s="7">
        <v>198</v>
      </c>
      <c r="U54" s="2"/>
      <c r="V54" s="6">
        <f t="shared" si="33"/>
        <v>5.2826765561217687E-4</v>
      </c>
      <c r="W54" s="2"/>
      <c r="X54" s="7">
        <f t="shared" si="34"/>
        <v>-23.939999999999998</v>
      </c>
      <c r="Y54" s="2"/>
      <c r="Z54" s="6">
        <f t="shared" si="35"/>
        <v>-0.1209090909090909</v>
      </c>
    </row>
    <row r="55" spans="1:26" s="28" customFormat="1" outlineLevel="1" collapsed="1" x14ac:dyDescent="0.25">
      <c r="A55" s="27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800</v>
      </c>
      <c r="E55" s="1"/>
      <c r="F55" s="5">
        <f t="shared" si="28"/>
        <v>6.0491493383742913E-2</v>
      </c>
      <c r="G55" s="1"/>
      <c r="H55" s="1">
        <f>SUM(OSRRefH22_8x_0)</f>
        <v>800</v>
      </c>
      <c r="I55" s="1"/>
      <c r="J55" s="5">
        <f t="shared" si="29"/>
        <v>2.201915666629968E-2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SUM(OSRRefP22_8x_0)</f>
        <v>4800</v>
      </c>
      <c r="Q55" s="1"/>
      <c r="R55" s="5">
        <f t="shared" si="32"/>
        <v>1.4299673490788627E-2</v>
      </c>
      <c r="S55" s="1"/>
      <c r="T55" s="1">
        <f>SUM(OSRRefT22_8x_0)</f>
        <v>4800</v>
      </c>
      <c r="U55" s="1"/>
      <c r="V55" s="5">
        <f t="shared" si="33"/>
        <v>1.2806488620901257E-2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25">
      <c r="A56" s="29"/>
      <c r="B56" s="11" t="str">
        <f>CONCATENATE("          ", "6273", " - ", "RENT")</f>
        <v xml:space="preserve">          6273 - RENT</v>
      </c>
      <c r="C56" s="11"/>
      <c r="D56" s="7">
        <v>800</v>
      </c>
      <c r="E56" s="2"/>
      <c r="F56" s="6">
        <f t="shared" si="28"/>
        <v>6.0491493383742913E-2</v>
      </c>
      <c r="G56" s="2"/>
      <c r="H56" s="7">
        <v>800</v>
      </c>
      <c r="I56" s="2"/>
      <c r="J56" s="6">
        <f t="shared" si="29"/>
        <v>2.201915666629968E-2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4800</v>
      </c>
      <c r="Q56" s="2"/>
      <c r="R56" s="6">
        <f t="shared" si="32"/>
        <v>1.4299673490788627E-2</v>
      </c>
      <c r="S56" s="2"/>
      <c r="T56" s="7">
        <v>4800</v>
      </c>
      <c r="U56" s="2"/>
      <c r="V56" s="6">
        <f t="shared" si="33"/>
        <v>1.2806488620901257E-2</v>
      </c>
      <c r="W56" s="2"/>
      <c r="X56" s="7">
        <f t="shared" si="34"/>
        <v>0</v>
      </c>
      <c r="Y56" s="2"/>
      <c r="Z56" s="6">
        <f t="shared" si="35"/>
        <v>0</v>
      </c>
    </row>
    <row r="57" spans="1:26" s="28" customFormat="1" outlineLevel="1" collapsed="1" x14ac:dyDescent="0.25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3087</v>
      </c>
      <c r="E57" s="1"/>
      <c r="F57" s="5">
        <f t="shared" si="28"/>
        <v>0.23342155009451795</v>
      </c>
      <c r="G57" s="1"/>
      <c r="H57" s="1">
        <f>SUM(OSRRefH22_9x_0)</f>
        <v>1500</v>
      </c>
      <c r="I57" s="1"/>
      <c r="J57" s="5">
        <f t="shared" si="29"/>
        <v>4.1285918749311902E-2</v>
      </c>
      <c r="K57" s="1"/>
      <c r="L57" s="1">
        <f t="shared" si="30"/>
        <v>1587</v>
      </c>
      <c r="M57" s="1"/>
      <c r="N57" s="5">
        <f t="shared" si="31"/>
        <v>1.0580000000000001</v>
      </c>
      <c r="O57" s="14"/>
      <c r="P57" s="1">
        <f>SUM(OSRRefP22_9x_0)</f>
        <v>126914.90000000001</v>
      </c>
      <c r="Q57" s="1"/>
      <c r="R57" s="5">
        <f t="shared" si="32"/>
        <v>0.37809200648251867</v>
      </c>
      <c r="S57" s="1"/>
      <c r="T57" s="1">
        <f>SUM(OSRRefT22_9x_0)</f>
        <v>134000</v>
      </c>
      <c r="U57" s="1"/>
      <c r="V57" s="5">
        <f t="shared" si="33"/>
        <v>0.35751447400016007</v>
      </c>
      <c r="W57" s="1"/>
      <c r="X57" s="1">
        <f t="shared" si="34"/>
        <v>-7085.0999999999913</v>
      </c>
      <c r="Y57" s="1"/>
      <c r="Z57" s="5">
        <f t="shared" si="35"/>
        <v>-5.2873880597014859E-2</v>
      </c>
    </row>
    <row r="58" spans="1:26" s="24" customFormat="1" hidden="1" outlineLevel="2" x14ac:dyDescent="0.25">
      <c r="A58" s="29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28"/>
        <v>0</v>
      </c>
      <c r="G58" s="2"/>
      <c r="H58" s="7"/>
      <c r="I58" s="2"/>
      <c r="J58" s="6">
        <f t="shared" si="29"/>
        <v>0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/>
      <c r="Q58" s="2"/>
      <c r="R58" s="6">
        <f t="shared" si="32"/>
        <v>0</v>
      </c>
      <c r="S58" s="2"/>
      <c r="T58" s="7">
        <v>125000</v>
      </c>
      <c r="U58" s="2"/>
      <c r="V58" s="6">
        <f t="shared" si="33"/>
        <v>0.33350230783597024</v>
      </c>
      <c r="W58" s="2"/>
      <c r="X58" s="7">
        <f t="shared" si="34"/>
        <v>-125000</v>
      </c>
      <c r="Y58" s="2"/>
      <c r="Z58" s="6">
        <f t="shared" si="35"/>
        <v>-1</v>
      </c>
    </row>
    <row r="59" spans="1:26" s="24" customFormat="1" hidden="1" outlineLevel="2" x14ac:dyDescent="0.25">
      <c r="A59" s="29"/>
      <c r="B59" s="11" t="str">
        <f>CONCATENATE("          ", "6372", " - ", "COMPUTER HARDWARE MAINTENANCE")</f>
        <v xml:space="preserve">          6372 - COMPUTER HARDWARE MAINTENANCE</v>
      </c>
      <c r="C59" s="11"/>
      <c r="D59" s="7"/>
      <c r="E59" s="2"/>
      <c r="F59" s="6">
        <f t="shared" si="28"/>
        <v>0</v>
      </c>
      <c r="G59" s="2"/>
      <c r="H59" s="7">
        <v>1500</v>
      </c>
      <c r="I59" s="2"/>
      <c r="J59" s="6">
        <f t="shared" si="29"/>
        <v>4.1285918749311902E-2</v>
      </c>
      <c r="K59" s="2"/>
      <c r="L59" s="7">
        <f t="shared" si="30"/>
        <v>-1500</v>
      </c>
      <c r="M59" s="2"/>
      <c r="N59" s="6">
        <f t="shared" si="31"/>
        <v>-1</v>
      </c>
      <c r="O59" s="11"/>
      <c r="P59" s="7"/>
      <c r="Q59" s="2"/>
      <c r="R59" s="6">
        <f t="shared" si="32"/>
        <v>0</v>
      </c>
      <c r="S59" s="2"/>
      <c r="T59" s="7">
        <v>9000</v>
      </c>
      <c r="U59" s="2"/>
      <c r="V59" s="6">
        <f t="shared" si="33"/>
        <v>2.4012166164189858E-2</v>
      </c>
      <c r="W59" s="2"/>
      <c r="X59" s="7">
        <f t="shared" si="34"/>
        <v>-9000</v>
      </c>
      <c r="Y59" s="2"/>
      <c r="Z59" s="6">
        <f t="shared" si="35"/>
        <v>-1</v>
      </c>
    </row>
    <row r="60" spans="1:26" s="24" customFormat="1" hidden="1" outlineLevel="2" x14ac:dyDescent="0.25">
      <c r="A60" s="29"/>
      <c r="B60" s="11" t="str">
        <f>CONCATENATE("          ", "6373", " - ", "MAINTENANCE CONTRACTS")</f>
        <v xml:space="preserve">          6373 - MAINTENANCE CONTRACTS</v>
      </c>
      <c r="C60" s="11"/>
      <c r="D60" s="7">
        <v>3087</v>
      </c>
      <c r="E60" s="2"/>
      <c r="F60" s="6">
        <f t="shared" si="28"/>
        <v>0.23342155009451795</v>
      </c>
      <c r="G60" s="2"/>
      <c r="H60" s="7"/>
      <c r="I60" s="2"/>
      <c r="J60" s="6">
        <f t="shared" si="29"/>
        <v>0</v>
      </c>
      <c r="K60" s="2"/>
      <c r="L60" s="7">
        <f t="shared" si="30"/>
        <v>3087</v>
      </c>
      <c r="M60" s="2"/>
      <c r="N60" s="6">
        <f t="shared" si="31"/>
        <v>0</v>
      </c>
      <c r="O60" s="11"/>
      <c r="P60" s="7">
        <v>120352.90000000001</v>
      </c>
      <c r="Q60" s="2"/>
      <c r="R60" s="6">
        <f t="shared" si="32"/>
        <v>0.35854316118115304</v>
      </c>
      <c r="S60" s="2"/>
      <c r="T60" s="7"/>
      <c r="U60" s="2"/>
      <c r="V60" s="6">
        <f t="shared" si="33"/>
        <v>0</v>
      </c>
      <c r="W60" s="2"/>
      <c r="X60" s="7">
        <f t="shared" si="34"/>
        <v>120352.90000000001</v>
      </c>
      <c r="Y60" s="2"/>
      <c r="Z60" s="6">
        <f t="shared" si="35"/>
        <v>0</v>
      </c>
    </row>
    <row r="61" spans="1:26" s="24" customFormat="1" hidden="1" outlineLevel="2" x14ac:dyDescent="0.25">
      <c r="A61" s="29"/>
      <c r="B61" s="11" t="str">
        <f>CONCATENATE("          ", "6375", " - ", "OUTSIDE REPAIRS &amp; MAINTENANCE")</f>
        <v xml:space="preserve">          6375 - OUTSIDE REPAIRS &amp; MAINTENANCE</v>
      </c>
      <c r="C61" s="11"/>
      <c r="D61" s="7"/>
      <c r="E61" s="2"/>
      <c r="F61" s="6">
        <f t="shared" si="28"/>
        <v>0</v>
      </c>
      <c r="G61" s="2"/>
      <c r="H61" s="7"/>
      <c r="I61" s="2"/>
      <c r="J61" s="6">
        <f t="shared" si="29"/>
        <v>0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6562</v>
      </c>
      <c r="Q61" s="2"/>
      <c r="R61" s="6">
        <f t="shared" si="32"/>
        <v>1.9548845301365619E-2</v>
      </c>
      <c r="S61" s="2"/>
      <c r="T61" s="7"/>
      <c r="U61" s="2"/>
      <c r="V61" s="6">
        <f t="shared" si="33"/>
        <v>0</v>
      </c>
      <c r="W61" s="2"/>
      <c r="X61" s="7">
        <f t="shared" si="34"/>
        <v>6562</v>
      </c>
      <c r="Y61" s="2"/>
      <c r="Z61" s="6">
        <f t="shared" si="35"/>
        <v>0</v>
      </c>
    </row>
    <row r="62" spans="1:26" s="28" customFormat="1" outlineLevel="1" collapsed="1" x14ac:dyDescent="0.25">
      <c r="A62" s="27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SUM(OSRRefD22_10x_0)</f>
        <v>0</v>
      </c>
      <c r="E62" s="1"/>
      <c r="F62" s="5">
        <f t="shared" ref="F62:F64" si="36">IF(D$12=0,0,D62/D$12)</f>
        <v>0</v>
      </c>
      <c r="G62" s="1"/>
      <c r="H62" s="1">
        <f>SUM(OSRRefH22_10x_0)</f>
        <v>7000</v>
      </c>
      <c r="I62" s="1"/>
      <c r="J62" s="5">
        <f t="shared" ref="J62:J64" si="37">IF(H$12=0,0,H62/H$12)</f>
        <v>0.1926676208301222</v>
      </c>
      <c r="K62" s="1"/>
      <c r="L62" s="1">
        <f t="shared" ref="L62:L64" si="38">+D62-H62</f>
        <v>-7000</v>
      </c>
      <c r="M62" s="1"/>
      <c r="N62" s="5">
        <f t="shared" ref="N62:N64" si="39">IF(H62=0,0,L62/H62)</f>
        <v>-1</v>
      </c>
      <c r="O62" s="14"/>
      <c r="P62" s="1">
        <f>SUM(OSRRefP22_10x_0)</f>
        <v>41271.699999999997</v>
      </c>
      <c r="Q62" s="1"/>
      <c r="R62" s="5">
        <f t="shared" ref="R62:R64" si="40">IF(P$12=0,0,P62/P$12)</f>
        <v>0.1229524655020377</v>
      </c>
      <c r="S62" s="1"/>
      <c r="T62" s="1">
        <f>SUM(OSRRefT22_10x_0)</f>
        <v>42000</v>
      </c>
      <c r="U62" s="1"/>
      <c r="V62" s="5">
        <f t="shared" ref="V62:V64" si="41">IF(T$12=0,0,T62/T$12)</f>
        <v>0.112056775432886</v>
      </c>
      <c r="W62" s="1"/>
      <c r="X62" s="1">
        <f t="shared" ref="X62:X64" si="42">+P62-T62</f>
        <v>-728.30000000000291</v>
      </c>
      <c r="Y62" s="1"/>
      <c r="Z62" s="5">
        <f t="shared" ref="Z62:Z64" si="43">IF(T62=0,0,X62/T62)</f>
        <v>-1.734047619047626E-2</v>
      </c>
    </row>
    <row r="63" spans="1:26" s="24" customFormat="1" hidden="1" outlineLevel="2" x14ac:dyDescent="0.25">
      <c r="A63" s="29"/>
      <c r="B63" s="11" t="str">
        <f>CONCATENATE("          ", "6234", " - ", "EXPENDABLE SUPPLIES &amp; EQUIPMEN")</f>
        <v xml:space="preserve">          6234 - EXPENDABLE SUPPLIES &amp; EQUIPMEN</v>
      </c>
      <c r="C63" s="11"/>
      <c r="D63" s="7"/>
      <c r="E63" s="2"/>
      <c r="F63" s="6">
        <f t="shared" si="36"/>
        <v>0</v>
      </c>
      <c r="G63" s="2"/>
      <c r="H63" s="7">
        <v>7000</v>
      </c>
      <c r="I63" s="2"/>
      <c r="J63" s="6">
        <f t="shared" si="37"/>
        <v>0.1926676208301222</v>
      </c>
      <c r="K63" s="2"/>
      <c r="L63" s="7">
        <f t="shared" si="38"/>
        <v>-7000</v>
      </c>
      <c r="M63" s="2"/>
      <c r="N63" s="6">
        <f t="shared" si="39"/>
        <v>-1</v>
      </c>
      <c r="O63" s="11"/>
      <c r="P63" s="7"/>
      <c r="Q63" s="2"/>
      <c r="R63" s="6">
        <f t="shared" si="40"/>
        <v>0</v>
      </c>
      <c r="S63" s="2"/>
      <c r="T63" s="7">
        <v>42000</v>
      </c>
      <c r="U63" s="2"/>
      <c r="V63" s="6">
        <f t="shared" si="41"/>
        <v>0.112056775432886</v>
      </c>
      <c r="W63" s="2"/>
      <c r="X63" s="7">
        <f t="shared" si="42"/>
        <v>-42000</v>
      </c>
      <c r="Y63" s="2"/>
      <c r="Z63" s="6">
        <f t="shared" si="43"/>
        <v>-1</v>
      </c>
    </row>
    <row r="64" spans="1:26" s="24" customFormat="1" hidden="1" outlineLevel="2" x14ac:dyDescent="0.25">
      <c r="A64" s="29"/>
      <c r="B64" s="11" t="str">
        <f>CONCATENATE("          ", "6241", " - ", "OFFICE EXPENSE")</f>
        <v xml:space="preserve">          6241 - OFFICE EXPENSE</v>
      </c>
      <c r="C64" s="11"/>
      <c r="D64" s="7"/>
      <c r="E64" s="2"/>
      <c r="F64" s="6">
        <f t="shared" si="36"/>
        <v>0</v>
      </c>
      <c r="G64" s="2"/>
      <c r="H64" s="7"/>
      <c r="I64" s="2"/>
      <c r="J64" s="6">
        <f t="shared" si="37"/>
        <v>0</v>
      </c>
      <c r="K64" s="2"/>
      <c r="L64" s="7">
        <f t="shared" si="38"/>
        <v>0</v>
      </c>
      <c r="M64" s="2"/>
      <c r="N64" s="6">
        <f t="shared" si="39"/>
        <v>0</v>
      </c>
      <c r="O64" s="11"/>
      <c r="P64" s="7">
        <v>41271.699999999997</v>
      </c>
      <c r="Q64" s="2"/>
      <c r="R64" s="6">
        <f t="shared" si="40"/>
        <v>0.1229524655020377</v>
      </c>
      <c r="S64" s="2"/>
      <c r="T64" s="7"/>
      <c r="U64" s="2"/>
      <c r="V64" s="6">
        <f t="shared" si="41"/>
        <v>0</v>
      </c>
      <c r="W64" s="2"/>
      <c r="X64" s="7">
        <f t="shared" si="42"/>
        <v>41271.699999999997</v>
      </c>
      <c r="Y64" s="2"/>
      <c r="Z64" s="6">
        <f t="shared" si="43"/>
        <v>0</v>
      </c>
    </row>
    <row r="65" spans="1:26" s="28" customFormat="1" outlineLevel="1" collapsed="1" x14ac:dyDescent="0.25">
      <c r="A65" s="27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SUM(OSRRefD22_11x_0)</f>
        <v>136.15</v>
      </c>
      <c r="E65" s="1"/>
      <c r="F65" s="5">
        <f t="shared" ref="F65:F66" si="44">IF(D$12=0,0,D65/D$12)</f>
        <v>1.0294896030245746E-2</v>
      </c>
      <c r="G65" s="1"/>
      <c r="H65" s="1">
        <f>SUM(OSRRefH22_11x_0)</f>
        <v>700</v>
      </c>
      <c r="I65" s="1"/>
      <c r="J65" s="5">
        <f t="shared" ref="J65:J66" si="45">IF(H$12=0,0,H65/H$12)</f>
        <v>1.9266762083012222E-2</v>
      </c>
      <c r="K65" s="1"/>
      <c r="L65" s="1">
        <f t="shared" ref="L65:L66" si="46">+D65-H65</f>
        <v>-563.85</v>
      </c>
      <c r="M65" s="1"/>
      <c r="N65" s="5">
        <f t="shared" ref="N65:N66" si="47">IF(H65=0,0,L65/H65)</f>
        <v>-0.80549999999999999</v>
      </c>
      <c r="O65" s="14"/>
      <c r="P65" s="1">
        <f>SUM(OSRRefP22_11x_0)</f>
        <v>1451.83</v>
      </c>
      <c r="Q65" s="1"/>
      <c r="R65" s="5">
        <f t="shared" ref="R65:R66" si="48">IF(P$12=0,0,P65/P$12)</f>
        <v>4.3251447841940937E-3</v>
      </c>
      <c r="S65" s="1"/>
      <c r="T65" s="1">
        <f>SUM(OSRRefT22_11x_0)</f>
        <v>4200</v>
      </c>
      <c r="U65" s="1"/>
      <c r="V65" s="5">
        <f t="shared" ref="V65:V66" si="49">IF(T$12=0,0,T65/T$12)</f>
        <v>1.1205677543288599E-2</v>
      </c>
      <c r="W65" s="1"/>
      <c r="X65" s="1">
        <f t="shared" ref="X65:X66" si="50">+P65-T65</f>
        <v>-2748.17</v>
      </c>
      <c r="Y65" s="1"/>
      <c r="Z65" s="5">
        <f t="shared" ref="Z65:Z66" si="51">IF(T65=0,0,X65/T65)</f>
        <v>-0.65432619047619045</v>
      </c>
    </row>
    <row r="66" spans="1:26" s="24" customFormat="1" hidden="1" outlineLevel="2" x14ac:dyDescent="0.25">
      <c r="A66" s="29"/>
      <c r="B66" s="11" t="str">
        <f>CONCATENATE("          ", "6309", " - ", "TELEPHONE")</f>
        <v xml:space="preserve">          6309 - TELEPHONE</v>
      </c>
      <c r="C66" s="11"/>
      <c r="D66" s="7">
        <v>136.15</v>
      </c>
      <c r="E66" s="2"/>
      <c r="F66" s="6">
        <f t="shared" si="44"/>
        <v>1.0294896030245746E-2</v>
      </c>
      <c r="G66" s="2"/>
      <c r="H66" s="7">
        <v>700</v>
      </c>
      <c r="I66" s="2"/>
      <c r="J66" s="6">
        <f t="shared" si="45"/>
        <v>1.9266762083012222E-2</v>
      </c>
      <c r="K66" s="2"/>
      <c r="L66" s="7">
        <f t="shared" si="46"/>
        <v>-563.85</v>
      </c>
      <c r="M66" s="2"/>
      <c r="N66" s="6">
        <f t="shared" si="47"/>
        <v>-0.80549999999999999</v>
      </c>
      <c r="O66" s="11"/>
      <c r="P66" s="7">
        <v>1451.83</v>
      </c>
      <c r="Q66" s="2"/>
      <c r="R66" s="6">
        <f t="shared" si="48"/>
        <v>4.3251447841940937E-3</v>
      </c>
      <c r="S66" s="2"/>
      <c r="T66" s="7">
        <v>4200</v>
      </c>
      <c r="U66" s="2"/>
      <c r="V66" s="6">
        <f t="shared" si="49"/>
        <v>1.1205677543288599E-2</v>
      </c>
      <c r="W66" s="2"/>
      <c r="X66" s="7">
        <f t="shared" si="50"/>
        <v>-2748.17</v>
      </c>
      <c r="Y66" s="2"/>
      <c r="Z66" s="6">
        <f t="shared" si="51"/>
        <v>-0.65432619047619045</v>
      </c>
    </row>
    <row r="67" spans="1:26" s="53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25">
      <c r="A68" s="10"/>
      <c r="B68" s="26" t="s">
        <v>0</v>
      </c>
      <c r="C68" s="10"/>
      <c r="D68" s="4">
        <f>SUM(OSRRefD25x_0)</f>
        <v>140</v>
      </c>
      <c r="E68" s="4"/>
      <c r="F68" s="12">
        <f t="shared" ref="F68:F69" si="52">IF(D$12=0,0,D68/D$12)</f>
        <v>1.058601134215501E-2</v>
      </c>
      <c r="G68" s="4"/>
      <c r="H68" s="4">
        <f>SUM(OSRRefH25x_0)</f>
        <v>1800</v>
      </c>
      <c r="I68" s="4"/>
      <c r="J68" s="12">
        <f t="shared" ref="J68:J69" si="53">IF(H$12=0,0,H68/H$12)</f>
        <v>4.9543102499174284E-2</v>
      </c>
      <c r="K68" s="4"/>
      <c r="L68" s="4">
        <f t="shared" ref="L68:L69" si="54">+D68-H68</f>
        <v>-1660</v>
      </c>
      <c r="M68" s="4"/>
      <c r="N68" s="12">
        <f t="shared" ref="N68:N69" si="55">IF(H68=0,0,L68/H68)</f>
        <v>-0.92222222222222228</v>
      </c>
      <c r="O68" s="10"/>
      <c r="P68" s="4">
        <f>SUM(OSRRefP25x_0)</f>
        <v>1260.2</v>
      </c>
      <c r="Q68" s="4"/>
      <c r="R68" s="12">
        <f t="shared" ref="R68:R69" si="56">IF(P$12=0,0,P68/P$12)</f>
        <v>3.7542601110607974E-3</v>
      </c>
      <c r="S68" s="4"/>
      <c r="T68" s="4">
        <f>SUM(OSRRefT25x_0)</f>
        <v>15450</v>
      </c>
      <c r="U68" s="4"/>
      <c r="V68" s="12">
        <f t="shared" ref="V68:V69" si="57">IF(T$12=0,0,T68/T$12)</f>
        <v>4.1220885248525921E-2</v>
      </c>
      <c r="W68" s="4"/>
      <c r="X68" s="4">
        <f t="shared" ref="X68:X69" si="58">+P68-T68</f>
        <v>-14189.8</v>
      </c>
      <c r="Y68" s="4"/>
      <c r="Z68" s="12">
        <f t="shared" ref="Z68:Z69" si="59">IF(T68=0,0,X68/T68)</f>
        <v>-0.91843365695792878</v>
      </c>
    </row>
    <row r="69" spans="1:26" s="24" customFormat="1" hidden="1" outlineLevel="1" x14ac:dyDescent="0.25">
      <c r="A69" s="51"/>
      <c r="B69" s="11" t="str">
        <f>CONCATENATE("          ", "9150", " - ", "MISC. INCOME")</f>
        <v xml:space="preserve">          9150 - MISC. INCOME</v>
      </c>
      <c r="C69" s="11"/>
      <c r="D69" s="2">
        <f>--140</f>
        <v>140</v>
      </c>
      <c r="E69" s="2"/>
      <c r="F69" s="22">
        <f t="shared" si="52"/>
        <v>1.058601134215501E-2</v>
      </c>
      <c r="G69" s="2"/>
      <c r="H69" s="2">
        <v>1800</v>
      </c>
      <c r="I69" s="2"/>
      <c r="J69" s="22">
        <f t="shared" si="53"/>
        <v>4.9543102499174284E-2</v>
      </c>
      <c r="K69" s="2"/>
      <c r="L69" s="2">
        <f t="shared" si="54"/>
        <v>-1660</v>
      </c>
      <c r="M69" s="2"/>
      <c r="N69" s="22">
        <f t="shared" si="55"/>
        <v>-0.92222222222222228</v>
      </c>
      <c r="O69" s="11"/>
      <c r="P69" s="2">
        <f>--1260.2</f>
        <v>1260.2</v>
      </c>
      <c r="Q69" s="2"/>
      <c r="R69" s="22">
        <f t="shared" si="56"/>
        <v>3.7542601110607974E-3</v>
      </c>
      <c r="S69" s="2"/>
      <c r="T69" s="2">
        <v>15450</v>
      </c>
      <c r="U69" s="2"/>
      <c r="V69" s="22">
        <f t="shared" si="57"/>
        <v>4.1220885248525921E-2</v>
      </c>
      <c r="W69" s="2"/>
      <c r="X69" s="2">
        <f t="shared" si="58"/>
        <v>-14189.8</v>
      </c>
      <c r="Y69" s="2"/>
      <c r="Z69" s="22">
        <f t="shared" si="59"/>
        <v>-0.91843365695792878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5" t="s">
        <v>3</v>
      </c>
      <c r="C71" s="25"/>
      <c r="D71" s="21">
        <f>+D17-D19+D68</f>
        <v>-7165.4200000000019</v>
      </c>
      <c r="E71" s="13"/>
      <c r="F71" s="19">
        <f>IF(D$12=0,0,D71/D$12)</f>
        <v>-0.54180869565217404</v>
      </c>
      <c r="G71" s="13"/>
      <c r="H71" s="21">
        <f>+H17-H19+H68</f>
        <v>5402.8514663846145</v>
      </c>
      <c r="I71" s="13"/>
      <c r="J71" s="19">
        <f>IF(H$12=0,0,H71/H$12)</f>
        <v>0.14870779110383722</v>
      </c>
      <c r="K71" s="16"/>
      <c r="L71" s="21">
        <f>+D71-H71</f>
        <v>-12568.271466384616</v>
      </c>
      <c r="M71" s="16"/>
      <c r="N71" s="19">
        <f>IF(H71=0,0,L71/H71)</f>
        <v>-2.3262293151277085</v>
      </c>
      <c r="O71" s="26"/>
      <c r="P71" s="21">
        <f>+P17-P19+P68</f>
        <v>51237.009999999995</v>
      </c>
      <c r="Q71" s="13"/>
      <c r="R71" s="19">
        <f>IF(P$12=0,0,P71/P$12)</f>
        <v>0.15264010700922329</v>
      </c>
      <c r="S71" s="13"/>
      <c r="T71" s="21">
        <f>+T17-T19+T68</f>
        <v>57042.531695250014</v>
      </c>
      <c r="U71" s="13"/>
      <c r="V71" s="19">
        <f>IF(T$12=0,0,T71/T$12)</f>
        <v>0.15219052772137887</v>
      </c>
      <c r="W71" s="16"/>
      <c r="X71" s="21">
        <f>+P71-T71</f>
        <v>-5805.5216952500195</v>
      </c>
      <c r="Y71" s="16"/>
      <c r="Z71" s="19">
        <f>IF(T71=0,0,X71/T71)</f>
        <v>-0.1017753161144047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14</v>
      </c>
      <c r="C73" s="10"/>
      <c r="D73" s="4">
        <v>10869.59</v>
      </c>
      <c r="E73" s="4"/>
      <c r="F73" s="12">
        <f>IF(D$12=0,0,D73/D$12)</f>
        <v>0.82189716446124761</v>
      </c>
      <c r="G73" s="4"/>
      <c r="H73" s="4">
        <v>10731</v>
      </c>
      <c r="I73" s="4"/>
      <c r="J73" s="12">
        <f>IF(H$12=0,0,H73/H$12)</f>
        <v>0.29535946273257735</v>
      </c>
      <c r="K73" s="4"/>
      <c r="L73" s="4">
        <f>+D73-H73</f>
        <v>138.59000000000015</v>
      </c>
      <c r="M73" s="4"/>
      <c r="N73" s="12">
        <f>IF(H73=0,0,L73/H73)</f>
        <v>1.2914919392414513E-2</v>
      </c>
      <c r="O73" s="10"/>
      <c r="P73" s="4">
        <v>62106.429999999993</v>
      </c>
      <c r="Q73" s="4"/>
      <c r="R73" s="12">
        <f>IF(P$12=0,0,P73/P$12)</f>
        <v>0.1850211813913582</v>
      </c>
      <c r="S73" s="4"/>
      <c r="T73" s="4">
        <v>71099</v>
      </c>
      <c r="U73" s="4"/>
      <c r="V73" s="12">
        <f>IF(T$12=0,0,T73/T$12)</f>
        <v>0.18969344467863716</v>
      </c>
      <c r="W73" s="4"/>
      <c r="X73" s="4">
        <f>+P73-T73</f>
        <v>-8992.570000000007</v>
      </c>
      <c r="Y73" s="4"/>
      <c r="Z73" s="12">
        <f>IF(T73=0,0,X73/T73)</f>
        <v>-0.12647955667449623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5" t="s">
        <v>4</v>
      </c>
      <c r="C75" s="25"/>
      <c r="D75" s="34">
        <f>+D71-D73</f>
        <v>-18035.010000000002</v>
      </c>
      <c r="E75" s="13"/>
      <c r="F75" s="31">
        <f>IF(D$12=0,0,D75/D$12)</f>
        <v>-1.3637058601134218</v>
      </c>
      <c r="G75" s="13"/>
      <c r="H75" s="34">
        <f>+H71-H73</f>
        <v>-5328.1485336153855</v>
      </c>
      <c r="I75" s="13"/>
      <c r="J75" s="31">
        <f>IF(H$12=0,0,H75/H$12)</f>
        <v>-0.1466516716287401</v>
      </c>
      <c r="K75" s="16"/>
      <c r="L75" s="34">
        <f>D75-H75</f>
        <v>-12706.861466384617</v>
      </c>
      <c r="M75" s="16"/>
      <c r="N75" s="31">
        <f>IF(H75=0,0,L75/H75)</f>
        <v>2.384854961571885</v>
      </c>
      <c r="O75" s="26"/>
      <c r="P75" s="34">
        <f>+P71-P73</f>
        <v>-10869.419999999998</v>
      </c>
      <c r="Q75" s="13"/>
      <c r="R75" s="31">
        <f>IF(P$12=0,0,P75/P$12)</f>
        <v>-3.2381074382134938E-2</v>
      </c>
      <c r="S75" s="13"/>
      <c r="T75" s="34">
        <f>+T71-T73</f>
        <v>-14056.468304749986</v>
      </c>
      <c r="U75" s="13"/>
      <c r="V75" s="31">
        <f>IF(T$12=0,0,T75/T$12)</f>
        <v>-3.7502916957258305E-2</v>
      </c>
      <c r="W75" s="16"/>
      <c r="X75" s="34">
        <f>P75-T75</f>
        <v>3187.0483047499874</v>
      </c>
      <c r="Y75" s="16"/>
      <c r="Z75" s="31">
        <f>IF(T75=0,0,X75/T75)</f>
        <v>-0.22673179604246785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5" t="s">
        <v>5</v>
      </c>
      <c r="C78" s="25"/>
      <c r="D78" s="33">
        <f>SUM(D75:D77)</f>
        <v>-18035.010000000002</v>
      </c>
      <c r="E78" s="13"/>
      <c r="F78" s="32">
        <f>IF(D$12=0,0,D78/D$12)</f>
        <v>-1.3637058601134218</v>
      </c>
      <c r="G78" s="13"/>
      <c r="H78" s="33">
        <f>SUM(H75:H77)</f>
        <v>-5328.1485336153855</v>
      </c>
      <c r="I78" s="13"/>
      <c r="J78" s="32">
        <f>IF(H$12=0,0,H78/H$12)</f>
        <v>-0.1466516716287401</v>
      </c>
      <c r="K78" s="16"/>
      <c r="L78" s="33">
        <f>+D78-H78</f>
        <v>-12706.861466384617</v>
      </c>
      <c r="M78" s="16"/>
      <c r="N78" s="32">
        <f>IF(H78=0,0,L78/H78)</f>
        <v>2.384854961571885</v>
      </c>
      <c r="O78" s="26"/>
      <c r="P78" s="33">
        <f>SUM(P75:P77)</f>
        <v>-10869.419999999998</v>
      </c>
      <c r="Q78" s="13"/>
      <c r="R78" s="32">
        <f>IF(P$12=0,0,P78/P$12)</f>
        <v>-3.2381074382134938E-2</v>
      </c>
      <c r="S78" s="13"/>
      <c r="T78" s="33">
        <f>SUM(T75:T77)</f>
        <v>-14056.468304749986</v>
      </c>
      <c r="U78" s="13"/>
      <c r="V78" s="32">
        <f>IF(T$12=0,0,T78/T$12)</f>
        <v>-3.7502916957258305E-2</v>
      </c>
      <c r="W78" s="16"/>
      <c r="X78" s="33">
        <f>+P78-T78</f>
        <v>3187.0483047499874</v>
      </c>
      <c r="Y78" s="16"/>
      <c r="Z78" s="32">
        <f>IF(T78=0,0,X78/T78)</f>
        <v>-0.22673179604246785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3">
        <v>44209.518968402779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60" t="s">
        <v>314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8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7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7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7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7" customWidth="1" outlineLevel="1"/>
  </cols>
  <sheetData>
    <row r="2" spans="1:26" x14ac:dyDescent="0.25">
      <c r="D2" s="56" t="s">
        <v>13</v>
      </c>
    </row>
    <row r="3" spans="1:26" x14ac:dyDescent="0.25">
      <c r="D3" s="56" t="s">
        <v>296</v>
      </c>
      <c r="E3" s="17"/>
      <c r="F3" s="50"/>
      <c r="G3" s="17"/>
      <c r="H3" s="17"/>
      <c r="I3" s="17"/>
      <c r="J3" s="38"/>
      <c r="K3" s="17"/>
      <c r="L3" s="17"/>
      <c r="M3" s="17"/>
      <c r="N3" s="50"/>
      <c r="O3" s="55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6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8"/>
      <c r="K4" s="17"/>
      <c r="L4" s="17"/>
      <c r="M4" s="17"/>
      <c r="N4" s="50"/>
      <c r="O4" s="55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5" t="e">
        <f ca="1">_xll.OneStop.ReportPlayer.OSRFunctions.OSRGet("Period","PeriodEnd")</f>
        <v>#NAME?</v>
      </c>
      <c r="E5" s="17"/>
      <c r="F5" s="50"/>
      <c r="G5" s="17"/>
      <c r="H5" s="17"/>
      <c r="I5" s="17"/>
      <c r="J5" s="38"/>
      <c r="K5" s="17"/>
      <c r="L5" s="17"/>
      <c r="M5" s="17"/>
      <c r="N5" s="50"/>
      <c r="O5" s="55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8"/>
      <c r="K6" s="17"/>
      <c r="L6" s="17"/>
      <c r="M6" s="17"/>
      <c r="N6" s="50"/>
      <c r="O6" s="57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4"/>
    </row>
    <row r="8" spans="1:26" x14ac:dyDescent="0.25">
      <c r="B8" s="54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9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9"/>
      <c r="W9" s="15"/>
      <c r="X9" s="15"/>
      <c r="Y9" s="15"/>
      <c r="Z9" s="40"/>
    </row>
    <row r="10" spans="1:26" x14ac:dyDescent="0.25">
      <c r="A10" s="10"/>
      <c r="B10" s="61"/>
      <c r="C10" s="10"/>
      <c r="D10" s="42" t="s">
        <v>10</v>
      </c>
      <c r="E10" s="35"/>
      <c r="F10" s="39" t="s">
        <v>15</v>
      </c>
      <c r="G10" s="35"/>
      <c r="H10" s="46" t="s">
        <v>11</v>
      </c>
      <c r="I10" s="35"/>
      <c r="J10" s="44" t="s">
        <v>16</v>
      </c>
      <c r="K10" s="10"/>
      <c r="L10" s="42" t="s">
        <v>12</v>
      </c>
      <c r="M10" s="10"/>
      <c r="N10" s="39" t="s">
        <v>17</v>
      </c>
      <c r="O10" s="10"/>
      <c r="P10" s="59" t="s">
        <v>10</v>
      </c>
      <c r="Q10" s="35"/>
      <c r="R10" s="39" t="s">
        <v>15</v>
      </c>
      <c r="S10" s="35"/>
      <c r="T10" s="46" t="s">
        <v>11</v>
      </c>
      <c r="U10" s="35"/>
      <c r="V10" s="44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62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1" t="e">
        <f ca="1">D12-D15</f>
        <v>#NAME?</v>
      </c>
      <c r="E18" s="13"/>
      <c r="F18" s="19" t="e">
        <f ca="1">IF(D$12=0,0,D18/D$12)</f>
        <v>#NAME?</v>
      </c>
      <c r="G18" s="13"/>
      <c r="H18" s="21" t="e">
        <f ca="1">H12-H15</f>
        <v>#NAME?</v>
      </c>
      <c r="I18" s="13"/>
      <c r="J18" s="19" t="e">
        <f ca="1">IF(H$12=0,0,H18/H$12)</f>
        <v>#NAME?</v>
      </c>
      <c r="K18" s="16"/>
      <c r="L18" s="21" t="e">
        <f ca="1">+D18-H18</f>
        <v>#NAME?</v>
      </c>
      <c r="M18" s="16"/>
      <c r="N18" s="19" t="e">
        <f ca="1">IF(H18=0,0,L18/H18)</f>
        <v>#NAME?</v>
      </c>
      <c r="O18" s="26"/>
      <c r="P18" s="21" t="e">
        <f ca="1">P12-P15</f>
        <v>#NAME?</v>
      </c>
      <c r="Q18" s="13"/>
      <c r="R18" s="19" t="e">
        <f ca="1">IF(P$12=0,0,P18/P$12)</f>
        <v>#NAME?</v>
      </c>
      <c r="S18" s="13"/>
      <c r="T18" s="21" t="e">
        <f ca="1">T12-T15</f>
        <v>#NAME?</v>
      </c>
      <c r="U18" s="13"/>
      <c r="V18" s="19" t="e">
        <f ca="1">IF(T$12=0,0,T18/T$12)</f>
        <v>#NAME?</v>
      </c>
      <c r="W18" s="16"/>
      <c r="X18" s="21" t="e">
        <f ca="1">+P18-T18</f>
        <v>#NAME?</v>
      </c>
      <c r="Y18" s="16"/>
      <c r="Z18" s="19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0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0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0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0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1" t="e">
        <f ca="1">+D18-D20+D24</f>
        <v>#NAME?</v>
      </c>
      <c r="E27" s="13"/>
      <c r="F27" s="19" t="e">
        <f ca="1">IF(D$12=0,0,D27/D$12)</f>
        <v>#NAME?</v>
      </c>
      <c r="G27" s="13"/>
      <c r="H27" s="21" t="e">
        <f ca="1">+H18-H20+H24</f>
        <v>#NAME?</v>
      </c>
      <c r="I27" s="13"/>
      <c r="J27" s="19" t="e">
        <f ca="1">IF(H$12=0,0,H27/H$12)</f>
        <v>#NAME?</v>
      </c>
      <c r="K27" s="16"/>
      <c r="L27" s="21" t="e">
        <f ca="1">+D27-H27</f>
        <v>#NAME?</v>
      </c>
      <c r="M27" s="16"/>
      <c r="N27" s="19" t="e">
        <f ca="1">IF(H27=0,0,L27/H27)</f>
        <v>#NAME?</v>
      </c>
      <c r="O27" s="26"/>
      <c r="P27" s="21" t="e">
        <f ca="1">+P18-P20+P24</f>
        <v>#NAME?</v>
      </c>
      <c r="Q27" s="13"/>
      <c r="R27" s="19" t="e">
        <f ca="1">IF(P$12=0,0,P27/P$12)</f>
        <v>#NAME?</v>
      </c>
      <c r="S27" s="13"/>
      <c r="T27" s="21" t="e">
        <f ca="1">+T18-T20+T24</f>
        <v>#NAME?</v>
      </c>
      <c r="U27" s="13"/>
      <c r="V27" s="19" t="e">
        <f ca="1">IF(T$12=0,0,T27/T$12)</f>
        <v>#NAME?</v>
      </c>
      <c r="W27" s="16"/>
      <c r="X27" s="21" t="e">
        <f ca="1">+P27-T27</f>
        <v>#NAME?</v>
      </c>
      <c r="Y27" s="16"/>
      <c r="Z27" s="19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4" t="e">
        <f ca="1">+D27-D29</f>
        <v>#NAME?</v>
      </c>
      <c r="E31" s="13"/>
      <c r="F31" s="31" t="e">
        <f ca="1">IF(D$12=0,0,D31/D$12)</f>
        <v>#NAME?</v>
      </c>
      <c r="G31" s="13"/>
      <c r="H31" s="34" t="e">
        <f ca="1">+H27-H29</f>
        <v>#NAME?</v>
      </c>
      <c r="I31" s="13"/>
      <c r="J31" s="31" t="e">
        <f ca="1">IF(H$12=0,0,H31/H$12)</f>
        <v>#NAME?</v>
      </c>
      <c r="K31" s="16"/>
      <c r="L31" s="34" t="e">
        <f ca="1">D31-H31</f>
        <v>#NAME?</v>
      </c>
      <c r="M31" s="16"/>
      <c r="N31" s="31" t="e">
        <f ca="1">IF(H31=0,0,L31/H31)</f>
        <v>#NAME?</v>
      </c>
      <c r="O31" s="26"/>
      <c r="P31" s="34" t="e">
        <f ca="1">+P27-P29</f>
        <v>#NAME?</v>
      </c>
      <c r="Q31" s="13"/>
      <c r="R31" s="31" t="e">
        <f ca="1">IF(P$12=0,0,P31/P$12)</f>
        <v>#NAME?</v>
      </c>
      <c r="S31" s="13"/>
      <c r="T31" s="34" t="e">
        <f ca="1">+T27-T29</f>
        <v>#NAME?</v>
      </c>
      <c r="U31" s="13"/>
      <c r="V31" s="31" t="e">
        <f ca="1">IF(T$12=0,0,T31/T$12)</f>
        <v>#NAME?</v>
      </c>
      <c r="W31" s="16"/>
      <c r="X31" s="34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3" t="e">
        <f ca="1">SUM(D31:D35)</f>
        <v>#NAME?</v>
      </c>
      <c r="E36" s="13"/>
      <c r="F36" s="32" t="e">
        <f ca="1">IF(D$12=0,0,D36/D$12)</f>
        <v>#NAME?</v>
      </c>
      <c r="G36" s="13"/>
      <c r="H36" s="33" t="e">
        <f ca="1">SUM(H31:H35)</f>
        <v>#NAME?</v>
      </c>
      <c r="I36" s="13"/>
      <c r="J36" s="32" t="e">
        <f ca="1">IF(H$12=0,0,H36/H$12)</f>
        <v>#NAME?</v>
      </c>
      <c r="K36" s="16"/>
      <c r="L36" s="33" t="e">
        <f ca="1">+D36-H36</f>
        <v>#NAME?</v>
      </c>
      <c r="M36" s="16"/>
      <c r="N36" s="32" t="e">
        <f ca="1">IF(H36=0,0,L36/H36)</f>
        <v>#NAME?</v>
      </c>
      <c r="O36" s="26"/>
      <c r="P36" s="33" t="e">
        <f ca="1">SUM(P31:P35)</f>
        <v>#NAME?</v>
      </c>
      <c r="Q36" s="13"/>
      <c r="R36" s="32" t="e">
        <f ca="1">IF(P$12=0,0,P36/P$12)</f>
        <v>#NAME?</v>
      </c>
      <c r="S36" s="13"/>
      <c r="T36" s="33" t="e">
        <f ca="1">SUM(T31:T35)</f>
        <v>#NAME?</v>
      </c>
      <c r="U36" s="13"/>
      <c r="V36" s="32" t="e">
        <f ca="1">IF(T$12=0,0,T36/T$12)</f>
        <v>#NAME?</v>
      </c>
      <c r="W36" s="16"/>
      <c r="X36" s="33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3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0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97</vt:i4>
      </vt:variant>
      <vt:variant>
        <vt:lpstr>Named Ranges</vt:lpstr>
      </vt:variant>
      <vt:variant>
        <vt:i4>3958</vt:i4>
      </vt:variant>
    </vt:vector>
  </HeadingPairs>
  <TitlesOfParts>
    <vt:vector size="4055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'201'!OSRRefD13x_0</vt:lpstr>
      <vt:lpstr>'202'!OSRRefD13x_0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2'!OSRRefD13x_0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'317'!OSRRefD16x_0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'405'!OSRRefD16x_0</vt:lpstr>
      <vt:lpstr>'412'!OSRRefD16x_0</vt:lpstr>
      <vt:lpstr>'413'!OSRRefD16x_0</vt:lpstr>
      <vt:lpstr>'414'!OSRRefD16x_0</vt:lpstr>
      <vt:lpstr>'415'!OSRRefD16x_0</vt:lpstr>
      <vt:lpstr>'418'!OSRRefD16x_0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'204'!OSRRefD22_11x_0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'204'!OSRRefD22_12x_0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'310'!OSRRefD22_12x_0</vt:lpstr>
      <vt:lpstr>'310 &amp; 491'!OSRRefD22_12x_0</vt:lpstr>
      <vt:lpstr>'311'!OSRRefD22_12x_0</vt:lpstr>
      <vt:lpstr>'315'!OSRRefD22_12x_0</vt:lpstr>
      <vt:lpstr>'317'!OSRRefD22_12x_0</vt:lpstr>
      <vt:lpstr>'321'!OSRRefD22_12x_0</vt:lpstr>
      <vt:lpstr>'325'!OSRRefD22_12x_0</vt:lpstr>
      <vt:lpstr>'326'!OSRRefD22_12x_0</vt:lpstr>
      <vt:lpstr>'330'!OSRRefD22_12x_0</vt:lpstr>
      <vt:lpstr>'331'!OSRRefD22_12x_0</vt:lpstr>
      <vt:lpstr>'405'!OSRRefD22_12x_0</vt:lpstr>
      <vt:lpstr>'411'!OSRRefD22_12x_0</vt:lpstr>
      <vt:lpstr>'412'!OSRRefD22_12x_0</vt:lpstr>
      <vt:lpstr>'413'!OSRRefD22_12x_0</vt:lpstr>
      <vt:lpstr>'414'!OSRRefD22_12x_0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'Div 6'!OSRRefD22_12x_0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'321'!OSRRefD22_13x_0</vt:lpstr>
      <vt:lpstr>'325'!OSRRefD22_13x_0</vt:lpstr>
      <vt:lpstr>'326'!OSRRefD22_13x_0</vt:lpstr>
      <vt:lpstr>'330'!OSRRefD22_13x_0</vt:lpstr>
      <vt:lpstr>'331'!OSRRefD22_13x_0</vt:lpstr>
      <vt:lpstr>'405'!OSRRefD22_13x_0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'203'!OSRRefD22_14x_0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'315'!OSRRefD22_14x_0</vt:lpstr>
      <vt:lpstr>'325'!OSRRefD22_14x_0</vt:lpstr>
      <vt:lpstr>'326'!OSRRefD22_14x_0</vt:lpstr>
      <vt:lpstr>'331'!OSRRefD22_14x_0</vt:lpstr>
      <vt:lpstr>'405'!OSRRefD22_14x_0</vt:lpstr>
      <vt:lpstr>'411'!OSRRefD22_14x_0</vt:lpstr>
      <vt:lpstr>'414'!OSRRefD22_14x_0</vt:lpstr>
      <vt:lpstr>'415'!OSRRefD22_14x_0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'201'!OSRRefD22_16x_0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'325'!OSRRefD22_16x_0</vt:lpstr>
      <vt:lpstr>'326'!OSRRefD22_16x_0</vt:lpstr>
      <vt:lpstr>'331'!OSRRefD22_16x_0</vt:lpstr>
      <vt:lpstr>'405'!OSRRefD22_16x_0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'315'!OSRRefD22_17x_0</vt:lpstr>
      <vt:lpstr>'325'!OSRRefD22_17x_0</vt:lpstr>
      <vt:lpstr>'326'!OSRRefD22_17x_0</vt:lpstr>
      <vt:lpstr>'331'!OSRRefD22_17x_0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'415'!OSRRefD22_18x_0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'321'!OSRRefD22_1x_0</vt:lpstr>
      <vt:lpstr>'322'!OSRRefD22_1x_0</vt:lpstr>
      <vt:lpstr>'324'!OSRRefD22_1x_0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'331'!OSRRefD22_22x_0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'423'!OSRRefD22_6x_0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'206'!OSRRefD22_8x_0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'206'!OSRRefD22_9x_0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'202'!OSRRefD25x_0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'411'!OSRRefD25x_0</vt:lpstr>
      <vt:lpstr>'418'!OSRRefD25x_0</vt:lpstr>
      <vt:lpstr>'423'!OSRRefD25x_0</vt:lpstr>
      <vt:lpstr>'455'!OSRRefD25x_0</vt:lpstr>
      <vt:lpstr>'491'!OSRRefD25x_0</vt:lpstr>
      <vt:lpstr>'501'!OSRRefD25x_0</vt:lpstr>
      <vt:lpstr>'Div 2'!OSRRefD25x_0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'201'!OSRRefH13x_0</vt:lpstr>
      <vt:lpstr>'202'!OSRRefH13x_0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2'!OSRRefH13x_0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'317'!OSRRefH16x_0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'405'!OSRRefH16x_0</vt:lpstr>
      <vt:lpstr>'412'!OSRRefH16x_0</vt:lpstr>
      <vt:lpstr>'413'!OSRRefH16x_0</vt:lpstr>
      <vt:lpstr>'414'!OSRRefH16x_0</vt:lpstr>
      <vt:lpstr>'415'!OSRRefH16x_0</vt:lpstr>
      <vt:lpstr>'418'!OSRRefH16x_0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'204'!OSRRefH22_11x_0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'204'!OSRRefH22_12x_0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'310'!OSRRefH22_12x_0</vt:lpstr>
      <vt:lpstr>'310 &amp; 491'!OSRRefH22_12x_0</vt:lpstr>
      <vt:lpstr>'311'!OSRRefH22_12x_0</vt:lpstr>
      <vt:lpstr>'315'!OSRRefH22_12x_0</vt:lpstr>
      <vt:lpstr>'317'!OSRRefH22_12x_0</vt:lpstr>
      <vt:lpstr>'321'!OSRRefH22_12x_0</vt:lpstr>
      <vt:lpstr>'325'!OSRRefH22_12x_0</vt:lpstr>
      <vt:lpstr>'326'!OSRRefH22_12x_0</vt:lpstr>
      <vt:lpstr>'330'!OSRRefH22_12x_0</vt:lpstr>
      <vt:lpstr>'331'!OSRRefH22_12x_0</vt:lpstr>
      <vt:lpstr>'405'!OSRRefH22_12x_0</vt:lpstr>
      <vt:lpstr>'411'!OSRRefH22_12x_0</vt:lpstr>
      <vt:lpstr>'412'!OSRRefH22_12x_0</vt:lpstr>
      <vt:lpstr>'413'!OSRRefH22_12x_0</vt:lpstr>
      <vt:lpstr>'414'!OSRRefH22_12x_0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'Div 6'!OSRRefH22_12x_0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'321'!OSRRefH22_13x_0</vt:lpstr>
      <vt:lpstr>'325'!OSRRefH22_13x_0</vt:lpstr>
      <vt:lpstr>'326'!OSRRefH22_13x_0</vt:lpstr>
      <vt:lpstr>'330'!OSRRefH22_13x_0</vt:lpstr>
      <vt:lpstr>'331'!OSRRefH22_13x_0</vt:lpstr>
      <vt:lpstr>'405'!OSRRefH22_13x_0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'203'!OSRRefH22_14x_0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'315'!OSRRefH22_14x_0</vt:lpstr>
      <vt:lpstr>'325'!OSRRefH22_14x_0</vt:lpstr>
      <vt:lpstr>'326'!OSRRefH22_14x_0</vt:lpstr>
      <vt:lpstr>'331'!OSRRefH22_14x_0</vt:lpstr>
      <vt:lpstr>'405'!OSRRefH22_14x_0</vt:lpstr>
      <vt:lpstr>'411'!OSRRefH22_14x_0</vt:lpstr>
      <vt:lpstr>'414'!OSRRefH22_14x_0</vt:lpstr>
      <vt:lpstr>'415'!OSRRefH22_14x_0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'201'!OSRRefH22_16x_0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'325'!OSRRefH22_16x_0</vt:lpstr>
      <vt:lpstr>'326'!OSRRefH22_16x_0</vt:lpstr>
      <vt:lpstr>'331'!OSRRefH22_16x_0</vt:lpstr>
      <vt:lpstr>'405'!OSRRefH22_16x_0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'315'!OSRRefH22_17x_0</vt:lpstr>
      <vt:lpstr>'325'!OSRRefH22_17x_0</vt:lpstr>
      <vt:lpstr>'326'!OSRRefH22_17x_0</vt:lpstr>
      <vt:lpstr>'331'!OSRRefH22_17x_0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'415'!OSRRefH22_18x_0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'321'!OSRRefH22_1x_0</vt:lpstr>
      <vt:lpstr>'322'!OSRRefH22_1x_0</vt:lpstr>
      <vt:lpstr>'324'!OSRRefH22_1x_0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'331'!OSRRefH22_22x_0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'423'!OSRRefH22_6x_0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'206'!OSRRefH22_8x_0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'206'!OSRRefH22_9x_0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'202'!OSRRefH25x_0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'411'!OSRRefH25x_0</vt:lpstr>
      <vt:lpstr>'418'!OSRRefH25x_0</vt:lpstr>
      <vt:lpstr>'423'!OSRRefH25x_0</vt:lpstr>
      <vt:lpstr>'455'!OSRRefH25x_0</vt:lpstr>
      <vt:lpstr>'491'!OSRRefH25x_0</vt:lpstr>
      <vt:lpstr>'501'!OSRRefH25x_0</vt:lpstr>
      <vt:lpstr>'Div 2'!OSRRefH25x_0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'201'!OSRRefP13x_0</vt:lpstr>
      <vt:lpstr>'202'!OSRRefP13x_0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2'!OSRRefP13x_0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'317'!OSRRefP16x_0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'405'!OSRRefP16x_0</vt:lpstr>
      <vt:lpstr>'412'!OSRRefP16x_0</vt:lpstr>
      <vt:lpstr>'413'!OSRRefP16x_0</vt:lpstr>
      <vt:lpstr>'414'!OSRRefP16x_0</vt:lpstr>
      <vt:lpstr>'415'!OSRRefP16x_0</vt:lpstr>
      <vt:lpstr>'418'!OSRRefP16x_0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'204'!OSRRefP22_11x_0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'204'!OSRRefP22_12x_0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'310'!OSRRefP22_12x_0</vt:lpstr>
      <vt:lpstr>'310 &amp; 491'!OSRRefP22_12x_0</vt:lpstr>
      <vt:lpstr>'311'!OSRRefP22_12x_0</vt:lpstr>
      <vt:lpstr>'315'!OSRRefP22_12x_0</vt:lpstr>
      <vt:lpstr>'317'!OSRRefP22_12x_0</vt:lpstr>
      <vt:lpstr>'321'!OSRRefP22_12x_0</vt:lpstr>
      <vt:lpstr>'325'!OSRRefP22_12x_0</vt:lpstr>
      <vt:lpstr>'326'!OSRRefP22_12x_0</vt:lpstr>
      <vt:lpstr>'330'!OSRRefP22_12x_0</vt:lpstr>
      <vt:lpstr>'331'!OSRRefP22_12x_0</vt:lpstr>
      <vt:lpstr>'405'!OSRRefP22_12x_0</vt:lpstr>
      <vt:lpstr>'411'!OSRRefP22_12x_0</vt:lpstr>
      <vt:lpstr>'412'!OSRRefP22_12x_0</vt:lpstr>
      <vt:lpstr>'413'!OSRRefP22_12x_0</vt:lpstr>
      <vt:lpstr>'414'!OSRRefP22_12x_0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'Div 6'!OSRRefP22_12x_0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'321'!OSRRefP22_13x_0</vt:lpstr>
      <vt:lpstr>'325'!OSRRefP22_13x_0</vt:lpstr>
      <vt:lpstr>'326'!OSRRefP22_13x_0</vt:lpstr>
      <vt:lpstr>'330'!OSRRefP22_13x_0</vt:lpstr>
      <vt:lpstr>'331'!OSRRefP22_13x_0</vt:lpstr>
      <vt:lpstr>'405'!OSRRefP22_13x_0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'203'!OSRRefP22_14x_0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'315'!OSRRefP22_14x_0</vt:lpstr>
      <vt:lpstr>'325'!OSRRefP22_14x_0</vt:lpstr>
      <vt:lpstr>'326'!OSRRefP22_14x_0</vt:lpstr>
      <vt:lpstr>'331'!OSRRefP22_14x_0</vt:lpstr>
      <vt:lpstr>'405'!OSRRefP22_14x_0</vt:lpstr>
      <vt:lpstr>'411'!OSRRefP22_14x_0</vt:lpstr>
      <vt:lpstr>'414'!OSRRefP22_14x_0</vt:lpstr>
      <vt:lpstr>'415'!OSRRefP22_14x_0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'201'!OSRRefP22_16x_0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'325'!OSRRefP22_16x_0</vt:lpstr>
      <vt:lpstr>'326'!OSRRefP22_16x_0</vt:lpstr>
      <vt:lpstr>'331'!OSRRefP22_16x_0</vt:lpstr>
      <vt:lpstr>'405'!OSRRefP22_16x_0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'315'!OSRRefP22_17x_0</vt:lpstr>
      <vt:lpstr>'325'!OSRRefP22_17x_0</vt:lpstr>
      <vt:lpstr>'326'!OSRRefP22_17x_0</vt:lpstr>
      <vt:lpstr>'331'!OSRRefP22_17x_0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'415'!OSRRefP22_18x_0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'321'!OSRRefP22_1x_0</vt:lpstr>
      <vt:lpstr>'322'!OSRRefP22_1x_0</vt:lpstr>
      <vt:lpstr>'324'!OSRRefP22_1x_0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'331'!OSRRefP22_22x_0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'423'!OSRRefP22_6x_0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'206'!OSRRefP22_8x_0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'206'!OSRRefP22_9x_0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'202'!OSRRefP25x_0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'411'!OSRRefP25x_0</vt:lpstr>
      <vt:lpstr>'418'!OSRRefP25x_0</vt:lpstr>
      <vt:lpstr>'423'!OSRRefP25x_0</vt:lpstr>
      <vt:lpstr>'455'!OSRRefP25x_0</vt:lpstr>
      <vt:lpstr>'491'!OSRRefP25x_0</vt:lpstr>
      <vt:lpstr>'501'!OSRRefP25x_0</vt:lpstr>
      <vt:lpstr>'Div 2'!OSRRefP25x_0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'201'!OSRRefT13x_0</vt:lpstr>
      <vt:lpstr>'202'!OSRRefT13x_0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2'!OSRRefT13x_0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'317'!OSRRefT16x_0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'405'!OSRRefT16x_0</vt:lpstr>
      <vt:lpstr>'412'!OSRRefT16x_0</vt:lpstr>
      <vt:lpstr>'413'!OSRRefT16x_0</vt:lpstr>
      <vt:lpstr>'414'!OSRRefT16x_0</vt:lpstr>
      <vt:lpstr>'415'!OSRRefT16x_0</vt:lpstr>
      <vt:lpstr>'418'!OSRRefT16x_0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'204'!OSRRefT22_11x_0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'204'!OSRRefT22_12x_0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'310'!OSRRefT22_12x_0</vt:lpstr>
      <vt:lpstr>'310 &amp; 491'!OSRRefT22_12x_0</vt:lpstr>
      <vt:lpstr>'311'!OSRRefT22_12x_0</vt:lpstr>
      <vt:lpstr>'315'!OSRRefT22_12x_0</vt:lpstr>
      <vt:lpstr>'317'!OSRRefT22_12x_0</vt:lpstr>
      <vt:lpstr>'321'!OSRRefT22_12x_0</vt:lpstr>
      <vt:lpstr>'325'!OSRRefT22_12x_0</vt:lpstr>
      <vt:lpstr>'326'!OSRRefT22_12x_0</vt:lpstr>
      <vt:lpstr>'330'!OSRRefT22_12x_0</vt:lpstr>
      <vt:lpstr>'331'!OSRRefT22_12x_0</vt:lpstr>
      <vt:lpstr>'405'!OSRRefT22_12x_0</vt:lpstr>
      <vt:lpstr>'411'!OSRRefT22_12x_0</vt:lpstr>
      <vt:lpstr>'412'!OSRRefT22_12x_0</vt:lpstr>
      <vt:lpstr>'413'!OSRRefT22_12x_0</vt:lpstr>
      <vt:lpstr>'414'!OSRRefT22_12x_0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'Div 6'!OSRRefT22_12x_0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'321'!OSRRefT22_13x_0</vt:lpstr>
      <vt:lpstr>'325'!OSRRefT22_13x_0</vt:lpstr>
      <vt:lpstr>'326'!OSRRefT22_13x_0</vt:lpstr>
      <vt:lpstr>'330'!OSRRefT22_13x_0</vt:lpstr>
      <vt:lpstr>'331'!OSRRefT22_13x_0</vt:lpstr>
      <vt:lpstr>'405'!OSRRefT22_13x_0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'203'!OSRRefT22_14x_0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'315'!OSRRefT22_14x_0</vt:lpstr>
      <vt:lpstr>'325'!OSRRefT22_14x_0</vt:lpstr>
      <vt:lpstr>'326'!OSRRefT22_14x_0</vt:lpstr>
      <vt:lpstr>'331'!OSRRefT22_14x_0</vt:lpstr>
      <vt:lpstr>'405'!OSRRefT22_14x_0</vt:lpstr>
      <vt:lpstr>'411'!OSRRefT22_14x_0</vt:lpstr>
      <vt:lpstr>'414'!OSRRefT22_14x_0</vt:lpstr>
      <vt:lpstr>'415'!OSRRefT22_14x_0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'201'!OSRRefT22_16x_0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'325'!OSRRefT22_16x_0</vt:lpstr>
      <vt:lpstr>'326'!OSRRefT22_16x_0</vt:lpstr>
      <vt:lpstr>'331'!OSRRefT22_16x_0</vt:lpstr>
      <vt:lpstr>'405'!OSRRefT22_16x_0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'315'!OSRRefT22_17x_0</vt:lpstr>
      <vt:lpstr>'325'!OSRRefT22_17x_0</vt:lpstr>
      <vt:lpstr>'326'!OSRRefT22_17x_0</vt:lpstr>
      <vt:lpstr>'331'!OSRRefT22_17x_0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'415'!OSRRefT22_18x_0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'321'!OSRRefT22_1x_0</vt:lpstr>
      <vt:lpstr>'322'!OSRRefT22_1x_0</vt:lpstr>
      <vt:lpstr>'324'!OSRRefT22_1x_0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'331'!OSRRefT22_22x_0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'423'!OSRRefT22_6x_0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'206'!OSRRefT22_8x_0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'206'!OSRRefT22_9x_0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'202'!OSRRefT25x_0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'411'!OSRRefT25x_0</vt:lpstr>
      <vt:lpstr>'418'!OSRRefT25x_0</vt:lpstr>
      <vt:lpstr>'423'!OSRRefT25x_0</vt:lpstr>
      <vt:lpstr>'455'!OSRRefT25x_0</vt:lpstr>
      <vt:lpstr>'491'!OSRRefT25x_0</vt:lpstr>
      <vt:lpstr>'501'!OSRRefT25x_0</vt:lpstr>
      <vt:lpstr>'Div 2'!OSRRefT25x_0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2021-01-13T20:50:33Z</dcterms:modified>
</cp:coreProperties>
</file>